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12" windowWidth="25056" windowHeight="11892" activeTab="1"/>
  </bookViews>
  <sheets>
    <sheet name="READ ME" sheetId="10" r:id="rId1"/>
    <sheet name="Report" sheetId="8" r:id="rId2"/>
    <sheet name="Matl" sheetId="2" r:id="rId3"/>
  </sheets>
  <definedNames>
    <definedName name="_xlnm.Print_Area" localSheetId="0">'READ ME'!$A$8:$K$62</definedName>
    <definedName name="_xlnm.Print_Area" localSheetId="1">Report!$A$8:$K$117</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0" l="1"/>
  <c r="F11" i="8" l="1"/>
  <c r="L10" i="8"/>
  <c r="J10" i="8"/>
  <c r="F10" i="8"/>
  <c r="J9" i="8"/>
  <c r="F9" i="8"/>
  <c r="J8" i="8"/>
  <c r="F8" i="8"/>
  <c r="F66" i="8"/>
  <c r="L65" i="8"/>
  <c r="J65" i="8"/>
  <c r="F65" i="8"/>
  <c r="J64" i="8"/>
  <c r="F64" i="8"/>
  <c r="J63" i="8"/>
  <c r="F63" i="8"/>
  <c r="B67" i="8" l="1"/>
  <c r="B12" i="8"/>
  <c r="F71" i="8"/>
  <c r="F72" i="8"/>
  <c r="F73" i="8"/>
  <c r="F76" i="8"/>
  <c r="F77" i="8"/>
  <c r="F78" i="8"/>
  <c r="AD53" i="8"/>
  <c r="AD54" i="8"/>
  <c r="AD55" i="8"/>
  <c r="AD56" i="8"/>
  <c r="AD57" i="8"/>
  <c r="X59" i="8"/>
  <c r="X58" i="8"/>
  <c r="X57" i="8"/>
  <c r="X56" i="8"/>
  <c r="K135" i="2"/>
  <c r="I135" i="2"/>
  <c r="H135" i="2"/>
  <c r="G135" i="2"/>
  <c r="E135" i="2"/>
  <c r="D135" i="2"/>
  <c r="K134" i="2"/>
  <c r="I134" i="2"/>
  <c r="H134" i="2"/>
  <c r="G134" i="2"/>
  <c r="E134" i="2"/>
  <c r="D134" i="2"/>
  <c r="K133" i="2"/>
  <c r="I133" i="2"/>
  <c r="H133" i="2"/>
  <c r="G133" i="2"/>
  <c r="E133" i="2"/>
  <c r="D133" i="2"/>
  <c r="K132" i="2"/>
  <c r="I132" i="2"/>
  <c r="H132" i="2"/>
  <c r="G132" i="2"/>
  <c r="E132" i="2"/>
  <c r="D132" i="2"/>
  <c r="K131" i="2"/>
  <c r="I131" i="2"/>
  <c r="H131" i="2"/>
  <c r="G131" i="2"/>
  <c r="E131" i="2"/>
  <c r="D131" i="2"/>
  <c r="K130" i="2"/>
  <c r="I130" i="2"/>
  <c r="H130" i="2"/>
  <c r="G130" i="2"/>
  <c r="E130" i="2"/>
  <c r="D130" i="2"/>
  <c r="K129" i="2"/>
  <c r="I129" i="2"/>
  <c r="H129" i="2"/>
  <c r="G129" i="2"/>
  <c r="E129" i="2"/>
  <c r="D129" i="2"/>
  <c r="K128" i="2"/>
  <c r="I128" i="2"/>
  <c r="H128" i="2"/>
  <c r="G128" i="2"/>
  <c r="E128" i="2"/>
  <c r="D128" i="2"/>
  <c r="K127" i="2"/>
  <c r="I127" i="2"/>
  <c r="H127" i="2"/>
  <c r="G127" i="2"/>
  <c r="E127" i="2"/>
  <c r="D127" i="2"/>
  <c r="K126" i="2"/>
  <c r="I126" i="2"/>
  <c r="H126" i="2"/>
  <c r="G126" i="2"/>
  <c r="E126" i="2"/>
  <c r="D126" i="2"/>
  <c r="K125" i="2"/>
  <c r="I125" i="2"/>
  <c r="H125" i="2"/>
  <c r="G125" i="2"/>
  <c r="E125" i="2"/>
  <c r="D125" i="2"/>
  <c r="K124" i="2"/>
  <c r="I124" i="2"/>
  <c r="H124" i="2"/>
  <c r="G124" i="2"/>
  <c r="E124" i="2"/>
  <c r="D124" i="2"/>
  <c r="K123" i="2"/>
  <c r="I123" i="2"/>
  <c r="H123" i="2"/>
  <c r="G123" i="2"/>
  <c r="E123" i="2"/>
  <c r="D123" i="2"/>
  <c r="K122" i="2"/>
  <c r="I122" i="2"/>
  <c r="H122" i="2"/>
  <c r="G122" i="2"/>
  <c r="E122" i="2"/>
  <c r="D122" i="2"/>
  <c r="K121" i="2"/>
  <c r="I121" i="2"/>
  <c r="H121" i="2"/>
  <c r="G121" i="2"/>
  <c r="E121" i="2"/>
  <c r="D121" i="2"/>
  <c r="K120" i="2"/>
  <c r="I120" i="2"/>
  <c r="H120" i="2"/>
  <c r="G120" i="2"/>
  <c r="E120" i="2"/>
  <c r="D120" i="2"/>
  <c r="K119" i="2"/>
  <c r="I119" i="2"/>
  <c r="H119" i="2"/>
  <c r="G119" i="2"/>
  <c r="E119" i="2"/>
  <c r="D119" i="2"/>
  <c r="J117" i="2"/>
  <c r="N89" i="2"/>
  <c r="N117" i="2" s="1"/>
  <c r="M89" i="2"/>
  <c r="M117" i="2" s="1"/>
  <c r="J89" i="2"/>
  <c r="J73" i="2"/>
  <c r="J71" i="2"/>
  <c r="J70" i="2"/>
  <c r="V68" i="2"/>
  <c r="U68" i="2"/>
  <c r="T68" i="2"/>
  <c r="R68" i="2"/>
  <c r="Q68" i="2"/>
  <c r="V66" i="2"/>
  <c r="U66" i="2"/>
  <c r="T66" i="2"/>
  <c r="R66" i="2"/>
  <c r="Q66" i="2"/>
  <c r="V63" i="2"/>
  <c r="U63" i="2"/>
  <c r="T63" i="2"/>
  <c r="R63" i="2"/>
  <c r="J62" i="2"/>
  <c r="W61" i="2"/>
  <c r="V61" i="2"/>
  <c r="U61" i="2"/>
  <c r="T61" i="2"/>
  <c r="R61" i="2"/>
  <c r="J61" i="2"/>
  <c r="J63" i="2" s="1"/>
  <c r="J68" i="2" s="1"/>
  <c r="J60" i="2"/>
  <c r="J48" i="2"/>
  <c r="J135" i="2" s="1"/>
  <c r="J47" i="2"/>
  <c r="J134" i="2" s="1"/>
  <c r="J43" i="2"/>
  <c r="J130" i="2" s="1"/>
  <c r="V39" i="2"/>
  <c r="U39" i="2"/>
  <c r="T39" i="2"/>
  <c r="R39" i="2"/>
  <c r="Q39" i="2"/>
  <c r="V37" i="2"/>
  <c r="U37" i="2"/>
  <c r="T37" i="2"/>
  <c r="R37" i="2"/>
  <c r="Q37" i="2"/>
  <c r="J36" i="2"/>
  <c r="J123" i="2" s="1"/>
  <c r="V34" i="2"/>
  <c r="U34" i="2"/>
  <c r="T34" i="2"/>
  <c r="R34" i="2"/>
  <c r="Q34" i="2"/>
  <c r="V32" i="2"/>
  <c r="U32" i="2"/>
  <c r="T32" i="2"/>
  <c r="R32" i="2"/>
  <c r="Q32" i="2"/>
  <c r="N31" i="2"/>
  <c r="M31" i="2"/>
  <c r="L31" i="2"/>
  <c r="L60" i="2" s="1"/>
  <c r="L89" i="2" s="1"/>
  <c r="L117" i="2" s="1"/>
  <c r="J31" i="2"/>
  <c r="J15" i="2"/>
  <c r="J44" i="2" s="1"/>
  <c r="J13" i="2"/>
  <c r="J42" i="2" s="1"/>
  <c r="J12" i="2"/>
  <c r="V10" i="2"/>
  <c r="U10" i="2"/>
  <c r="T10" i="2"/>
  <c r="R10" i="2"/>
  <c r="Q10" i="2"/>
  <c r="V8" i="2"/>
  <c r="U8" i="2"/>
  <c r="T8" i="2"/>
  <c r="R8" i="2"/>
  <c r="Q8" i="2"/>
  <c r="V5" i="2"/>
  <c r="U5" i="2"/>
  <c r="T5" i="2"/>
  <c r="R5" i="2"/>
  <c r="Q5" i="2"/>
  <c r="J4" i="2"/>
  <c r="W3" i="2"/>
  <c r="V3" i="2"/>
  <c r="U3" i="2"/>
  <c r="T3" i="2"/>
  <c r="R3" i="2"/>
  <c r="Q3" i="2"/>
  <c r="J3" i="2"/>
  <c r="J32" i="2" s="1"/>
  <c r="HI51" i="8"/>
  <c r="HH51" i="8"/>
  <c r="HH50" i="8"/>
  <c r="HI50" i="8"/>
  <c r="HH49" i="8"/>
  <c r="HI49" i="8"/>
  <c r="HI48" i="8"/>
  <c r="HH48" i="8"/>
  <c r="HH47" i="8"/>
  <c r="HI47" i="8"/>
  <c r="HI46" i="8"/>
  <c r="HH46" i="8"/>
  <c r="HH45" i="8"/>
  <c r="HI45" i="8"/>
  <c r="HI44" i="8"/>
  <c r="HH44" i="8"/>
  <c r="HI43" i="8"/>
  <c r="HH43" i="8"/>
  <c r="HH42" i="8"/>
  <c r="HI42" i="8"/>
  <c r="HH41" i="8"/>
  <c r="HI41" i="8"/>
  <c r="HI40" i="8"/>
  <c r="HH40" i="8"/>
  <c r="HI39" i="8"/>
  <c r="HH39" i="8"/>
  <c r="HI38" i="8"/>
  <c r="HH38" i="8"/>
  <c r="HH37" i="8"/>
  <c r="HI37" i="8"/>
  <c r="J119" i="2" l="1"/>
  <c r="J64" i="2"/>
  <c r="J67" i="2" s="1"/>
  <c r="J69" i="2" s="1"/>
  <c r="J75" i="2" s="1"/>
  <c r="Y57" i="8"/>
  <c r="Y58" i="8"/>
  <c r="Y59" i="8"/>
  <c r="J128" i="2"/>
  <c r="J6" i="2"/>
  <c r="J5" i="2"/>
  <c r="J33" i="2"/>
  <c r="J131" i="2"/>
  <c r="J41" i="2"/>
  <c r="J66" i="2"/>
  <c r="W66" i="2" s="1"/>
  <c r="J129" i="2"/>
  <c r="J74" i="2" l="1"/>
  <c r="W63" i="2"/>
  <c r="W68" i="2"/>
  <c r="B52" i="8"/>
  <c r="J34" i="2"/>
  <c r="J121" i="2" s="1"/>
  <c r="W5" i="2"/>
  <c r="J10" i="2"/>
  <c r="J8" i="2"/>
  <c r="J35" i="2"/>
  <c r="J122" i="2" s="1"/>
  <c r="J9" i="2"/>
  <c r="W32" i="2"/>
  <c r="J120" i="2"/>
  <c r="J37" i="2" l="1"/>
  <c r="W8" i="2"/>
  <c r="J124" i="2"/>
  <c r="W10" i="2"/>
  <c r="J39" i="2"/>
  <c r="J126" i="2" s="1"/>
  <c r="W34" i="2"/>
  <c r="J38" i="2"/>
  <c r="J45" i="2" s="1"/>
  <c r="J11" i="2"/>
  <c r="J16" i="2"/>
  <c r="J132" i="2" l="1"/>
  <c r="J125" i="2"/>
  <c r="J17" i="2"/>
  <c r="J40" i="2"/>
  <c r="J46" i="2" s="1"/>
  <c r="W37" i="2"/>
  <c r="W39" i="2"/>
  <c r="J133" i="2" l="1"/>
  <c r="J127" i="2"/>
  <c r="AE60" i="8" l="1"/>
  <c r="AC16" i="8"/>
  <c r="HH17" i="8"/>
  <c r="F16" i="8" l="1"/>
  <c r="AC17" i="8"/>
  <c r="AJ17" i="8"/>
  <c r="AL17" i="8"/>
  <c r="HH26" i="8"/>
  <c r="HH29" i="8"/>
  <c r="HH24" i="8"/>
  <c r="HH31" i="8"/>
  <c r="HH27" i="8"/>
  <c r="HH22" i="8"/>
  <c r="AJ16" i="8"/>
  <c r="HH28" i="8"/>
  <c r="HH35" i="8"/>
  <c r="HH19" i="8"/>
  <c r="HH21" i="8"/>
  <c r="HH33" i="8"/>
  <c r="HH34" i="8"/>
  <c r="HH36" i="8"/>
  <c r="AL16" i="8"/>
  <c r="HH32" i="8"/>
  <c r="HH18" i="8"/>
  <c r="HH23" i="8"/>
  <c r="HH20" i="8"/>
  <c r="HH25" i="8"/>
  <c r="HH30" i="8"/>
  <c r="BB16" i="8" l="1"/>
  <c r="BB17" i="8"/>
  <c r="F17" i="8"/>
  <c r="AJ18" i="8"/>
  <c r="AC18" i="8" l="1"/>
  <c r="AL18" i="8"/>
  <c r="BB18" i="8" l="1"/>
  <c r="F18" i="8"/>
  <c r="AJ19" i="8"/>
  <c r="AC19" i="8" l="1"/>
  <c r="AL19" i="8"/>
  <c r="BB19" i="8" l="1"/>
  <c r="F19" i="8"/>
  <c r="AJ20" i="8"/>
  <c r="AC20" i="8" l="1"/>
  <c r="AL20" i="8"/>
  <c r="BB20" i="8" l="1"/>
  <c r="F20" i="8"/>
  <c r="AJ21" i="8"/>
  <c r="AC21" i="8" l="1"/>
  <c r="AL21" i="8"/>
  <c r="BB21" i="8" l="1"/>
  <c r="F21" i="8"/>
  <c r="AJ22" i="8"/>
  <c r="AC22" i="8" l="1"/>
  <c r="AL22" i="8"/>
  <c r="BB22" i="8" l="1"/>
  <c r="F22" i="8"/>
  <c r="AJ23" i="8"/>
  <c r="AC23" i="8" l="1"/>
  <c r="AL23" i="8"/>
  <c r="BB23" i="8" l="1"/>
  <c r="F23" i="8"/>
  <c r="AJ24" i="8"/>
  <c r="AC24" i="8" l="1"/>
  <c r="AL24" i="8"/>
  <c r="BB24" i="8" l="1"/>
  <c r="F24" i="8"/>
  <c r="AJ25" i="8"/>
  <c r="AC25" i="8" l="1"/>
  <c r="AL25" i="8"/>
  <c r="BB25" i="8" l="1"/>
  <c r="F25" i="8"/>
  <c r="AJ26" i="8"/>
  <c r="AC26" i="8" l="1"/>
  <c r="AL26" i="8"/>
  <c r="BB26" i="8" l="1"/>
  <c r="F26" i="8"/>
  <c r="AJ27" i="8"/>
  <c r="AC27" i="8" l="1"/>
  <c r="AL27" i="8"/>
  <c r="BB27" i="8" l="1"/>
  <c r="F27" i="8"/>
  <c r="AJ28" i="8"/>
  <c r="AC28" i="8" l="1"/>
  <c r="AL28" i="8"/>
  <c r="BB28" i="8" l="1"/>
  <c r="F28" i="8"/>
  <c r="AJ29" i="8"/>
  <c r="AC29" i="8" l="1"/>
  <c r="AL29" i="8"/>
  <c r="BB29" i="8" l="1"/>
  <c r="F29" i="8"/>
  <c r="AC30" i="8"/>
  <c r="AL30" i="8"/>
  <c r="AJ30" i="8"/>
  <c r="BB30" i="8" l="1"/>
  <c r="F30" i="8"/>
  <c r="AJ31" i="8"/>
  <c r="AC31" i="8" l="1"/>
  <c r="AL31" i="8"/>
  <c r="BB31" i="8" l="1"/>
  <c r="F31" i="8"/>
  <c r="AJ32" i="8"/>
  <c r="AC32" i="8" l="1"/>
  <c r="AL32" i="8"/>
  <c r="BB32" i="8" l="1"/>
  <c r="F32" i="8"/>
  <c r="AC33" i="8"/>
  <c r="AL33" i="8"/>
  <c r="AJ33" i="8"/>
  <c r="BB33" i="8" l="1"/>
  <c r="F33" i="8"/>
  <c r="AH34" i="8"/>
  <c r="AJ34" i="8"/>
  <c r="AI34" i="8"/>
  <c r="AK34" i="8" l="1"/>
  <c r="AV34" i="8" s="1"/>
  <c r="AC34" i="8"/>
  <c r="AL34" i="8"/>
  <c r="AT34" i="8" l="1"/>
  <c r="BB34" i="8"/>
  <c r="AU34" i="8"/>
  <c r="F34" i="8"/>
  <c r="AI35" i="8"/>
  <c r="AH35" i="8"/>
  <c r="AJ35" i="8"/>
  <c r="BD34" i="8" l="1"/>
  <c r="CX70" i="8" s="1"/>
  <c r="AK35" i="8"/>
  <c r="AV35" i="8" s="1"/>
  <c r="AC35" i="8"/>
  <c r="AL35" i="8"/>
  <c r="BN34" i="8" l="1"/>
  <c r="AT35" i="8"/>
  <c r="BB35" i="8"/>
  <c r="AU35" i="8"/>
  <c r="F35" i="8"/>
  <c r="AD35" i="8" s="1"/>
  <c r="AC36" i="8"/>
  <c r="F36" i="8"/>
  <c r="AC37" i="8"/>
  <c r="F37" i="8"/>
  <c r="AC38" i="8"/>
  <c r="F38" i="8"/>
  <c r="AC39" i="8"/>
  <c r="F39" i="8"/>
  <c r="AC40" i="8"/>
  <c r="F40" i="8"/>
  <c r="AC41" i="8"/>
  <c r="F41" i="8"/>
  <c r="AC42" i="8"/>
  <c r="F42" i="8"/>
  <c r="AC43" i="8"/>
  <c r="F43" i="8"/>
  <c r="AC44" i="8"/>
  <c r="F44" i="8"/>
  <c r="AC45" i="8"/>
  <c r="F45" i="8"/>
  <c r="AC46" i="8"/>
  <c r="F46" i="8"/>
  <c r="AC47" i="8"/>
  <c r="F47" i="8"/>
  <c r="AC48" i="8"/>
  <c r="F48" i="8"/>
  <c r="AC49" i="8"/>
  <c r="F49" i="8"/>
  <c r="AC50" i="8"/>
  <c r="F50" i="8"/>
  <c r="BE34" i="8"/>
  <c r="CY71" i="8" s="1"/>
  <c r="BF34" i="8"/>
  <c r="CY70" i="8" s="1"/>
  <c r="BH34" i="8"/>
  <c r="CZ70" i="8" s="1"/>
  <c r="BJ34" i="8"/>
  <c r="CY72" i="8" s="1"/>
  <c r="BL34" i="8"/>
  <c r="CZ72" i="8" s="1"/>
  <c r="AD16" i="8"/>
  <c r="AD17" i="8"/>
  <c r="AD18" i="8"/>
  <c r="AD19" i="8"/>
  <c r="AD20" i="8"/>
  <c r="AD21" i="8"/>
  <c r="AD22" i="8"/>
  <c r="AD23" i="8"/>
  <c r="AD24" i="8"/>
  <c r="AD25" i="8"/>
  <c r="AD26" i="8"/>
  <c r="AD27" i="8"/>
  <c r="AD28" i="8"/>
  <c r="AD29" i="8"/>
  <c r="AD30" i="8"/>
  <c r="AD31" i="8"/>
  <c r="AD32" i="8"/>
  <c r="AD33" i="8"/>
  <c r="AD34" i="8"/>
  <c r="HI15" i="8"/>
  <c r="Z16" i="8"/>
  <c r="Z17" i="8"/>
  <c r="Z18" i="8"/>
  <c r="Z19" i="8"/>
  <c r="Z20" i="8"/>
  <c r="Z21" i="8"/>
  <c r="Z22" i="8"/>
  <c r="Z23" i="8"/>
  <c r="Z24" i="8"/>
  <c r="Z25" i="8"/>
  <c r="Z26" i="8"/>
  <c r="Z27" i="8"/>
  <c r="Z28" i="8"/>
  <c r="Z29" i="8"/>
  <c r="Z30" i="8"/>
  <c r="Z31" i="8"/>
  <c r="Z32" i="8"/>
  <c r="Z33" i="8"/>
  <c r="Z34" i="8"/>
  <c r="Z35" i="8"/>
  <c r="Z36" i="8"/>
  <c r="AA36" i="8"/>
  <c r="Z37" i="8"/>
  <c r="AA37" i="8"/>
  <c r="Z38" i="8"/>
  <c r="AA38" i="8"/>
  <c r="Z39" i="8"/>
  <c r="AA39" i="8"/>
  <c r="Z40" i="8"/>
  <c r="AA40" i="8"/>
  <c r="Z41" i="8"/>
  <c r="AA41" i="8"/>
  <c r="Z42" i="8"/>
  <c r="AA42" i="8"/>
  <c r="Z43" i="8"/>
  <c r="AA43" i="8"/>
  <c r="Z44" i="8"/>
  <c r="AA44" i="8"/>
  <c r="Z45" i="8"/>
  <c r="AA45" i="8"/>
  <c r="Z46" i="8"/>
  <c r="AA46" i="8"/>
  <c r="Z47" i="8"/>
  <c r="AA47" i="8"/>
  <c r="Z48" i="8"/>
  <c r="AA48" i="8"/>
  <c r="Z49" i="8"/>
  <c r="AA49" i="8"/>
  <c r="Z50" i="8"/>
  <c r="AA50" i="8"/>
  <c r="AH50" i="8"/>
  <c r="AJ50" i="8"/>
  <c r="AL50" i="8"/>
  <c r="AI50" i="8"/>
  <c r="AJ49" i="8"/>
  <c r="AL49" i="8"/>
  <c r="AI49" i="8"/>
  <c r="AH49" i="8"/>
  <c r="AL48" i="8"/>
  <c r="AI48" i="8"/>
  <c r="AH48" i="8"/>
  <c r="AJ48" i="8"/>
  <c r="AI47" i="8"/>
  <c r="AH47" i="8"/>
  <c r="AJ47" i="8"/>
  <c r="AL47" i="8"/>
  <c r="AH46" i="8"/>
  <c r="AI46" i="8"/>
  <c r="AJ46" i="8"/>
  <c r="AL46" i="8"/>
  <c r="AJ45" i="8"/>
  <c r="AL45" i="8"/>
  <c r="AI45" i="8"/>
  <c r="AH45" i="8"/>
  <c r="AL44" i="8"/>
  <c r="AI44" i="8"/>
  <c r="AH44" i="8"/>
  <c r="AJ44" i="8"/>
  <c r="AI43" i="8"/>
  <c r="AJ43" i="8"/>
  <c r="AH43" i="8"/>
  <c r="AL43" i="8"/>
  <c r="AH42" i="8"/>
  <c r="AJ42" i="8"/>
  <c r="AI42" i="8"/>
  <c r="AL42" i="8"/>
  <c r="AJ41" i="8"/>
  <c r="AL41" i="8"/>
  <c r="AI41" i="8"/>
  <c r="AH41" i="8"/>
  <c r="AL40" i="8"/>
  <c r="AI40" i="8"/>
  <c r="AH40" i="8"/>
  <c r="AJ40" i="8"/>
  <c r="AI39" i="8"/>
  <c r="AH39" i="8"/>
  <c r="AJ39" i="8"/>
  <c r="AL39" i="8"/>
  <c r="AH38" i="8"/>
  <c r="AJ38" i="8"/>
  <c r="AL38" i="8"/>
  <c r="AI38" i="8"/>
  <c r="AJ37" i="8"/>
  <c r="AL37" i="8"/>
  <c r="AI37" i="8"/>
  <c r="AH37" i="8"/>
  <c r="AL36" i="8"/>
  <c r="AJ36" i="8"/>
  <c r="AI36" i="8"/>
  <c r="AH36" i="8"/>
  <c r="HI27" i="8"/>
  <c r="HI19" i="8"/>
  <c r="AO16" i="8"/>
  <c r="HI33" i="8"/>
  <c r="HI31" i="8"/>
  <c r="HI28" i="8"/>
  <c r="HI21" i="8"/>
  <c r="HI24" i="8"/>
  <c r="HI26" i="8"/>
  <c r="HI25" i="8"/>
  <c r="AP16" i="8"/>
  <c r="HI35" i="8"/>
  <c r="HI17" i="8"/>
  <c r="AM16" i="8"/>
  <c r="HI34" i="8"/>
  <c r="HI18" i="8"/>
  <c r="HI29" i="8"/>
  <c r="HI20" i="8"/>
  <c r="HI32" i="8"/>
  <c r="HI23" i="8"/>
  <c r="AN16" i="8"/>
  <c r="HI30" i="8"/>
  <c r="HI22" i="8"/>
  <c r="HI36" i="8"/>
  <c r="AQ16" i="8"/>
  <c r="BB50" i="8" l="1"/>
  <c r="AK50" i="8"/>
  <c r="AG35" i="8"/>
  <c r="BB49" i="8"/>
  <c r="AK49" i="8"/>
  <c r="AV49" i="8" s="1"/>
  <c r="AK48" i="8"/>
  <c r="AV48" i="8" s="1"/>
  <c r="BB48" i="8"/>
  <c r="BB47" i="8"/>
  <c r="AK47" i="8"/>
  <c r="AT47" i="8" s="1"/>
  <c r="BB46" i="8"/>
  <c r="AK46" i="8"/>
  <c r="AT46" i="8" s="1"/>
  <c r="BB45" i="8"/>
  <c r="AK45" i="8"/>
  <c r="AT45" i="8" s="1"/>
  <c r="AK44" i="8"/>
  <c r="AU44" i="8" s="1"/>
  <c r="BB44" i="8"/>
  <c r="BB43" i="8"/>
  <c r="AK43" i="8"/>
  <c r="AT43" i="8" s="1"/>
  <c r="BB42" i="8"/>
  <c r="AK42" i="8"/>
  <c r="AT42" i="8" s="1"/>
  <c r="BB41" i="8"/>
  <c r="AK41" i="8"/>
  <c r="AU41" i="8" s="1"/>
  <c r="AK40" i="8"/>
  <c r="AV40" i="8" s="1"/>
  <c r="BB40" i="8"/>
  <c r="BB39" i="8"/>
  <c r="AK39" i="8"/>
  <c r="AT39" i="8" s="1"/>
  <c r="BB38" i="8"/>
  <c r="AK38" i="8"/>
  <c r="AU38" i="8" s="1"/>
  <c r="BB37" i="8"/>
  <c r="AK37" i="8"/>
  <c r="AV37" i="8" s="1"/>
  <c r="AK36" i="8"/>
  <c r="AV36" i="8" s="1"/>
  <c r="BB36" i="8"/>
  <c r="AG28" i="8"/>
  <c r="BO34" i="8"/>
  <c r="BV34" i="8"/>
  <c r="BT34" i="8"/>
  <c r="BI34" i="8"/>
  <c r="CX72" i="8" s="1"/>
  <c r="BP34" i="8"/>
  <c r="AG22" i="8"/>
  <c r="AG26" i="8"/>
  <c r="AG32" i="8"/>
  <c r="AG24" i="8"/>
  <c r="AG23" i="8"/>
  <c r="AG18" i="8"/>
  <c r="AG27" i="8"/>
  <c r="AG16" i="8"/>
  <c r="F51" i="8"/>
  <c r="AG21" i="8"/>
  <c r="AG33" i="8"/>
  <c r="AG20" i="8"/>
  <c r="AG31" i="8"/>
  <c r="AG25" i="8"/>
  <c r="AE16" i="8"/>
  <c r="AG19" i="8"/>
  <c r="AG17" i="8"/>
  <c r="AA16" i="8"/>
  <c r="AG29" i="8"/>
  <c r="BE35" i="8"/>
  <c r="CY74" i="8" s="1"/>
  <c r="BH35" i="8"/>
  <c r="CZ73" i="8" s="1"/>
  <c r="BL35" i="8"/>
  <c r="CZ75" i="8" s="1"/>
  <c r="BJ35" i="8"/>
  <c r="CY75" i="8" s="1"/>
  <c r="BF35" i="8"/>
  <c r="CY73" i="8" s="1"/>
  <c r="AU47" i="8"/>
  <c r="BD35" i="8"/>
  <c r="CX73" i="8" s="1"/>
  <c r="AT50" i="8"/>
  <c r="BG34" i="8"/>
  <c r="CX71" i="8" s="1"/>
  <c r="AU50" i="8"/>
  <c r="AV47" i="8"/>
  <c r="AA35" i="8"/>
  <c r="AA33" i="8"/>
  <c r="AA31" i="8"/>
  <c r="AA29" i="8"/>
  <c r="AA27" i="8"/>
  <c r="AA25" i="8"/>
  <c r="AA23" i="8"/>
  <c r="AA21" i="8"/>
  <c r="AA19" i="8"/>
  <c r="AA17" i="8"/>
  <c r="AG34" i="8"/>
  <c r="AG30" i="8"/>
  <c r="AA34" i="8"/>
  <c r="AA32" i="8"/>
  <c r="AA30" i="8"/>
  <c r="AA28" i="8"/>
  <c r="AA26" i="8"/>
  <c r="AA24" i="8"/>
  <c r="AA22" i="8"/>
  <c r="AA20" i="8"/>
  <c r="AA18" i="8"/>
  <c r="BK34" i="8"/>
  <c r="CZ71" i="8" s="1"/>
  <c r="BR34" i="8"/>
  <c r="AV50" i="8"/>
  <c r="AV46" i="8"/>
  <c r="AE17" i="8"/>
  <c r="AM17" i="8"/>
  <c r="AO17" i="8"/>
  <c r="AQ17" i="8"/>
  <c r="AN17" i="8"/>
  <c r="AP17" i="8"/>
  <c r="AU43" i="8" l="1"/>
  <c r="AV43" i="8"/>
  <c r="AT37" i="8"/>
  <c r="AU49" i="8"/>
  <c r="AT49" i="8"/>
  <c r="AT48" i="8"/>
  <c r="AU48" i="8"/>
  <c r="AU46" i="8"/>
  <c r="BJ46" i="8" s="1"/>
  <c r="CY108" i="8" s="1"/>
  <c r="AU42" i="8"/>
  <c r="AV42" i="8"/>
  <c r="AV45" i="8"/>
  <c r="AU45" i="8"/>
  <c r="AV41" i="8"/>
  <c r="AT41" i="8"/>
  <c r="AU37" i="8"/>
  <c r="AT36" i="8"/>
  <c r="AT44" i="8"/>
  <c r="AU40" i="8"/>
  <c r="AV44" i="8"/>
  <c r="AT40" i="8"/>
  <c r="AV39" i="8"/>
  <c r="AU39" i="8"/>
  <c r="AT38" i="8"/>
  <c r="AV38" i="8"/>
  <c r="AU36" i="8"/>
  <c r="BO35" i="8"/>
  <c r="BP35" i="8"/>
  <c r="BK35" i="8"/>
  <c r="BX35" i="8"/>
  <c r="BV35" i="8"/>
  <c r="BR35" i="8"/>
  <c r="BQ34" i="8"/>
  <c r="BS34" i="8"/>
  <c r="AF17" i="8"/>
  <c r="AF16" i="8"/>
  <c r="FT16" i="8" s="1"/>
  <c r="FT18" i="8"/>
  <c r="BN35" i="8"/>
  <c r="BE47" i="8"/>
  <c r="CY110" i="8" s="1"/>
  <c r="CB35" i="8"/>
  <c r="CD35" i="8"/>
  <c r="BT35" i="8"/>
  <c r="BY35" i="8"/>
  <c r="BL50" i="8"/>
  <c r="CZ120" i="8" s="1"/>
  <c r="CI35" i="8"/>
  <c r="BI35" i="8"/>
  <c r="CX75" i="8" s="1"/>
  <c r="CH35" i="8"/>
  <c r="CJ35" i="8"/>
  <c r="BZ35" i="8"/>
  <c r="CP35" i="8"/>
  <c r="CF35" i="8"/>
  <c r="CL35" i="8"/>
  <c r="BG35" i="8"/>
  <c r="CX74" i="8" s="1"/>
  <c r="CN35" i="8"/>
  <c r="BE50" i="8"/>
  <c r="CY119" i="8" s="1"/>
  <c r="BF47" i="8"/>
  <c r="CY109" i="8" s="1"/>
  <c r="BD47" i="8"/>
  <c r="CX109" i="8" s="1"/>
  <c r="BH47" i="8"/>
  <c r="CZ109" i="8" s="1"/>
  <c r="BJ47" i="8"/>
  <c r="CY111" i="8" s="1"/>
  <c r="BL47" i="8"/>
  <c r="CZ111" i="8" s="1"/>
  <c r="BY34" i="8"/>
  <c r="BX34" i="8"/>
  <c r="CC34" i="8"/>
  <c r="CB34" i="8"/>
  <c r="CH34" i="8"/>
  <c r="CK34" i="8"/>
  <c r="CA34" i="8"/>
  <c r="CD34" i="8"/>
  <c r="CJ34" i="8"/>
  <c r="CL34" i="8"/>
  <c r="CN34" i="8"/>
  <c r="CP34" i="8"/>
  <c r="BZ34" i="8"/>
  <c r="CF34" i="8"/>
  <c r="CI34" i="8"/>
  <c r="CM34" i="8"/>
  <c r="BD50" i="8"/>
  <c r="CX118" i="8" s="1"/>
  <c r="BF50" i="8"/>
  <c r="CY118" i="8" s="1"/>
  <c r="BH50" i="8"/>
  <c r="CZ118" i="8" s="1"/>
  <c r="BU34" i="8"/>
  <c r="CE34" i="8"/>
  <c r="CO34" i="8"/>
  <c r="BJ50" i="8"/>
  <c r="CY120" i="8" s="1"/>
  <c r="AE18" i="8"/>
  <c r="AP18" i="8"/>
  <c r="AO18" i="8"/>
  <c r="AN18" i="8"/>
  <c r="AQ18" i="8"/>
  <c r="AM18" i="8"/>
  <c r="BE37" i="8" l="1"/>
  <c r="CY80" i="8" s="1"/>
  <c r="BD49" i="8"/>
  <c r="CX115" i="8" s="1"/>
  <c r="BF49" i="8"/>
  <c r="CY115" i="8" s="1"/>
  <c r="BH49" i="8"/>
  <c r="CZ115" i="8" s="1"/>
  <c r="BJ49" i="8"/>
  <c r="CY117" i="8" s="1"/>
  <c r="BE49" i="8"/>
  <c r="CY116" i="8" s="1"/>
  <c r="BL49" i="8"/>
  <c r="CZ117" i="8" s="1"/>
  <c r="BH43" i="8"/>
  <c r="CZ97" i="8" s="1"/>
  <c r="BJ43" i="8"/>
  <c r="CY99" i="8" s="1"/>
  <c r="BD43" i="8"/>
  <c r="CX97" i="8" s="1"/>
  <c r="BE43" i="8"/>
  <c r="CY98" i="8" s="1"/>
  <c r="BL43" i="8"/>
  <c r="CZ99" i="8" s="1"/>
  <c r="BF43" i="8"/>
  <c r="CY97" i="8" s="1"/>
  <c r="BL46" i="8"/>
  <c r="CZ108" i="8" s="1"/>
  <c r="BD37" i="8"/>
  <c r="CX79" i="8" s="1"/>
  <c r="BD36" i="8"/>
  <c r="CX76" i="8" s="1"/>
  <c r="BL48" i="8"/>
  <c r="CZ114" i="8" s="1"/>
  <c r="BE44" i="8"/>
  <c r="CY101" i="8" s="1"/>
  <c r="BD46" i="8"/>
  <c r="CX106" i="8" s="1"/>
  <c r="BH46" i="8"/>
  <c r="CZ106" i="8" s="1"/>
  <c r="BF46" i="8"/>
  <c r="CY106" i="8" s="1"/>
  <c r="BE46" i="8"/>
  <c r="CY107" i="8" s="1"/>
  <c r="BE42" i="8"/>
  <c r="CY95" i="8" s="1"/>
  <c r="BH48" i="8"/>
  <c r="CZ112" i="8" s="1"/>
  <c r="BH44" i="8"/>
  <c r="CZ100" i="8" s="1"/>
  <c r="BD42" i="8"/>
  <c r="CX94" i="8" s="1"/>
  <c r="BF36" i="8"/>
  <c r="CY76" i="8" s="1"/>
  <c r="BE36" i="8"/>
  <c r="CY77" i="8" s="1"/>
  <c r="BL36" i="8"/>
  <c r="CZ78" i="8" s="1"/>
  <c r="BL42" i="8"/>
  <c r="CZ96" i="8" s="1"/>
  <c r="BH42" i="8"/>
  <c r="CZ94" i="8" s="1"/>
  <c r="BJ42" i="8"/>
  <c r="CY96" i="8" s="1"/>
  <c r="BF42" i="8"/>
  <c r="CY94" i="8" s="1"/>
  <c r="BD44" i="8"/>
  <c r="CX100" i="8" s="1"/>
  <c r="BJ44" i="8"/>
  <c r="CY102" i="8" s="1"/>
  <c r="BF44" i="8"/>
  <c r="CY100" i="8" s="1"/>
  <c r="BD40" i="8"/>
  <c r="CX88" i="8" s="1"/>
  <c r="BL45" i="8"/>
  <c r="CZ105" i="8" s="1"/>
  <c r="BL37" i="8"/>
  <c r="CZ81" i="8" s="1"/>
  <c r="BD48" i="8"/>
  <c r="CX112" i="8" s="1"/>
  <c r="BJ48" i="8"/>
  <c r="CY114" i="8" s="1"/>
  <c r="BF48" i="8"/>
  <c r="CY112" i="8" s="1"/>
  <c r="BE48" i="8"/>
  <c r="CY113" i="8" s="1"/>
  <c r="BJ37" i="8"/>
  <c r="CY81" i="8" s="1"/>
  <c r="BH37" i="8"/>
  <c r="CZ79" i="8" s="1"/>
  <c r="BF37" i="8"/>
  <c r="CY79" i="8" s="1"/>
  <c r="BD45" i="8"/>
  <c r="CX103" i="8" s="1"/>
  <c r="BJ45" i="8"/>
  <c r="CY105" i="8" s="1"/>
  <c r="BL44" i="8"/>
  <c r="CZ102" i="8" s="1"/>
  <c r="BE45" i="8"/>
  <c r="CY104" i="8" s="1"/>
  <c r="BH45" i="8"/>
  <c r="CZ103" i="8" s="1"/>
  <c r="BF45" i="8"/>
  <c r="CY103" i="8" s="1"/>
  <c r="BJ41" i="8"/>
  <c r="CY93" i="8" s="1"/>
  <c r="BH39" i="8"/>
  <c r="CZ85" i="8" s="1"/>
  <c r="BE41" i="8"/>
  <c r="CY92" i="8" s="1"/>
  <c r="BL38" i="8"/>
  <c r="CZ84" i="8" s="1"/>
  <c r="BL39" i="8"/>
  <c r="CZ87" i="8" s="1"/>
  <c r="BH41" i="8"/>
  <c r="CZ91" i="8" s="1"/>
  <c r="BF39" i="8"/>
  <c r="CY85" i="8" s="1"/>
  <c r="BE39" i="8"/>
  <c r="CY86" i="8" s="1"/>
  <c r="BF41" i="8"/>
  <c r="CY91" i="8" s="1"/>
  <c r="BH40" i="8"/>
  <c r="CZ88" i="8" s="1"/>
  <c r="BJ39" i="8"/>
  <c r="CY87" i="8" s="1"/>
  <c r="BL41" i="8"/>
  <c r="CZ93" i="8" s="1"/>
  <c r="BD41" i="8"/>
  <c r="CX91" i="8" s="1"/>
  <c r="BJ40" i="8"/>
  <c r="CY90" i="8" s="1"/>
  <c r="BF40" i="8"/>
  <c r="CY88" i="8" s="1"/>
  <c r="BE40" i="8"/>
  <c r="CY89" i="8" s="1"/>
  <c r="BL40" i="8"/>
  <c r="CZ90" i="8" s="1"/>
  <c r="BH38" i="8"/>
  <c r="CZ82" i="8" s="1"/>
  <c r="BJ38" i="8"/>
  <c r="CY84" i="8" s="1"/>
  <c r="BF38" i="8"/>
  <c r="CY82" i="8" s="1"/>
  <c r="BD38" i="8"/>
  <c r="CX82" i="8" s="1"/>
  <c r="BE38" i="8"/>
  <c r="CY83" i="8" s="1"/>
  <c r="BJ36" i="8"/>
  <c r="CY78" i="8" s="1"/>
  <c r="BH36" i="8"/>
  <c r="CZ76" i="8" s="1"/>
  <c r="BD39" i="8"/>
  <c r="CX85" i="8" s="1"/>
  <c r="BU35" i="8"/>
  <c r="CZ74" i="8"/>
  <c r="BO47" i="8"/>
  <c r="CE35" i="8"/>
  <c r="CO35" i="8"/>
  <c r="CM35" i="8"/>
  <c r="CA35" i="8"/>
  <c r="AF18" i="8"/>
  <c r="BV50" i="8"/>
  <c r="CK35" i="8"/>
  <c r="BS35" i="8"/>
  <c r="BO50" i="8"/>
  <c r="CC35" i="8"/>
  <c r="BT46" i="8"/>
  <c r="BK46" i="8"/>
  <c r="CZ107" i="8" s="1"/>
  <c r="BQ35" i="8"/>
  <c r="BP47" i="8"/>
  <c r="BG47" i="8"/>
  <c r="CX110" i="8" s="1"/>
  <c r="BK47" i="8"/>
  <c r="CZ110" i="8" s="1"/>
  <c r="BT47" i="8"/>
  <c r="BR47" i="8"/>
  <c r="BI47" i="8"/>
  <c r="CX111" i="8" s="1"/>
  <c r="BN47" i="8"/>
  <c r="BV47" i="8"/>
  <c r="BP50" i="8"/>
  <c r="BG50" i="8"/>
  <c r="CX119" i="8" s="1"/>
  <c r="BN50" i="8"/>
  <c r="BT50" i="8"/>
  <c r="BK50" i="8"/>
  <c r="CZ119" i="8" s="1"/>
  <c r="BI50" i="8"/>
  <c r="CX120" i="8" s="1"/>
  <c r="BR50" i="8"/>
  <c r="AE19" i="8"/>
  <c r="AQ19" i="8"/>
  <c r="AO19" i="8"/>
  <c r="AN19" i="8"/>
  <c r="AM19" i="8"/>
  <c r="AP19" i="8"/>
  <c r="BP49" i="8" l="1"/>
  <c r="BN49" i="8"/>
  <c r="BO37" i="8"/>
  <c r="BK49" i="8"/>
  <c r="CZ116" i="8" s="1"/>
  <c r="BI49" i="8"/>
  <c r="CX117" i="8" s="1"/>
  <c r="BT49" i="8"/>
  <c r="BV49" i="8"/>
  <c r="BO49" i="8"/>
  <c r="BG49" i="8"/>
  <c r="CX116" i="8" s="1"/>
  <c r="BG43" i="8"/>
  <c r="CX98" i="8" s="1"/>
  <c r="BP43" i="8"/>
  <c r="BR49" i="8"/>
  <c r="BV43" i="8"/>
  <c r="BN36" i="8"/>
  <c r="BR43" i="8"/>
  <c r="BI43" i="8"/>
  <c r="CX99" i="8" s="1"/>
  <c r="BT43" i="8"/>
  <c r="BN43" i="8"/>
  <c r="BO43" i="8"/>
  <c r="BV46" i="8"/>
  <c r="BV48" i="8"/>
  <c r="BK43" i="8"/>
  <c r="CZ98" i="8" s="1"/>
  <c r="BG44" i="8"/>
  <c r="CX101" i="8" s="1"/>
  <c r="BN46" i="8"/>
  <c r="BO46" i="8"/>
  <c r="BG46" i="8"/>
  <c r="CX107" i="8" s="1"/>
  <c r="BI46" i="8"/>
  <c r="CX108" i="8" s="1"/>
  <c r="BP46" i="8"/>
  <c r="BN37" i="8"/>
  <c r="BO42" i="8"/>
  <c r="BR48" i="8"/>
  <c r="BO44" i="8"/>
  <c r="BI48" i="8"/>
  <c r="CX114" i="8" s="1"/>
  <c r="BI44" i="8"/>
  <c r="CX102" i="8" s="1"/>
  <c r="BO36" i="8"/>
  <c r="BR46" i="8"/>
  <c r="BT37" i="8"/>
  <c r="BG42" i="8"/>
  <c r="CX95" i="8" s="1"/>
  <c r="BP42" i="8"/>
  <c r="BR44" i="8"/>
  <c r="BO45" i="8"/>
  <c r="BG48" i="8"/>
  <c r="CX113" i="8" s="1"/>
  <c r="BP48" i="8"/>
  <c r="BN44" i="8"/>
  <c r="BN42" i="8"/>
  <c r="BK44" i="8"/>
  <c r="CZ101" i="8" s="1"/>
  <c r="BT44" i="8"/>
  <c r="BG36" i="8"/>
  <c r="CX77" i="8" s="1"/>
  <c r="BP36" i="8"/>
  <c r="BV36" i="8"/>
  <c r="BN40" i="8"/>
  <c r="BN48" i="8"/>
  <c r="BK45" i="8"/>
  <c r="CZ104" i="8" s="1"/>
  <c r="BK42" i="8"/>
  <c r="CZ95" i="8" s="1"/>
  <c r="BT42" i="8"/>
  <c r="BT45" i="8"/>
  <c r="BR42" i="8"/>
  <c r="BI42" i="8"/>
  <c r="CX96" i="8" s="1"/>
  <c r="BV42" i="8"/>
  <c r="BG45" i="8"/>
  <c r="CX104" i="8" s="1"/>
  <c r="BP44" i="8"/>
  <c r="BK37" i="8"/>
  <c r="CZ80" i="8" s="1"/>
  <c r="BP45" i="8"/>
  <c r="BV44" i="8"/>
  <c r="BK48" i="8"/>
  <c r="CZ113" i="8" s="1"/>
  <c r="BV45" i="8"/>
  <c r="BT48" i="8"/>
  <c r="BP37" i="8"/>
  <c r="BG37" i="8"/>
  <c r="CX80" i="8" s="1"/>
  <c r="BR37" i="8"/>
  <c r="BO48" i="8"/>
  <c r="BR45" i="8"/>
  <c r="BN45" i="8"/>
  <c r="BI37" i="8"/>
  <c r="CX81" i="8" s="1"/>
  <c r="BI45" i="8"/>
  <c r="CX105" i="8" s="1"/>
  <c r="BV37" i="8"/>
  <c r="BK41" i="8"/>
  <c r="CZ92" i="8" s="1"/>
  <c r="BT41" i="8"/>
  <c r="BP38" i="8"/>
  <c r="BG38" i="8"/>
  <c r="CX83" i="8" s="1"/>
  <c r="BV41" i="8"/>
  <c r="BV38" i="8"/>
  <c r="BI38" i="8"/>
  <c r="CX84" i="8" s="1"/>
  <c r="BR39" i="8"/>
  <c r="BI39" i="8"/>
  <c r="CX87" i="8" s="1"/>
  <c r="BR40" i="8"/>
  <c r="BI40" i="8"/>
  <c r="CX90" i="8" s="1"/>
  <c r="BR38" i="8"/>
  <c r="BO41" i="8"/>
  <c r="BT40" i="8"/>
  <c r="BR41" i="8"/>
  <c r="BI41" i="8"/>
  <c r="BS41" i="8" s="1"/>
  <c r="BK40" i="8"/>
  <c r="CZ89" i="8" s="1"/>
  <c r="BT36" i="8"/>
  <c r="BP39" i="8"/>
  <c r="BG40" i="8"/>
  <c r="CX89" i="8" s="1"/>
  <c r="BG39" i="8"/>
  <c r="CX86" i="8" s="1"/>
  <c r="BP40" i="8"/>
  <c r="BK36" i="8"/>
  <c r="CZ77" i="8" s="1"/>
  <c r="BG41" i="8"/>
  <c r="CX92" i="8" s="1"/>
  <c r="BN39" i="8"/>
  <c r="BP41" i="8"/>
  <c r="BV40" i="8"/>
  <c r="BO40" i="8"/>
  <c r="BO39" i="8"/>
  <c r="BV39" i="8"/>
  <c r="BN41" i="8"/>
  <c r="BK39" i="8"/>
  <c r="CZ86" i="8" s="1"/>
  <c r="BT38" i="8"/>
  <c r="BK38" i="8"/>
  <c r="CZ83" i="8" s="1"/>
  <c r="BT39" i="8"/>
  <c r="BN38" i="8"/>
  <c r="BR36" i="8"/>
  <c r="BI36" i="8"/>
  <c r="CX78" i="8" s="1"/>
  <c r="BO38" i="8"/>
  <c r="BU46" i="8"/>
  <c r="AF19" i="8"/>
  <c r="BS47" i="8"/>
  <c r="BU47" i="8"/>
  <c r="BQ47" i="8"/>
  <c r="BU50" i="8"/>
  <c r="BS50" i="8"/>
  <c r="BQ50" i="8"/>
  <c r="AE20" i="8"/>
  <c r="AM20" i="8"/>
  <c r="AN20" i="8"/>
  <c r="AO20" i="8"/>
  <c r="AQ20" i="8"/>
  <c r="AP20" i="8"/>
  <c r="BU49" i="8" l="1"/>
  <c r="BS49" i="8"/>
  <c r="BQ49" i="8"/>
  <c r="BQ43" i="8"/>
  <c r="BS43" i="8"/>
  <c r="BQ44" i="8"/>
  <c r="BS48" i="8"/>
  <c r="BU43" i="8"/>
  <c r="BS46" i="8"/>
  <c r="BQ46" i="8"/>
  <c r="BU45" i="8"/>
  <c r="BS44" i="8"/>
  <c r="BQ48" i="8"/>
  <c r="BQ42" i="8"/>
  <c r="BU44" i="8"/>
  <c r="BQ36" i="8"/>
  <c r="BU42" i="8"/>
  <c r="BQ37" i="8"/>
  <c r="BU48" i="8"/>
  <c r="BS42" i="8"/>
  <c r="BQ38" i="8"/>
  <c r="BU37" i="8"/>
  <c r="BQ45" i="8"/>
  <c r="BS40" i="8"/>
  <c r="BS38" i="8"/>
  <c r="BS37" i="8"/>
  <c r="BU41" i="8"/>
  <c r="BS45" i="8"/>
  <c r="CX93" i="8"/>
  <c r="BU40" i="8"/>
  <c r="BS39" i="8"/>
  <c r="BQ40" i="8"/>
  <c r="BQ39" i="8"/>
  <c r="BQ41" i="8"/>
  <c r="BU36" i="8"/>
  <c r="BU39" i="8"/>
  <c r="BU38" i="8"/>
  <c r="BS36" i="8"/>
  <c r="AF20" i="8"/>
  <c r="AE21" i="8"/>
  <c r="AE22" i="8"/>
  <c r="AE23" i="8"/>
  <c r="AE24" i="8"/>
  <c r="AE25" i="8"/>
  <c r="AE26" i="8"/>
  <c r="AE27" i="8"/>
  <c r="AE28" i="8"/>
  <c r="AE29" i="8"/>
  <c r="AE30" i="8"/>
  <c r="AE31" i="8"/>
  <c r="AE32" i="8"/>
  <c r="AE33" i="8"/>
  <c r="AE34" i="8"/>
  <c r="AE35" i="8"/>
  <c r="AD36" i="8"/>
  <c r="AG36" i="8" s="1"/>
  <c r="AE36" i="8"/>
  <c r="AD37" i="8"/>
  <c r="AG37" i="8" s="1"/>
  <c r="AD38" i="8"/>
  <c r="AG38" i="8" s="1"/>
  <c r="AD39" i="8"/>
  <c r="AG39" i="8" s="1"/>
  <c r="AD40" i="8"/>
  <c r="AG40" i="8" s="1"/>
  <c r="AD41" i="8"/>
  <c r="AG41" i="8" s="1"/>
  <c r="AD42" i="8"/>
  <c r="AG42" i="8" s="1"/>
  <c r="AD43" i="8"/>
  <c r="AG43" i="8" s="1"/>
  <c r="AD44" i="8"/>
  <c r="AG44" i="8" s="1"/>
  <c r="AE44" i="8"/>
  <c r="AD45" i="8"/>
  <c r="AG45" i="8" s="1"/>
  <c r="AD46" i="8"/>
  <c r="AG46" i="8" s="1"/>
  <c r="AD47" i="8"/>
  <c r="AG47" i="8" s="1"/>
  <c r="AE47" i="8"/>
  <c r="AD48" i="8"/>
  <c r="AG48" i="8" s="1"/>
  <c r="AE48" i="8"/>
  <c r="AD49" i="8"/>
  <c r="AG49" i="8" s="1"/>
  <c r="AD50" i="8"/>
  <c r="AG50" i="8" s="1"/>
  <c r="AE50" i="8"/>
  <c r="AW34" i="8"/>
  <c r="AW35" i="8"/>
  <c r="AW36" i="8"/>
  <c r="AW37" i="8"/>
  <c r="AW38" i="8"/>
  <c r="AW39" i="8"/>
  <c r="AW40" i="8"/>
  <c r="AW41" i="8"/>
  <c r="AW42" i="8"/>
  <c r="AW43" i="8"/>
  <c r="AW44" i="8"/>
  <c r="AW45" i="8"/>
  <c r="AW46" i="8"/>
  <c r="AW47" i="8"/>
  <c r="AW48" i="8"/>
  <c r="AW49" i="8"/>
  <c r="AW50" i="8"/>
  <c r="CR19" i="8"/>
  <c r="CR22" i="8" s="1"/>
  <c r="ET16" i="8"/>
  <c r="EU16" i="8"/>
  <c r="EV16" i="8"/>
  <c r="EW16" i="8"/>
  <c r="EX16" i="8"/>
  <c r="ET17" i="8"/>
  <c r="EU17" i="8"/>
  <c r="EV17" i="8"/>
  <c r="EW17" i="8"/>
  <c r="EX17" i="8"/>
  <c r="ET18" i="8"/>
  <c r="EU18" i="8"/>
  <c r="EV18" i="8"/>
  <c r="EW18" i="8"/>
  <c r="EX18" i="8"/>
  <c r="ET19" i="8"/>
  <c r="EU19" i="8"/>
  <c r="EV19" i="8"/>
  <c r="EW19" i="8"/>
  <c r="EX19" i="8"/>
  <c r="ET20" i="8"/>
  <c r="EU20" i="8"/>
  <c r="EV20" i="8"/>
  <c r="EW20" i="8"/>
  <c r="EX20" i="8"/>
  <c r="AM50" i="8"/>
  <c r="AQ50" i="8"/>
  <c r="AN50" i="8"/>
  <c r="AO50" i="8"/>
  <c r="AP50" i="8"/>
  <c r="AM49" i="8"/>
  <c r="AN49" i="8"/>
  <c r="AO49" i="8"/>
  <c r="AP49" i="8"/>
  <c r="AQ49" i="8"/>
  <c r="AO48" i="8"/>
  <c r="AP48" i="8"/>
  <c r="AQ48" i="8"/>
  <c r="AM48" i="8"/>
  <c r="AN48" i="8"/>
  <c r="AQ47" i="8"/>
  <c r="AM47" i="8"/>
  <c r="AN47" i="8"/>
  <c r="AO47" i="8"/>
  <c r="AP47" i="8"/>
  <c r="AM46" i="8"/>
  <c r="AN46" i="8"/>
  <c r="AQ46" i="8"/>
  <c r="AO46" i="8"/>
  <c r="AP46" i="8"/>
  <c r="AM45" i="8"/>
  <c r="AN45" i="8"/>
  <c r="AO45" i="8"/>
  <c r="AP45" i="8"/>
  <c r="AQ45" i="8"/>
  <c r="AN44" i="8"/>
  <c r="AO44" i="8"/>
  <c r="AP44" i="8"/>
  <c r="AQ44" i="8"/>
  <c r="AM44" i="8"/>
  <c r="AO43" i="8"/>
  <c r="AP43" i="8"/>
  <c r="AQ43" i="8"/>
  <c r="AM43" i="8"/>
  <c r="AN43" i="8"/>
  <c r="AQ42" i="8"/>
  <c r="AO42" i="8"/>
  <c r="AN42" i="8"/>
  <c r="AP42" i="8"/>
  <c r="AM42" i="8"/>
  <c r="AM41" i="8"/>
  <c r="AN41" i="8"/>
  <c r="AO41" i="8"/>
  <c r="AP41" i="8"/>
  <c r="AQ41" i="8"/>
  <c r="AM40" i="8"/>
  <c r="AN40" i="8"/>
  <c r="AO40" i="8"/>
  <c r="AP40" i="8"/>
  <c r="AQ40" i="8"/>
  <c r="AN39" i="8"/>
  <c r="AO39" i="8"/>
  <c r="AP39" i="8"/>
  <c r="AQ39" i="8"/>
  <c r="AM39" i="8"/>
  <c r="AO38" i="8"/>
  <c r="AM38" i="8"/>
  <c r="AP38" i="8"/>
  <c r="AQ38" i="8"/>
  <c r="AN38" i="8"/>
  <c r="AP37" i="8"/>
  <c r="AQ37" i="8"/>
  <c r="AM37" i="8"/>
  <c r="AN37" i="8"/>
  <c r="AO37" i="8"/>
  <c r="AN36" i="8"/>
  <c r="AM36" i="8"/>
  <c r="AQ36" i="8"/>
  <c r="AO36" i="8"/>
  <c r="AP36" i="8"/>
  <c r="AN35" i="8"/>
  <c r="AN30" i="8"/>
  <c r="AO32" i="8"/>
  <c r="AM26" i="8"/>
  <c r="AN21" i="8"/>
  <c r="AQ22" i="8"/>
  <c r="AM34" i="8"/>
  <c r="AO34" i="8"/>
  <c r="AM35" i="8"/>
  <c r="AN29" i="8"/>
  <c r="AM32" i="8"/>
  <c r="AN28" i="8"/>
  <c r="AN34" i="8"/>
  <c r="AQ26" i="8"/>
  <c r="AM22" i="8"/>
  <c r="AM33" i="8"/>
  <c r="AQ32" i="8"/>
  <c r="AQ29" i="8"/>
  <c r="AM21" i="8"/>
  <c r="AP35" i="8"/>
  <c r="AM27" i="8"/>
  <c r="AM25" i="8"/>
  <c r="AQ28" i="8"/>
  <c r="AQ31" i="8"/>
  <c r="AP32" i="8"/>
  <c r="AP25" i="8"/>
  <c r="AM23" i="8"/>
  <c r="AQ21" i="8"/>
  <c r="AN33" i="8"/>
  <c r="AN27" i="8"/>
  <c r="AO29" i="8"/>
  <c r="AO28" i="8"/>
  <c r="AP21" i="8"/>
  <c r="AP30" i="8"/>
  <c r="AP29" i="8"/>
  <c r="AM29" i="8"/>
  <c r="AO22" i="8"/>
  <c r="AM28" i="8"/>
  <c r="AN24" i="8"/>
  <c r="AP26" i="8"/>
  <c r="AP33" i="8"/>
  <c r="AM31" i="8"/>
  <c r="AP23" i="8"/>
  <c r="AQ23" i="8"/>
  <c r="AP31" i="8"/>
  <c r="AP24" i="8"/>
  <c r="AN22" i="8"/>
  <c r="AN23" i="8"/>
  <c r="AN26" i="8"/>
  <c r="AQ30" i="8"/>
  <c r="AN25" i="8"/>
  <c r="AP34" i="8"/>
  <c r="AN31" i="8"/>
  <c r="AO35" i="8"/>
  <c r="AO24" i="8"/>
  <c r="AO30" i="8"/>
  <c r="AM30" i="8"/>
  <c r="AO33" i="8"/>
  <c r="AQ25" i="8"/>
  <c r="AQ34" i="8"/>
  <c r="AQ24" i="8"/>
  <c r="AO21" i="8"/>
  <c r="AM24" i="8"/>
  <c r="AQ35" i="8"/>
  <c r="AO31" i="8"/>
  <c r="AO25" i="8"/>
  <c r="AO23" i="8"/>
  <c r="AO27" i="8"/>
  <c r="AQ27" i="8"/>
  <c r="AN32" i="8"/>
  <c r="AO26" i="8"/>
  <c r="AP27" i="8"/>
  <c r="AP28" i="8"/>
  <c r="AP22" i="8"/>
  <c r="AQ33" i="8"/>
  <c r="AE46" i="8" l="1"/>
  <c r="AE42" i="8"/>
  <c r="AE41" i="8"/>
  <c r="AE39" i="8"/>
  <c r="EW50" i="8"/>
  <c r="EU50" i="8"/>
  <c r="EV50" i="8"/>
  <c r="EX50" i="8"/>
  <c r="FA50" i="8" s="1"/>
  <c r="ET50" i="8"/>
  <c r="CF50" i="8"/>
  <c r="BY50" i="8"/>
  <c r="BX50" i="8"/>
  <c r="CH50" i="8"/>
  <c r="CN50" i="8"/>
  <c r="CP50" i="8"/>
  <c r="BZ50" i="8"/>
  <c r="CD50" i="8"/>
  <c r="CJ50" i="8"/>
  <c r="CB50" i="8"/>
  <c r="CL50" i="8"/>
  <c r="CI50" i="8"/>
  <c r="CC50" i="8"/>
  <c r="CM50" i="8"/>
  <c r="CE50" i="8"/>
  <c r="CK50" i="8"/>
  <c r="CA50" i="8"/>
  <c r="CO50" i="8"/>
  <c r="EX49" i="8"/>
  <c r="FA49" i="8" s="1"/>
  <c r="EW49" i="8"/>
  <c r="EU49" i="8"/>
  <c r="EV49" i="8"/>
  <c r="ET49" i="8"/>
  <c r="AE49" i="8"/>
  <c r="AF49" i="8" s="1"/>
  <c r="CP49" i="8"/>
  <c r="CB49" i="8"/>
  <c r="CI49" i="8"/>
  <c r="BY49" i="8"/>
  <c r="CJ49" i="8"/>
  <c r="BZ49" i="8"/>
  <c r="CF49" i="8"/>
  <c r="CH49" i="8"/>
  <c r="BX49" i="8"/>
  <c r="CL49" i="8"/>
  <c r="CD49" i="8"/>
  <c r="CN49" i="8"/>
  <c r="CA49" i="8"/>
  <c r="CM49" i="8"/>
  <c r="CC49" i="8"/>
  <c r="CK49" i="8"/>
  <c r="CO49" i="8"/>
  <c r="CE49" i="8"/>
  <c r="EV48" i="8"/>
  <c r="ET48" i="8"/>
  <c r="EX48" i="8"/>
  <c r="FA48" i="8" s="1"/>
  <c r="EW48" i="8"/>
  <c r="EU48" i="8"/>
  <c r="CL48" i="8"/>
  <c r="BX48" i="8"/>
  <c r="BY48" i="8"/>
  <c r="CI48" i="8"/>
  <c r="CD48" i="8"/>
  <c r="CH48" i="8"/>
  <c r="CN48" i="8"/>
  <c r="CJ48" i="8"/>
  <c r="CB48" i="8"/>
  <c r="CF48" i="8"/>
  <c r="BZ48" i="8"/>
  <c r="CP48" i="8"/>
  <c r="CC48" i="8"/>
  <c r="CE48" i="8"/>
  <c r="CA48" i="8"/>
  <c r="CK48" i="8"/>
  <c r="CM48" i="8"/>
  <c r="CO48" i="8"/>
  <c r="EW47" i="8"/>
  <c r="EU47" i="8"/>
  <c r="EV47" i="8"/>
  <c r="ET47" i="8"/>
  <c r="EX47" i="8"/>
  <c r="FA47" i="8" s="1"/>
  <c r="CI47" i="8"/>
  <c r="CJ47" i="8"/>
  <c r="CP47" i="8"/>
  <c r="BZ47" i="8"/>
  <c r="CB47" i="8"/>
  <c r="CF47" i="8"/>
  <c r="CH47" i="8"/>
  <c r="BY47" i="8"/>
  <c r="CL47" i="8"/>
  <c r="CN47" i="8"/>
  <c r="BX47" i="8"/>
  <c r="CD47" i="8"/>
  <c r="CM47" i="8"/>
  <c r="CA47" i="8"/>
  <c r="CC47" i="8"/>
  <c r="CO47" i="8"/>
  <c r="CE47" i="8"/>
  <c r="CK47" i="8"/>
  <c r="EW46" i="8"/>
  <c r="EU46" i="8"/>
  <c r="EX46" i="8"/>
  <c r="FA46" i="8" s="1"/>
  <c r="EV46" i="8"/>
  <c r="ET46" i="8"/>
  <c r="CP46" i="8"/>
  <c r="CL46" i="8"/>
  <c r="CB46" i="8"/>
  <c r="CH46" i="8"/>
  <c r="CJ46" i="8"/>
  <c r="CN46" i="8"/>
  <c r="BY46" i="8"/>
  <c r="CI46" i="8"/>
  <c r="BZ46" i="8"/>
  <c r="CD46" i="8"/>
  <c r="CF46" i="8"/>
  <c r="BX46" i="8"/>
  <c r="CK46" i="8"/>
  <c r="CO46" i="8"/>
  <c r="CA46" i="8"/>
  <c r="CE46" i="8"/>
  <c r="CM46" i="8"/>
  <c r="CC46" i="8"/>
  <c r="EX45" i="8"/>
  <c r="FA45" i="8" s="1"/>
  <c r="EW45" i="8"/>
  <c r="EU45" i="8"/>
  <c r="EV45" i="8"/>
  <c r="ET45" i="8"/>
  <c r="CH45" i="8"/>
  <c r="CP45" i="8"/>
  <c r="CJ45" i="8"/>
  <c r="CF45" i="8"/>
  <c r="CN45" i="8"/>
  <c r="CB45" i="8"/>
  <c r="CI45" i="8"/>
  <c r="BX45" i="8"/>
  <c r="CL45" i="8"/>
  <c r="BZ45" i="8"/>
  <c r="BY45" i="8"/>
  <c r="CD45" i="8"/>
  <c r="CA45" i="8"/>
  <c r="CE45" i="8"/>
  <c r="CM45" i="8"/>
  <c r="CK45" i="8"/>
  <c r="CC45" i="8"/>
  <c r="CO45" i="8"/>
  <c r="AE45" i="8"/>
  <c r="AF45" i="8" s="1"/>
  <c r="ET44" i="8"/>
  <c r="EX44" i="8"/>
  <c r="FA44" i="8" s="1"/>
  <c r="EW44" i="8"/>
  <c r="EU44" i="8"/>
  <c r="EV44" i="8"/>
  <c r="CI44" i="8"/>
  <c r="BY44" i="8"/>
  <c r="CN44" i="8"/>
  <c r="CD44" i="8"/>
  <c r="BX44" i="8"/>
  <c r="BZ44" i="8"/>
  <c r="CF44" i="8"/>
  <c r="CJ44" i="8"/>
  <c r="CH44" i="8"/>
  <c r="CP44" i="8"/>
  <c r="CB44" i="8"/>
  <c r="CL44" i="8"/>
  <c r="CA44" i="8"/>
  <c r="CO44" i="8"/>
  <c r="CM44" i="8"/>
  <c r="CC44" i="8"/>
  <c r="CK44" i="8"/>
  <c r="CE44" i="8"/>
  <c r="EV43" i="8"/>
  <c r="ET43" i="8"/>
  <c r="EX43" i="8"/>
  <c r="FA43" i="8" s="1"/>
  <c r="EW43" i="8"/>
  <c r="EU43" i="8"/>
  <c r="AE43" i="8"/>
  <c r="BY43" i="8"/>
  <c r="CN43" i="8"/>
  <c r="CI43" i="8"/>
  <c r="BZ43" i="8"/>
  <c r="CL43" i="8"/>
  <c r="CD43" i="8"/>
  <c r="CB43" i="8"/>
  <c r="CP43" i="8"/>
  <c r="BX43" i="8"/>
  <c r="CF43" i="8"/>
  <c r="CH43" i="8"/>
  <c r="CJ43" i="8"/>
  <c r="CM43" i="8"/>
  <c r="CK43" i="8"/>
  <c r="CO43" i="8"/>
  <c r="CE43" i="8"/>
  <c r="CC43" i="8"/>
  <c r="CA43" i="8"/>
  <c r="ET42" i="8"/>
  <c r="EW42" i="8"/>
  <c r="EV42" i="8"/>
  <c r="EU42" i="8"/>
  <c r="EX42" i="8"/>
  <c r="FA42" i="8" s="1"/>
  <c r="CJ42" i="8"/>
  <c r="CH42" i="8"/>
  <c r="BZ42" i="8"/>
  <c r="CB42" i="8"/>
  <c r="CP42" i="8"/>
  <c r="CF42" i="8"/>
  <c r="BY42" i="8"/>
  <c r="CL42" i="8"/>
  <c r="CI42" i="8"/>
  <c r="CD42" i="8"/>
  <c r="BX42" i="8"/>
  <c r="CN42" i="8"/>
  <c r="CE42" i="8"/>
  <c r="CC42" i="8"/>
  <c r="CK42" i="8"/>
  <c r="CM42" i="8"/>
  <c r="CO42" i="8"/>
  <c r="CA42" i="8"/>
  <c r="EX41" i="8"/>
  <c r="FA41" i="8" s="1"/>
  <c r="EW41" i="8"/>
  <c r="EU41" i="8"/>
  <c r="EV41" i="8"/>
  <c r="ET41" i="8"/>
  <c r="BX41" i="8"/>
  <c r="CF41" i="8"/>
  <c r="CN41" i="8"/>
  <c r="BY41" i="8"/>
  <c r="CJ41" i="8"/>
  <c r="CD41" i="8"/>
  <c r="CB41" i="8"/>
  <c r="BZ41" i="8"/>
  <c r="CL41" i="8"/>
  <c r="CP41" i="8"/>
  <c r="CI41" i="8"/>
  <c r="CH41" i="8"/>
  <c r="CA41" i="8"/>
  <c r="CC41" i="8"/>
  <c r="CO41" i="8"/>
  <c r="CM41" i="8"/>
  <c r="CK41" i="8"/>
  <c r="CE41" i="8"/>
  <c r="EX40" i="8"/>
  <c r="FA40" i="8" s="1"/>
  <c r="EW40" i="8"/>
  <c r="EU40" i="8"/>
  <c r="EV40" i="8"/>
  <c r="ET40" i="8"/>
  <c r="CP40" i="8"/>
  <c r="CB40" i="8"/>
  <c r="CL40" i="8"/>
  <c r="BY40" i="8"/>
  <c r="BX40" i="8"/>
  <c r="CJ40" i="8"/>
  <c r="CI40" i="8"/>
  <c r="BZ40" i="8"/>
  <c r="CH40" i="8"/>
  <c r="CF40" i="8"/>
  <c r="CN40" i="8"/>
  <c r="CD40" i="8"/>
  <c r="CM40" i="8"/>
  <c r="CE40" i="8"/>
  <c r="CO40" i="8"/>
  <c r="CC40" i="8"/>
  <c r="CA40" i="8"/>
  <c r="CK40" i="8"/>
  <c r="AE40" i="8"/>
  <c r="AF40" i="8" s="1"/>
  <c r="ET39" i="8"/>
  <c r="EX39" i="8"/>
  <c r="FA39" i="8" s="1"/>
  <c r="EW39" i="8"/>
  <c r="EU39" i="8"/>
  <c r="EV39" i="8"/>
  <c r="CL39" i="8"/>
  <c r="CI39" i="8"/>
  <c r="CP39" i="8"/>
  <c r="BY39" i="8"/>
  <c r="CJ39" i="8"/>
  <c r="CF39" i="8"/>
  <c r="CN39" i="8"/>
  <c r="CB39" i="8"/>
  <c r="CD39" i="8"/>
  <c r="CH39" i="8"/>
  <c r="BX39" i="8"/>
  <c r="BZ39" i="8"/>
  <c r="CE39" i="8"/>
  <c r="CK39" i="8"/>
  <c r="CA39" i="8"/>
  <c r="CO39" i="8"/>
  <c r="CM39" i="8"/>
  <c r="CC39" i="8"/>
  <c r="EV38" i="8"/>
  <c r="EX38" i="8"/>
  <c r="FA38" i="8" s="1"/>
  <c r="EW38" i="8"/>
  <c r="ET38" i="8"/>
  <c r="EU38" i="8"/>
  <c r="AE38" i="8"/>
  <c r="AF38" i="8" s="1"/>
  <c r="CD38" i="8"/>
  <c r="BX38" i="8"/>
  <c r="CP38" i="8"/>
  <c r="CI38" i="8"/>
  <c r="CL38" i="8"/>
  <c r="CJ38" i="8"/>
  <c r="CF38" i="8"/>
  <c r="BY38" i="8"/>
  <c r="CH38" i="8"/>
  <c r="CB38" i="8"/>
  <c r="BZ38" i="8"/>
  <c r="CN38" i="8"/>
  <c r="CO38" i="8"/>
  <c r="CK38" i="8"/>
  <c r="CM38" i="8"/>
  <c r="CE38" i="8"/>
  <c r="CA38" i="8"/>
  <c r="CC38" i="8"/>
  <c r="EU37" i="8"/>
  <c r="EV37" i="8"/>
  <c r="ET37" i="8"/>
  <c r="EX37" i="8"/>
  <c r="FA37" i="8" s="1"/>
  <c r="EW37" i="8"/>
  <c r="AE37" i="8"/>
  <c r="AF37" i="8" s="1"/>
  <c r="CD37" i="8"/>
  <c r="CJ37" i="8"/>
  <c r="CH37" i="8"/>
  <c r="CN37" i="8"/>
  <c r="CF37" i="8"/>
  <c r="CP37" i="8"/>
  <c r="BX37" i="8"/>
  <c r="CI37" i="8"/>
  <c r="CL37" i="8"/>
  <c r="BZ37" i="8"/>
  <c r="CB37" i="8"/>
  <c r="BY37" i="8"/>
  <c r="CA37" i="8"/>
  <c r="CO37" i="8"/>
  <c r="CE37" i="8"/>
  <c r="CM37" i="8"/>
  <c r="CC37" i="8"/>
  <c r="CK37" i="8"/>
  <c r="EW36" i="8"/>
  <c r="EU36" i="8"/>
  <c r="EX36" i="8"/>
  <c r="FA36" i="8" s="1"/>
  <c r="ET36" i="8"/>
  <c r="EV36" i="8"/>
  <c r="CN36" i="8"/>
  <c r="CP36" i="8"/>
  <c r="BY36" i="8"/>
  <c r="BZ36" i="8"/>
  <c r="CI36" i="8"/>
  <c r="CD36" i="8"/>
  <c r="CF36" i="8"/>
  <c r="CB36" i="8"/>
  <c r="BX36" i="8"/>
  <c r="CL36" i="8"/>
  <c r="CJ36" i="8"/>
  <c r="CH36" i="8"/>
  <c r="CM36" i="8"/>
  <c r="CE36" i="8"/>
  <c r="CA36" i="8"/>
  <c r="CK36" i="8"/>
  <c r="CC36" i="8"/>
  <c r="CO36" i="8"/>
  <c r="EX35" i="8"/>
  <c r="FA35" i="8" s="1"/>
  <c r="EU35" i="8"/>
  <c r="EW35" i="8"/>
  <c r="EV35" i="8"/>
  <c r="ET35" i="8"/>
  <c r="EX34" i="8"/>
  <c r="FA34" i="8" s="1"/>
  <c r="EW34" i="8"/>
  <c r="EU34" i="8"/>
  <c r="EV34" i="8"/>
  <c r="ET34" i="8"/>
  <c r="AF34" i="8"/>
  <c r="AF50" i="8"/>
  <c r="AF42" i="8"/>
  <c r="AF33" i="8"/>
  <c r="AF25" i="8"/>
  <c r="AF26" i="8"/>
  <c r="AF35" i="8"/>
  <c r="AF32" i="8"/>
  <c r="AF24" i="8"/>
  <c r="AF41" i="8"/>
  <c r="AF30" i="8"/>
  <c r="AF22" i="8"/>
  <c r="AF23" i="8"/>
  <c r="AF46" i="8"/>
  <c r="AF29" i="8"/>
  <c r="AF21" i="8"/>
  <c r="AF36" i="8"/>
  <c r="AF47" i="8"/>
  <c r="AF39" i="8"/>
  <c r="AF28" i="8"/>
  <c r="AF44" i="8"/>
  <c r="AF31" i="8"/>
  <c r="AF48" i="8"/>
  <c r="AF27" i="8"/>
  <c r="ET27" i="8"/>
  <c r="ET23" i="8"/>
  <c r="EX29" i="8"/>
  <c r="FA29" i="8" s="1"/>
  <c r="EW32" i="8"/>
  <c r="EX25" i="8"/>
  <c r="FA25" i="8" s="1"/>
  <c r="EU32" i="8"/>
  <c r="EW28" i="8"/>
  <c r="EX21" i="8"/>
  <c r="FA21" i="8" s="1"/>
  <c r="EU28" i="8"/>
  <c r="EW24" i="8"/>
  <c r="EV23" i="8"/>
  <c r="EV31" i="8"/>
  <c r="EU24" i="8"/>
  <c r="EX33" i="8"/>
  <c r="FA33" i="8" s="1"/>
  <c r="ET31" i="8"/>
  <c r="EV27" i="8"/>
  <c r="EW33" i="8"/>
  <c r="EV32" i="8"/>
  <c r="EW29" i="8"/>
  <c r="EV28" i="8"/>
  <c r="EW25" i="8"/>
  <c r="EV24" i="8"/>
  <c r="EW21" i="8"/>
  <c r="EU33" i="8"/>
  <c r="ET32" i="8"/>
  <c r="EX30" i="8"/>
  <c r="FA30" i="8" s="1"/>
  <c r="EU29" i="8"/>
  <c r="ET28" i="8"/>
  <c r="EX26" i="8"/>
  <c r="FA26" i="8" s="1"/>
  <c r="EU25" i="8"/>
  <c r="ET24" i="8"/>
  <c r="EX22" i="8"/>
  <c r="FA22" i="8" s="1"/>
  <c r="EU21" i="8"/>
  <c r="EV33" i="8"/>
  <c r="EW30" i="8"/>
  <c r="EV29" i="8"/>
  <c r="EW26" i="8"/>
  <c r="EV25" i="8"/>
  <c r="EW22" i="8"/>
  <c r="EV21" i="8"/>
  <c r="ET33" i="8"/>
  <c r="EX31" i="8"/>
  <c r="FA31" i="8" s="1"/>
  <c r="EU30" i="8"/>
  <c r="ET29" i="8"/>
  <c r="EX27" i="8"/>
  <c r="FA27" i="8" s="1"/>
  <c r="EU26" i="8"/>
  <c r="ET25" i="8"/>
  <c r="EX23" i="8"/>
  <c r="FA23" i="8" s="1"/>
  <c r="EU22" i="8"/>
  <c r="ET21" i="8"/>
  <c r="EW31" i="8"/>
  <c r="EV30" i="8"/>
  <c r="EW27" i="8"/>
  <c r="EV26" i="8"/>
  <c r="EW23" i="8"/>
  <c r="EV22" i="8"/>
  <c r="EX32" i="8"/>
  <c r="FA32" i="8" s="1"/>
  <c r="EU31" i="8"/>
  <c r="ET30" i="8"/>
  <c r="EX28" i="8"/>
  <c r="FA28" i="8" s="1"/>
  <c r="EU27" i="8"/>
  <c r="ET26" i="8"/>
  <c r="EX24" i="8"/>
  <c r="FA24" i="8" s="1"/>
  <c r="EU23" i="8"/>
  <c r="ET22" i="8"/>
  <c r="CR25" i="8"/>
  <c r="FA17" i="8"/>
  <c r="FA16" i="8"/>
  <c r="FC16" i="8"/>
  <c r="EZ18" i="8"/>
  <c r="EY16" i="8"/>
  <c r="FB17" i="8"/>
  <c r="FA18" i="8"/>
  <c r="FA19" i="8"/>
  <c r="FA20" i="8"/>
  <c r="FB16" i="8"/>
  <c r="FC19" i="8"/>
  <c r="EY20" i="8"/>
  <c r="FG18" i="8"/>
  <c r="FB20" i="8"/>
  <c r="EZ19" i="8"/>
  <c r="FC20" i="8"/>
  <c r="EY18" i="8"/>
  <c r="EY19" i="8"/>
  <c r="FC17" i="8"/>
  <c r="FC18" i="8"/>
  <c r="FG17" i="8"/>
  <c r="EY17" i="8"/>
  <c r="EZ20" i="8"/>
  <c r="FG19" i="8"/>
  <c r="FB18" i="8"/>
  <c r="EZ16" i="8"/>
  <c r="FG20" i="8"/>
  <c r="FB19" i="8"/>
  <c r="EZ17" i="8"/>
  <c r="FG16" i="8"/>
  <c r="FD20" i="8"/>
  <c r="FD19" i="8"/>
  <c r="FD18" i="8"/>
  <c r="FD17" i="8"/>
  <c r="FD16" i="8"/>
  <c r="HQ17" i="8"/>
  <c r="DJ19" i="8"/>
  <c r="DJ22" i="8" s="1"/>
  <c r="DJ25" i="8" s="1"/>
  <c r="DJ28" i="8" s="1"/>
  <c r="DJ31" i="8" s="1"/>
  <c r="DJ34" i="8" s="1"/>
  <c r="DJ37" i="8" s="1"/>
  <c r="DJ40" i="8" s="1"/>
  <c r="DJ43" i="8" s="1"/>
  <c r="DJ46" i="8" s="1"/>
  <c r="DJ49" i="8" s="1"/>
  <c r="DJ52" i="8" s="1"/>
  <c r="DJ55" i="8" s="1"/>
  <c r="DJ58" i="8" s="1"/>
  <c r="DJ61" i="8" s="1"/>
  <c r="DJ64" i="8" s="1"/>
  <c r="DJ67" i="8" s="1"/>
  <c r="DJ70" i="8" s="1"/>
  <c r="DJ73" i="8" s="1"/>
  <c r="DJ76" i="8" s="1"/>
  <c r="DJ79" i="8" s="1"/>
  <c r="DJ82" i="8" s="1"/>
  <c r="DJ85" i="8" s="1"/>
  <c r="DJ88" i="8" s="1"/>
  <c r="DJ91" i="8" s="1"/>
  <c r="DJ94" i="8" s="1"/>
  <c r="DJ97" i="8" s="1"/>
  <c r="DJ100" i="8" s="1"/>
  <c r="DJ103" i="8" s="1"/>
  <c r="DJ106" i="8" s="1"/>
  <c r="DJ109" i="8" s="1"/>
  <c r="DJ112" i="8" s="1"/>
  <c r="DJ115" i="8" s="1"/>
  <c r="DJ118" i="8" s="1"/>
  <c r="FR20" i="8"/>
  <c r="FR24" i="8" s="1"/>
  <c r="FR28" i="8" s="1"/>
  <c r="FR32" i="8" s="1"/>
  <c r="FR36" i="8" s="1"/>
  <c r="FR40" i="8" s="1"/>
  <c r="FR44" i="8" s="1"/>
  <c r="FR48" i="8" s="1"/>
  <c r="FR52" i="8" s="1"/>
  <c r="FR56" i="8" s="1"/>
  <c r="FR60" i="8" s="1"/>
  <c r="FR64" i="8" s="1"/>
  <c r="FR68" i="8" s="1"/>
  <c r="FR72" i="8" s="1"/>
  <c r="FR76" i="8" s="1"/>
  <c r="FR80" i="8" s="1"/>
  <c r="FR84" i="8" s="1"/>
  <c r="FR88" i="8" s="1"/>
  <c r="FR92" i="8" s="1"/>
  <c r="FR96" i="8" s="1"/>
  <c r="FR100" i="8" s="1"/>
  <c r="FR104" i="8" s="1"/>
  <c r="FR108" i="8" s="1"/>
  <c r="FR112" i="8" s="1"/>
  <c r="FR116" i="8" s="1"/>
  <c r="FR120" i="8" s="1"/>
  <c r="FR124" i="8" s="1"/>
  <c r="FR128" i="8" s="1"/>
  <c r="FR132" i="8" s="1"/>
  <c r="FR136" i="8" s="1"/>
  <c r="FR140" i="8" s="1"/>
  <c r="FR144" i="8" s="1"/>
  <c r="FR148" i="8" s="1"/>
  <c r="FR152" i="8" s="1"/>
  <c r="FY20" i="8"/>
  <c r="FY24" i="8" s="1"/>
  <c r="FY28" i="8" s="1"/>
  <c r="FY32" i="8" s="1"/>
  <c r="FY36" i="8" s="1"/>
  <c r="FY40" i="8" s="1"/>
  <c r="FY44" i="8" s="1"/>
  <c r="FY48" i="8" s="1"/>
  <c r="FY52" i="8" s="1"/>
  <c r="FY56" i="8" s="1"/>
  <c r="FY60" i="8" s="1"/>
  <c r="FY64" i="8" s="1"/>
  <c r="FY68" i="8" s="1"/>
  <c r="FY72" i="8" s="1"/>
  <c r="FY76" i="8" s="1"/>
  <c r="FY80" i="8" s="1"/>
  <c r="FY84" i="8" s="1"/>
  <c r="FY88" i="8" s="1"/>
  <c r="FY92" i="8" s="1"/>
  <c r="FY96" i="8" s="1"/>
  <c r="FY100" i="8" s="1"/>
  <c r="FY104" i="8" s="1"/>
  <c r="FY108" i="8" s="1"/>
  <c r="FY112" i="8" s="1"/>
  <c r="FY116" i="8" s="1"/>
  <c r="FY120" i="8" s="1"/>
  <c r="FY124" i="8" s="1"/>
  <c r="FY128" i="8" s="1"/>
  <c r="FY132" i="8" s="1"/>
  <c r="FY136" i="8" s="1"/>
  <c r="FY140" i="8" s="1"/>
  <c r="FY144" i="8" s="1"/>
  <c r="FY148" i="8" s="1"/>
  <c r="FY152" i="8" s="1"/>
  <c r="GF20" i="8"/>
  <c r="GM20" i="8"/>
  <c r="GM24" i="8" s="1"/>
  <c r="GM28" i="8" s="1"/>
  <c r="GM32" i="8" s="1"/>
  <c r="GM36" i="8" s="1"/>
  <c r="GM40" i="8" s="1"/>
  <c r="GM44" i="8" s="1"/>
  <c r="GM48" i="8" s="1"/>
  <c r="GM52" i="8" s="1"/>
  <c r="GM56" i="8" s="1"/>
  <c r="GM60" i="8" s="1"/>
  <c r="GM64" i="8" s="1"/>
  <c r="GM68" i="8" s="1"/>
  <c r="GM72" i="8" s="1"/>
  <c r="GM76" i="8" s="1"/>
  <c r="GM80" i="8" s="1"/>
  <c r="GM84" i="8" s="1"/>
  <c r="GM88" i="8" s="1"/>
  <c r="GM92" i="8" s="1"/>
  <c r="GM96" i="8" s="1"/>
  <c r="GM100" i="8" s="1"/>
  <c r="GM104" i="8" s="1"/>
  <c r="GM108" i="8" s="1"/>
  <c r="GM112" i="8" s="1"/>
  <c r="GM116" i="8" s="1"/>
  <c r="GM120" i="8" s="1"/>
  <c r="GM124" i="8" s="1"/>
  <c r="GM128" i="8" s="1"/>
  <c r="GM132" i="8" s="1"/>
  <c r="GM136" i="8" s="1"/>
  <c r="GM140" i="8" s="1"/>
  <c r="GM144" i="8" s="1"/>
  <c r="GM148" i="8" s="1"/>
  <c r="GM152" i="8" s="1"/>
  <c r="IK57" i="8"/>
  <c r="IK42" i="8" s="1"/>
  <c r="ID29" i="8"/>
  <c r="ID30" i="8"/>
  <c r="IE30" i="8"/>
  <c r="ID31" i="8"/>
  <c r="IE31" i="8"/>
  <c r="ID32" i="8"/>
  <c r="IE32" i="8"/>
  <c r="ID33" i="8"/>
  <c r="IE33" i="8"/>
  <c r="ID34" i="8"/>
  <c r="IE34" i="8"/>
  <c r="ID35" i="8"/>
  <c r="IE35" i="8"/>
  <c r="ID36" i="8"/>
  <c r="IE36" i="8"/>
  <c r="ID37" i="8"/>
  <c r="IE37" i="8"/>
  <c r="ID38" i="8"/>
  <c r="IE38" i="8"/>
  <c r="ID39" i="8"/>
  <c r="IE39" i="8"/>
  <c r="ID40" i="8"/>
  <c r="IE40" i="8"/>
  <c r="ID41" i="8"/>
  <c r="IE41" i="8"/>
  <c r="IK28" i="8"/>
  <c r="IL44" i="8" s="1"/>
  <c r="IK44" i="8"/>
  <c r="IM43" i="8" s="1"/>
  <c r="IK45" i="8"/>
  <c r="IK46" i="8"/>
  <c r="IK48" i="8"/>
  <c r="IK49" i="8"/>
  <c r="IK50" i="8"/>
  <c r="IK52" i="8"/>
  <c r="IK53" i="8"/>
  <c r="IK54" i="8"/>
  <c r="IK55" i="8"/>
  <c r="IK56" i="8"/>
  <c r="IL42" i="8"/>
  <c r="IL43" i="8"/>
  <c r="W16" i="8"/>
  <c r="W17" i="8"/>
  <c r="W18" i="8"/>
  <c r="W19" i="8"/>
  <c r="W20" i="8"/>
  <c r="W21" i="8"/>
  <c r="W22" i="8"/>
  <c r="W23" i="8"/>
  <c r="W24" i="8"/>
  <c r="W25" i="8"/>
  <c r="W26" i="8"/>
  <c r="W27" i="8"/>
  <c r="W28" i="8"/>
  <c r="W29" i="8"/>
  <c r="W30" i="8"/>
  <c r="W31" i="8"/>
  <c r="W32" i="8"/>
  <c r="W33" i="8"/>
  <c r="W34" i="8"/>
  <c r="W35" i="8"/>
  <c r="W36" i="8"/>
  <c r="W37" i="8"/>
  <c r="W38" i="8"/>
  <c r="W39" i="8"/>
  <c r="W40" i="8"/>
  <c r="W41" i="8"/>
  <c r="W42" i="8"/>
  <c r="W43" i="8"/>
  <c r="W44" i="8"/>
  <c r="W45" i="8"/>
  <c r="W46" i="8"/>
  <c r="W47" i="8"/>
  <c r="W48" i="8"/>
  <c r="W49" i="8"/>
  <c r="W50" i="8"/>
  <c r="AB16" i="8"/>
  <c r="AB17" i="8"/>
  <c r="AB18" i="8"/>
  <c r="AB19" i="8"/>
  <c r="AB20" i="8"/>
  <c r="AB21" i="8"/>
  <c r="AB22" i="8"/>
  <c r="AB23" i="8"/>
  <c r="AB24" i="8"/>
  <c r="AB25" i="8"/>
  <c r="AB26" i="8"/>
  <c r="AB27" i="8"/>
  <c r="AB28" i="8"/>
  <c r="AB29" i="8"/>
  <c r="AB30" i="8"/>
  <c r="AB31" i="8"/>
  <c r="AB32" i="8"/>
  <c r="AB33" i="8"/>
  <c r="AB34" i="8"/>
  <c r="AB35" i="8"/>
  <c r="AB36" i="8"/>
  <c r="AB37" i="8"/>
  <c r="AB38" i="8"/>
  <c r="AB39" i="8"/>
  <c r="AB40" i="8"/>
  <c r="AB41" i="8"/>
  <c r="AB42" i="8"/>
  <c r="AB43" i="8"/>
  <c r="AB44" i="8"/>
  <c r="AB45" i="8"/>
  <c r="AB46" i="8"/>
  <c r="AB47" i="8"/>
  <c r="AB48" i="8"/>
  <c r="AB49" i="8"/>
  <c r="AB50" i="8"/>
  <c r="AR86" i="8"/>
  <c r="AR87" i="8"/>
  <c r="AR88" i="8"/>
  <c r="AR89" i="8"/>
  <c r="AR90" i="8"/>
  <c r="AR91" i="8"/>
  <c r="HP104" i="8"/>
  <c r="HQ104" i="8"/>
  <c r="HY122" i="8"/>
  <c r="HZ122" i="8"/>
  <c r="GA16" i="8"/>
  <c r="GA17" i="8" s="1"/>
  <c r="GC17" i="8" s="1"/>
  <c r="GE17" i="8" s="1"/>
  <c r="A208" i="8"/>
  <c r="AD228" i="8"/>
  <c r="AE229" i="8" s="1"/>
  <c r="AD229" i="8"/>
  <c r="AE228" i="8" s="1"/>
  <c r="AC233" i="8"/>
  <c r="EY26" i="8" l="1"/>
  <c r="EZ49" i="8"/>
  <c r="FC22" i="8"/>
  <c r="EY48" i="8"/>
  <c r="FC50" i="8"/>
  <c r="FB39" i="8"/>
  <c r="FD44" i="8"/>
  <c r="FD49" i="8"/>
  <c r="EZ50" i="8"/>
  <c r="FG49" i="8"/>
  <c r="FD50" i="8"/>
  <c r="FB47" i="8"/>
  <c r="FD48" i="8"/>
  <c r="FB49" i="8"/>
  <c r="EZ37" i="8"/>
  <c r="FC39" i="8"/>
  <c r="FB50" i="8"/>
  <c r="EY36" i="8"/>
  <c r="EY50" i="8"/>
  <c r="FG50" i="8"/>
  <c r="EY49" i="8"/>
  <c r="EZ46" i="8"/>
  <c r="FC48" i="8"/>
  <c r="FT22" i="8"/>
  <c r="GH22" i="8" s="1"/>
  <c r="FT20" i="8"/>
  <c r="EZ45" i="8"/>
  <c r="FD46" i="8"/>
  <c r="FB40" i="8"/>
  <c r="EZ40" i="8"/>
  <c r="EZ48" i="8"/>
  <c r="FG45" i="8"/>
  <c r="FG46" i="8"/>
  <c r="FG47" i="8"/>
  <c r="FD45" i="8"/>
  <c r="FG48" i="8"/>
  <c r="EY47" i="8"/>
  <c r="FD42" i="8"/>
  <c r="FC47" i="8"/>
  <c r="EY44" i="8"/>
  <c r="EY46" i="8"/>
  <c r="FC49" i="8"/>
  <c r="FB48" i="8"/>
  <c r="EZ44" i="8"/>
  <c r="FC46" i="8"/>
  <c r="FC45" i="8"/>
  <c r="FB45" i="8"/>
  <c r="FB46" i="8"/>
  <c r="FD47" i="8"/>
  <c r="FB41" i="8"/>
  <c r="FC42" i="8"/>
  <c r="FD43" i="8"/>
  <c r="EZ47" i="8"/>
  <c r="EY45" i="8"/>
  <c r="AF43" i="8"/>
  <c r="EZ42" i="8"/>
  <c r="FD35" i="8"/>
  <c r="FG44" i="8"/>
  <c r="EY40" i="8"/>
  <c r="FD37" i="8"/>
  <c r="EY39" i="8"/>
  <c r="FB44" i="8"/>
  <c r="FG39" i="8"/>
  <c r="FG41" i="8"/>
  <c r="FC41" i="8"/>
  <c r="FC44" i="8"/>
  <c r="FG37" i="8"/>
  <c r="FB43" i="8"/>
  <c r="EY41" i="8"/>
  <c r="EY38" i="8"/>
  <c r="FC37" i="8"/>
  <c r="FC36" i="8"/>
  <c r="EZ39" i="8"/>
  <c r="FD39" i="8"/>
  <c r="FG36" i="8"/>
  <c r="FG38" i="8"/>
  <c r="FG40" i="8"/>
  <c r="FD41" i="8"/>
  <c r="FB42" i="8"/>
  <c r="FB36" i="8"/>
  <c r="EZ43" i="8"/>
  <c r="FC40" i="8"/>
  <c r="FG42" i="8"/>
  <c r="EZ41" i="8"/>
  <c r="FB38" i="8"/>
  <c r="FC38" i="8"/>
  <c r="EY42" i="8"/>
  <c r="FD38" i="8"/>
  <c r="EZ38" i="8"/>
  <c r="FC43" i="8"/>
  <c r="EY43" i="8"/>
  <c r="FG43" i="8"/>
  <c r="EY37" i="8"/>
  <c r="FD40" i="8"/>
  <c r="FB37" i="8"/>
  <c r="EZ35" i="8"/>
  <c r="FB34" i="8"/>
  <c r="FC35" i="8"/>
  <c r="EZ36" i="8"/>
  <c r="EZ34" i="8"/>
  <c r="FD34" i="8"/>
  <c r="FD36" i="8"/>
  <c r="FG34" i="8"/>
  <c r="FC34" i="8"/>
  <c r="EY34" i="8"/>
  <c r="FB35" i="8"/>
  <c r="FG35" i="8"/>
  <c r="EY35" i="8"/>
  <c r="FC30" i="8"/>
  <c r="FD33" i="8"/>
  <c r="FC23" i="8"/>
  <c r="FD24" i="8"/>
  <c r="EZ33" i="8"/>
  <c r="FC28" i="8"/>
  <c r="EZ32" i="8"/>
  <c r="FG29" i="8"/>
  <c r="FD32" i="8"/>
  <c r="EZ23" i="8"/>
  <c r="EY30" i="8"/>
  <c r="EY25" i="8"/>
  <c r="EZ31" i="8"/>
  <c r="FC21" i="8"/>
  <c r="EZ28" i="8"/>
  <c r="FG32" i="8"/>
  <c r="FB28" i="8"/>
  <c r="EY21" i="8"/>
  <c r="FC27" i="8"/>
  <c r="EY22" i="8"/>
  <c r="EY28" i="8"/>
  <c r="FB33" i="8"/>
  <c r="EY29" i="8"/>
  <c r="FB27" i="8"/>
  <c r="FD31" i="8"/>
  <c r="FB22" i="8"/>
  <c r="EY24" i="8"/>
  <c r="EZ26" i="8"/>
  <c r="FD25" i="8"/>
  <c r="FB23" i="8"/>
  <c r="EZ25" i="8"/>
  <c r="FC31" i="8"/>
  <c r="FD30" i="8"/>
  <c r="FB29" i="8"/>
  <c r="FD29" i="8"/>
  <c r="EZ29" i="8"/>
  <c r="FG30" i="8"/>
  <c r="EZ30" i="8"/>
  <c r="FC29" i="8"/>
  <c r="FB30" i="8"/>
  <c r="FG22" i="8"/>
  <c r="EY32" i="8"/>
  <c r="EY33" i="8"/>
  <c r="FD26" i="8"/>
  <c r="EZ22" i="8"/>
  <c r="EZ21" i="8"/>
  <c r="FG27" i="8"/>
  <c r="FC25" i="8"/>
  <c r="EZ24" i="8"/>
  <c r="FC26" i="8"/>
  <c r="FG26" i="8"/>
  <c r="FG24" i="8"/>
  <c r="FB26" i="8"/>
  <c r="FG31" i="8"/>
  <c r="FB21" i="8"/>
  <c r="FB32" i="8"/>
  <c r="EY27" i="8"/>
  <c r="EY23" i="8"/>
  <c r="IK47" i="8"/>
  <c r="FD27" i="8"/>
  <c r="FG23" i="8"/>
  <c r="EZ27" i="8"/>
  <c r="FD28" i="8"/>
  <c r="FG33" i="8"/>
  <c r="FC32" i="8"/>
  <c r="FD21" i="8"/>
  <c r="FG28" i="8"/>
  <c r="FC33" i="8"/>
  <c r="GF24" i="8"/>
  <c r="FD22" i="8"/>
  <c r="FG21" i="8"/>
  <c r="FC24" i="8"/>
  <c r="CR28" i="8"/>
  <c r="AD231" i="8"/>
  <c r="AD234" i="8" s="1"/>
  <c r="AD237" i="8" s="1"/>
  <c r="IK51" i="8"/>
  <c r="FD23" i="8"/>
  <c r="FB31" i="8"/>
  <c r="EY31" i="8"/>
  <c r="FB25" i="8"/>
  <c r="FB24" i="8"/>
  <c r="FG25" i="8"/>
  <c r="HQ16" i="8"/>
  <c r="IA20" i="8" s="1"/>
  <c r="IE27" i="8" s="1"/>
  <c r="FV16" i="8"/>
  <c r="FX16" i="8" s="1"/>
  <c r="FT17" i="8"/>
  <c r="FV17" i="8" s="1"/>
  <c r="FX17" i="8" s="1"/>
  <c r="GH16" i="8"/>
  <c r="GH17" i="8" s="1"/>
  <c r="AB51" i="8"/>
  <c r="AB52" i="8" s="1"/>
  <c r="D213" i="8" s="1"/>
  <c r="W51" i="8"/>
  <c r="AB53" i="8" s="1"/>
  <c r="D212" i="8" s="1"/>
  <c r="HS16" i="8"/>
  <c r="HS17" i="8" s="1"/>
  <c r="AE235" i="8"/>
  <c r="GH18" i="8"/>
  <c r="FT19" i="8"/>
  <c r="FV19" i="8" s="1"/>
  <c r="FX19" i="8" s="1"/>
  <c r="FV18" i="8"/>
  <c r="FX18" i="8" s="1"/>
  <c r="GA18" i="8"/>
  <c r="AE232" i="8"/>
  <c r="AD232" i="8"/>
  <c r="GC16" i="8"/>
  <c r="GE16" i="8" s="1"/>
  <c r="IM44" i="8"/>
  <c r="IK41" i="8"/>
  <c r="IK40" i="8"/>
  <c r="IK39" i="8"/>
  <c r="IK38" i="8"/>
  <c r="IK37" i="8"/>
  <c r="IK36" i="8"/>
  <c r="IK35" i="8"/>
  <c r="IK34" i="8"/>
  <c r="IK33" i="8"/>
  <c r="IK32" i="8"/>
  <c r="IK31" i="8"/>
  <c r="IK30" i="8"/>
  <c r="IK29" i="8"/>
  <c r="IK43" i="8"/>
  <c r="IM42" i="8" s="1"/>
  <c r="AH17" i="8"/>
  <c r="AH16" i="8"/>
  <c r="AH24" i="8"/>
  <c r="AI33" i="8"/>
  <c r="AH19" i="8"/>
  <c r="AI22" i="8"/>
  <c r="AH28" i="8"/>
  <c r="AH20" i="8"/>
  <c r="AH29" i="8"/>
  <c r="AI32" i="8"/>
  <c r="AI24" i="8"/>
  <c r="AI30" i="8"/>
  <c r="AI27" i="8"/>
  <c r="AH33" i="8"/>
  <c r="AI25" i="8"/>
  <c r="AH32" i="8"/>
  <c r="AI28" i="8"/>
  <c r="AH31" i="8"/>
  <c r="AH26" i="8"/>
  <c r="AI19" i="8"/>
  <c r="AH27" i="8"/>
  <c r="AH22" i="8"/>
  <c r="AH25" i="8"/>
  <c r="AI31" i="8"/>
  <c r="AI16" i="8"/>
  <c r="AI17" i="8"/>
  <c r="AH21" i="8"/>
  <c r="AH30" i="8"/>
  <c r="AI26" i="8"/>
  <c r="AI23" i="8"/>
  <c r="AH18" i="8"/>
  <c r="AI29" i="8"/>
  <c r="AI20" i="8"/>
  <c r="AI21" i="8"/>
  <c r="AH23" i="8"/>
  <c r="AI18" i="8"/>
  <c r="GA22" i="8" l="1"/>
  <c r="GC22" i="8" s="1"/>
  <c r="GE22" i="8" s="1"/>
  <c r="FT23" i="8"/>
  <c r="FV23" i="8" s="1"/>
  <c r="FX23" i="8" s="1"/>
  <c r="FV22" i="8"/>
  <c r="FX22" i="8" s="1"/>
  <c r="GJ22" i="8"/>
  <c r="GL22" i="8"/>
  <c r="GH23" i="8"/>
  <c r="GL23" i="8" s="1"/>
  <c r="GN22" i="8"/>
  <c r="FT26" i="8"/>
  <c r="FT24" i="8"/>
  <c r="FV24" i="8" s="1"/>
  <c r="FX24" i="8" s="1"/>
  <c r="AK17" i="8"/>
  <c r="AV17" i="8" s="1"/>
  <c r="AK16" i="8"/>
  <c r="AW16" i="8" s="1"/>
  <c r="AK18" i="8"/>
  <c r="AV18" i="8" s="1"/>
  <c r="AK19" i="8"/>
  <c r="AV19" i="8" s="1"/>
  <c r="AK20" i="8"/>
  <c r="AV20" i="8" s="1"/>
  <c r="AK21" i="8"/>
  <c r="AV21" i="8" s="1"/>
  <c r="AK22" i="8"/>
  <c r="AV22" i="8" s="1"/>
  <c r="AK23" i="8"/>
  <c r="AV23" i="8" s="1"/>
  <c r="AK24" i="8"/>
  <c r="AV24" i="8" s="1"/>
  <c r="AK25" i="8"/>
  <c r="AV25" i="8" s="1"/>
  <c r="AK26" i="8"/>
  <c r="AV26" i="8" s="1"/>
  <c r="AK27" i="8"/>
  <c r="AV27" i="8" s="1"/>
  <c r="AK28" i="8"/>
  <c r="AV28" i="8" s="1"/>
  <c r="AK29" i="8"/>
  <c r="AV29" i="8" s="1"/>
  <c r="AK30" i="8"/>
  <c r="AV30" i="8" s="1"/>
  <c r="AK31" i="8"/>
  <c r="AV31" i="8" s="1"/>
  <c r="AK32" i="8"/>
  <c r="AV32" i="8" s="1"/>
  <c r="AK33" i="8"/>
  <c r="AV33" i="8" s="1"/>
  <c r="GF28" i="8"/>
  <c r="CR31" i="8"/>
  <c r="GN16" i="8"/>
  <c r="GJ16" i="8"/>
  <c r="GL16" i="8"/>
  <c r="ID45" i="8"/>
  <c r="ID27" i="8"/>
  <c r="IG44" i="8"/>
  <c r="IK25" i="8" s="1"/>
  <c r="IM27" i="8" s="1"/>
  <c r="IB27" i="8"/>
  <c r="IA21" i="8"/>
  <c r="ID25" i="8" s="1"/>
  <c r="AB233" i="8"/>
  <c r="AB232" i="8"/>
  <c r="AB234" i="8"/>
  <c r="GA23" i="8"/>
  <c r="GC23" i="8" s="1"/>
  <c r="GE23" i="8" s="1"/>
  <c r="AC231" i="8"/>
  <c r="AC232" i="8"/>
  <c r="AC234" i="8"/>
  <c r="AD240" i="8"/>
  <c r="AE238" i="8"/>
  <c r="GH20" i="8"/>
  <c r="GA20" i="8"/>
  <c r="FT21" i="8"/>
  <c r="FV21" i="8" s="1"/>
  <c r="FX21" i="8" s="1"/>
  <c r="FV20" i="8"/>
  <c r="FX20" i="8" s="1"/>
  <c r="GA19" i="8"/>
  <c r="GC19" i="8" s="1"/>
  <c r="GE19" i="8" s="1"/>
  <c r="GC18" i="8"/>
  <c r="GE18" i="8" s="1"/>
  <c r="GL17" i="8"/>
  <c r="GJ17" i="8"/>
  <c r="GN17" i="8"/>
  <c r="AE231" i="8"/>
  <c r="AD235" i="8"/>
  <c r="GL18" i="8"/>
  <c r="GN18" i="8"/>
  <c r="GH19" i="8"/>
  <c r="GJ18" i="8"/>
  <c r="GJ23" i="8" l="1"/>
  <c r="GN23" i="8"/>
  <c r="IA28" i="8"/>
  <c r="IA27" i="8"/>
  <c r="GH24" i="8"/>
  <c r="GN24" i="8" s="1"/>
  <c r="FT25" i="8"/>
  <c r="FV25" i="8" s="1"/>
  <c r="FX25" i="8" s="1"/>
  <c r="GA24" i="8"/>
  <c r="GC24" i="8" s="1"/>
  <c r="GE24" i="8" s="1"/>
  <c r="FT30" i="8"/>
  <c r="FT28" i="8"/>
  <c r="AW29" i="8"/>
  <c r="AU20" i="8"/>
  <c r="AW30" i="8"/>
  <c r="AW33" i="8"/>
  <c r="AU25" i="8"/>
  <c r="AW20" i="8"/>
  <c r="AW17" i="8"/>
  <c r="AU32" i="8"/>
  <c r="AU27" i="8"/>
  <c r="AU33" i="8"/>
  <c r="AU23" i="8"/>
  <c r="AU24" i="8"/>
  <c r="AT32" i="8"/>
  <c r="AW32" i="8"/>
  <c r="AU29" i="8"/>
  <c r="AW25" i="8"/>
  <c r="AW22" i="8"/>
  <c r="AU19" i="8"/>
  <c r="AT30" i="8"/>
  <c r="AT24" i="8"/>
  <c r="BD24" i="8" s="1"/>
  <c r="CX40" i="8" s="1"/>
  <c r="AW28" i="8"/>
  <c r="AW21" i="8"/>
  <c r="AT22" i="8"/>
  <c r="IE25" i="8"/>
  <c r="AU31" i="8"/>
  <c r="AU28" i="8"/>
  <c r="AW24" i="8"/>
  <c r="AU21" i="8"/>
  <c r="AT21" i="8"/>
  <c r="AT16" i="8"/>
  <c r="AV16" i="8"/>
  <c r="AU30" i="8"/>
  <c r="AW27" i="8"/>
  <c r="AU22" i="8"/>
  <c r="AW19" i="8"/>
  <c r="AU16" i="8"/>
  <c r="AT29" i="8"/>
  <c r="GH26" i="8"/>
  <c r="FV26" i="8"/>
  <c r="FX26" i="8" s="1"/>
  <c r="GA26" i="8"/>
  <c r="FT27" i="8"/>
  <c r="FV27" i="8" s="1"/>
  <c r="FX27" i="8" s="1"/>
  <c r="AT31" i="8"/>
  <c r="AT28" i="8"/>
  <c r="AT20" i="8"/>
  <c r="CR34" i="8"/>
  <c r="AU17" i="8"/>
  <c r="AT27" i="8"/>
  <c r="AT19" i="8"/>
  <c r="GF32" i="8"/>
  <c r="AW26" i="8"/>
  <c r="AW18" i="8"/>
  <c r="AT26" i="8"/>
  <c r="AT18" i="8"/>
  <c r="AT23" i="8"/>
  <c r="AW31" i="8"/>
  <c r="AU26" i="8"/>
  <c r="AW23" i="8"/>
  <c r="AU18" i="8"/>
  <c r="AT33" i="8"/>
  <c r="AT25" i="8"/>
  <c r="AT17" i="8"/>
  <c r="ID26" i="8"/>
  <c r="IL26" i="8"/>
  <c r="IL29" i="8"/>
  <c r="IM30" i="8"/>
  <c r="IL33" i="8"/>
  <c r="IM34" i="8"/>
  <c r="IL37" i="8"/>
  <c r="IM38" i="8"/>
  <c r="IM41" i="8"/>
  <c r="IE45" i="8"/>
  <c r="IM39" i="8"/>
  <c r="IM31" i="8"/>
  <c r="IL41" i="8"/>
  <c r="IL30" i="8"/>
  <c r="ID44" i="8"/>
  <c r="IM37" i="8"/>
  <c r="IM33" i="8"/>
  <c r="IM29" i="8"/>
  <c r="IM26" i="8"/>
  <c r="ID28" i="8" s="1"/>
  <c r="IL40" i="8"/>
  <c r="IL36" i="8"/>
  <c r="IL32" i="8"/>
  <c r="IL28" i="8"/>
  <c r="IM35" i="8"/>
  <c r="IL27" i="8"/>
  <c r="IL38" i="8"/>
  <c r="IL34" i="8"/>
  <c r="IM40" i="8"/>
  <c r="IM36" i="8"/>
  <c r="IM32" i="8"/>
  <c r="IM28" i="8"/>
  <c r="IE44" i="8"/>
  <c r="IL39" i="8"/>
  <c r="IL35" i="8"/>
  <c r="IL31" i="8"/>
  <c r="IG26" i="8"/>
  <c r="IE47" i="8"/>
  <c r="IB101" i="8"/>
  <c r="GA21" i="8"/>
  <c r="GC21" i="8" s="1"/>
  <c r="GE21" i="8" s="1"/>
  <c r="GC20" i="8"/>
  <c r="GE20" i="8" s="1"/>
  <c r="AD243" i="8"/>
  <c r="AE241" i="8"/>
  <c r="GN19" i="8"/>
  <c r="GL19" i="8"/>
  <c r="GJ19" i="8"/>
  <c r="AE234" i="8"/>
  <c r="AD238" i="8"/>
  <c r="GJ20" i="8"/>
  <c r="GL20" i="8"/>
  <c r="GN20" i="8"/>
  <c r="GH21" i="8"/>
  <c r="GJ24" i="8" l="1"/>
  <c r="GA25" i="8"/>
  <c r="GC25" i="8" s="1"/>
  <c r="GE25" i="8" s="1"/>
  <c r="GL24" i="8"/>
  <c r="GH25" i="8"/>
  <c r="IM48" i="8"/>
  <c r="IM50" i="8"/>
  <c r="IM52" i="8"/>
  <c r="IM56" i="8"/>
  <c r="IM46" i="8"/>
  <c r="IL45" i="8"/>
  <c r="ID47" i="8"/>
  <c r="IL52" i="8"/>
  <c r="IL51" i="8"/>
  <c r="IE29" i="8"/>
  <c r="IL49" i="8"/>
  <c r="IM57" i="8"/>
  <c r="IE46" i="8"/>
  <c r="IL50" i="8"/>
  <c r="IM51" i="8"/>
  <c r="IM53" i="8"/>
  <c r="IM54" i="8"/>
  <c r="IL53" i="8"/>
  <c r="FT34" i="8"/>
  <c r="FT32" i="8"/>
  <c r="BL21" i="8"/>
  <c r="CZ33" i="8" s="1"/>
  <c r="BD22" i="8"/>
  <c r="CX34" i="8" s="1"/>
  <c r="BD30" i="8"/>
  <c r="CX58" i="8" s="1"/>
  <c r="BE32" i="8"/>
  <c r="CY65" i="8" s="1"/>
  <c r="BF21" i="8"/>
  <c r="CY31" i="8" s="1"/>
  <c r="BH24" i="8"/>
  <c r="CZ40" i="8" s="1"/>
  <c r="BJ21" i="8"/>
  <c r="CY33" i="8" s="1"/>
  <c r="BL24" i="8"/>
  <c r="CZ42" i="8" s="1"/>
  <c r="BE21" i="8"/>
  <c r="CY32" i="8" s="1"/>
  <c r="BJ24" i="8"/>
  <c r="CY42" i="8" s="1"/>
  <c r="BH32" i="8"/>
  <c r="CZ64" i="8" s="1"/>
  <c r="BF24" i="8"/>
  <c r="CY40" i="8" s="1"/>
  <c r="BJ32" i="8"/>
  <c r="CY66" i="8" s="1"/>
  <c r="BE24" i="8"/>
  <c r="CY41" i="8" s="1"/>
  <c r="BL32" i="8"/>
  <c r="CZ66" i="8" s="1"/>
  <c r="BH21" i="8"/>
  <c r="CZ31" i="8" s="1"/>
  <c r="BH22" i="8"/>
  <c r="CZ34" i="8" s="1"/>
  <c r="BF32" i="8"/>
  <c r="CY64" i="8" s="1"/>
  <c r="BD21" i="8"/>
  <c r="CX31" i="8" s="1"/>
  <c r="BD32" i="8"/>
  <c r="CX64" i="8" s="1"/>
  <c r="BJ30" i="8"/>
  <c r="CY60" i="8" s="1"/>
  <c r="BE30" i="8"/>
  <c r="CY59" i="8" s="1"/>
  <c r="BD16" i="8"/>
  <c r="CX16" i="8" s="1"/>
  <c r="BE22" i="8"/>
  <c r="CY35" i="8" s="1"/>
  <c r="GA30" i="8"/>
  <c r="GH30" i="8"/>
  <c r="FT31" i="8"/>
  <c r="FV31" i="8" s="1"/>
  <c r="FX31" i="8" s="1"/>
  <c r="FV30" i="8"/>
  <c r="FX30" i="8" s="1"/>
  <c r="BD31" i="8"/>
  <c r="CX61" i="8" s="1"/>
  <c r="BL31" i="8"/>
  <c r="CZ63" i="8" s="1"/>
  <c r="BH31" i="8"/>
  <c r="CZ61" i="8" s="1"/>
  <c r="BE31" i="8"/>
  <c r="CY62" i="8" s="1"/>
  <c r="BJ31" i="8"/>
  <c r="CY63" i="8" s="1"/>
  <c r="BF31" i="8"/>
  <c r="CY61" i="8" s="1"/>
  <c r="BN24" i="8"/>
  <c r="CH24" i="8"/>
  <c r="BX24" i="8"/>
  <c r="BD19" i="8"/>
  <c r="CX25" i="8" s="1"/>
  <c r="BE19" i="8"/>
  <c r="CY26" i="8" s="1"/>
  <c r="BJ19" i="8"/>
  <c r="CY27" i="8" s="1"/>
  <c r="BH19" i="8"/>
  <c r="CZ25" i="8" s="1"/>
  <c r="BF19" i="8"/>
  <c r="CY25" i="8" s="1"/>
  <c r="BL19" i="8"/>
  <c r="CZ27" i="8" s="1"/>
  <c r="CR37" i="8"/>
  <c r="BL22" i="8"/>
  <c r="CZ36" i="8" s="1"/>
  <c r="BL30" i="8"/>
  <c r="CZ60" i="8" s="1"/>
  <c r="BD28" i="8"/>
  <c r="CX52" i="8" s="1"/>
  <c r="BE28" i="8"/>
  <c r="CY53" i="8" s="1"/>
  <c r="BH28" i="8"/>
  <c r="CZ52" i="8" s="1"/>
  <c r="BJ28" i="8"/>
  <c r="CY54" i="8" s="1"/>
  <c r="BF28" i="8"/>
  <c r="CY52" i="8" s="1"/>
  <c r="BL28" i="8"/>
  <c r="CZ54" i="8" s="1"/>
  <c r="BD18" i="8"/>
  <c r="CX22" i="8" s="1"/>
  <c r="BJ18" i="8"/>
  <c r="CY24" i="8" s="1"/>
  <c r="BE18" i="8"/>
  <c r="CY23" i="8" s="1"/>
  <c r="BF18" i="8"/>
  <c r="CY22" i="8" s="1"/>
  <c r="BL18" i="8"/>
  <c r="CZ24" i="8" s="1"/>
  <c r="BH18" i="8"/>
  <c r="CZ22" i="8" s="1"/>
  <c r="BD27" i="8"/>
  <c r="CX49" i="8" s="1"/>
  <c r="BE27" i="8"/>
  <c r="CY50" i="8" s="1"/>
  <c r="BJ27" i="8"/>
  <c r="CY51" i="8" s="1"/>
  <c r="BF27" i="8"/>
  <c r="CY49" i="8" s="1"/>
  <c r="BL27" i="8"/>
  <c r="CZ51" i="8" s="1"/>
  <c r="BH27" i="8"/>
  <c r="CZ49" i="8" s="1"/>
  <c r="GC26" i="8"/>
  <c r="GE26" i="8" s="1"/>
  <c r="GA27" i="8"/>
  <c r="GC27" i="8" s="1"/>
  <c r="GE27" i="8" s="1"/>
  <c r="BF22" i="8"/>
  <c r="CY34" i="8" s="1"/>
  <c r="BH30" i="8"/>
  <c r="CZ58" i="8" s="1"/>
  <c r="BD25" i="8"/>
  <c r="CX43" i="8" s="1"/>
  <c r="BJ25" i="8"/>
  <c r="CY45" i="8" s="1"/>
  <c r="BF25" i="8"/>
  <c r="CY43" i="8" s="1"/>
  <c r="BL25" i="8"/>
  <c r="CZ45" i="8" s="1"/>
  <c r="BH25" i="8"/>
  <c r="CZ43" i="8" s="1"/>
  <c r="BE25" i="8"/>
  <c r="CY44" i="8" s="1"/>
  <c r="GH28" i="8"/>
  <c r="FV28" i="8"/>
  <c r="FX28" i="8" s="1"/>
  <c r="FT29" i="8"/>
  <c r="FV29" i="8" s="1"/>
  <c r="FX29" i="8" s="1"/>
  <c r="GA28" i="8"/>
  <c r="BD20" i="8"/>
  <c r="CX28" i="8" s="1"/>
  <c r="BE20" i="8"/>
  <c r="CY29" i="8" s="1"/>
  <c r="BJ20" i="8"/>
  <c r="CY30" i="8" s="1"/>
  <c r="BH20" i="8"/>
  <c r="CZ28" i="8" s="1"/>
  <c r="BF20" i="8"/>
  <c r="CY28" i="8" s="1"/>
  <c r="BL20" i="8"/>
  <c r="CZ30" i="8" s="1"/>
  <c r="BF16" i="8"/>
  <c r="CY16" i="8" s="1"/>
  <c r="BL16" i="8"/>
  <c r="CZ18" i="8" s="1"/>
  <c r="BJ16" i="8"/>
  <c r="CY18" i="8" s="1"/>
  <c r="BH16" i="8"/>
  <c r="CZ16" i="8" s="1"/>
  <c r="BE16" i="8"/>
  <c r="CY17" i="8" s="1"/>
  <c r="GF36" i="8"/>
  <c r="BD23" i="8"/>
  <c r="CX37" i="8" s="1"/>
  <c r="BL23" i="8"/>
  <c r="CZ39" i="8" s="1"/>
  <c r="BF23" i="8"/>
  <c r="CY37" i="8" s="1"/>
  <c r="BH23" i="8"/>
  <c r="CZ37" i="8" s="1"/>
  <c r="BE23" i="8"/>
  <c r="CY38" i="8" s="1"/>
  <c r="BJ23" i="8"/>
  <c r="CY39" i="8" s="1"/>
  <c r="BD26" i="8"/>
  <c r="CX46" i="8" s="1"/>
  <c r="BJ26" i="8"/>
  <c r="CY48" i="8" s="1"/>
  <c r="BF26" i="8"/>
  <c r="CY46" i="8" s="1"/>
  <c r="BL26" i="8"/>
  <c r="CZ48" i="8" s="1"/>
  <c r="BH26" i="8"/>
  <c r="CZ46" i="8" s="1"/>
  <c r="BE26" i="8"/>
  <c r="CY47" i="8" s="1"/>
  <c r="BD29" i="8"/>
  <c r="CX55" i="8" s="1"/>
  <c r="BH29" i="8"/>
  <c r="CZ55" i="8" s="1"/>
  <c r="BE29" i="8"/>
  <c r="CY56" i="8" s="1"/>
  <c r="BJ29" i="8"/>
  <c r="CY57" i="8" s="1"/>
  <c r="BL29" i="8"/>
  <c r="CZ57" i="8" s="1"/>
  <c r="BF29" i="8"/>
  <c r="CY55" i="8" s="1"/>
  <c r="BJ22" i="8"/>
  <c r="CY36" i="8" s="1"/>
  <c r="BF30" i="8"/>
  <c r="CY58" i="8" s="1"/>
  <c r="BD33" i="8"/>
  <c r="CX67" i="8" s="1"/>
  <c r="BF33" i="8"/>
  <c r="CY67" i="8" s="1"/>
  <c r="BE33" i="8"/>
  <c r="CY68" i="8" s="1"/>
  <c r="BJ33" i="8"/>
  <c r="CY69" i="8" s="1"/>
  <c r="BL33" i="8"/>
  <c r="CZ69" i="8" s="1"/>
  <c r="BH33" i="8"/>
  <c r="CZ67" i="8" s="1"/>
  <c r="BD17" i="8"/>
  <c r="CX19" i="8" s="1"/>
  <c r="BF17" i="8"/>
  <c r="CY19" i="8" s="1"/>
  <c r="BE17" i="8"/>
  <c r="CY20" i="8" s="1"/>
  <c r="BL17" i="8"/>
  <c r="CZ21" i="8" s="1"/>
  <c r="BH17" i="8"/>
  <c r="CZ19" i="8" s="1"/>
  <c r="BJ17" i="8"/>
  <c r="CY21" i="8" s="1"/>
  <c r="GJ26" i="8"/>
  <c r="GN26" i="8"/>
  <c r="GH27" i="8"/>
  <c r="GL26" i="8"/>
  <c r="HX109" i="8"/>
  <c r="HX127" i="8" s="1"/>
  <c r="IL47" i="8"/>
  <c r="IM55" i="8"/>
  <c r="IL55" i="8"/>
  <c r="IE28" i="8"/>
  <c r="IL48" i="8"/>
  <c r="IM45" i="8"/>
  <c r="IB28" i="8"/>
  <c r="IM49" i="8"/>
  <c r="IL57" i="8"/>
  <c r="IL46" i="8"/>
  <c r="IL54" i="8"/>
  <c r="IM47" i="8"/>
  <c r="IL56" i="8"/>
  <c r="AE237" i="8"/>
  <c r="AD241" i="8"/>
  <c r="IB119" i="8"/>
  <c r="GL25" i="8"/>
  <c r="GJ25" i="8"/>
  <c r="GN25" i="8"/>
  <c r="GL21" i="8"/>
  <c r="GJ21" i="8"/>
  <c r="GN21" i="8"/>
  <c r="AD246" i="8"/>
  <c r="AE244" i="8"/>
  <c r="HZ103" i="8" l="1"/>
  <c r="HZ121" i="8" s="1"/>
  <c r="BO30" i="8"/>
  <c r="FT38" i="8"/>
  <c r="FT36" i="8"/>
  <c r="CF24" i="8"/>
  <c r="CI30" i="8"/>
  <c r="CP24" i="8"/>
  <c r="BY30" i="8"/>
  <c r="BV24" i="8"/>
  <c r="BY21" i="8"/>
  <c r="CP21" i="8"/>
  <c r="BV21" i="8"/>
  <c r="BN32" i="8"/>
  <c r="CD32" i="8"/>
  <c r="CJ32" i="8"/>
  <c r="BI32" i="8"/>
  <c r="CX66" i="8" s="1"/>
  <c r="BO32" i="8"/>
  <c r="BV32" i="8"/>
  <c r="BX30" i="8"/>
  <c r="BK30" i="8"/>
  <c r="CZ59" i="8" s="1"/>
  <c r="BP24" i="8"/>
  <c r="BT24" i="8"/>
  <c r="BO24" i="8"/>
  <c r="BR24" i="8"/>
  <c r="BY22" i="8"/>
  <c r="BR22" i="8"/>
  <c r="CH22" i="8"/>
  <c r="DT28" i="8"/>
  <c r="CJ21" i="8"/>
  <c r="BN21" i="8"/>
  <c r="BR21" i="8"/>
  <c r="CI21" i="8"/>
  <c r="DU26" i="8"/>
  <c r="CD21" i="8"/>
  <c r="CF21" i="8"/>
  <c r="CH30" i="8"/>
  <c r="BN30" i="8"/>
  <c r="BN22" i="8"/>
  <c r="CB32" i="8"/>
  <c r="BZ32" i="8"/>
  <c r="BR32" i="8"/>
  <c r="CF32" i="8"/>
  <c r="BX22" i="8"/>
  <c r="BK32" i="8"/>
  <c r="CZ65" i="8" s="1"/>
  <c r="BT32" i="8"/>
  <c r="BZ21" i="8"/>
  <c r="BG21" i="8"/>
  <c r="CX32" i="8" s="1"/>
  <c r="CI32" i="8"/>
  <c r="BN16" i="8"/>
  <c r="CN32" i="8"/>
  <c r="BP21" i="8"/>
  <c r="CB24" i="8"/>
  <c r="CL24" i="8"/>
  <c r="BI24" i="8"/>
  <c r="CX42" i="8" s="1"/>
  <c r="BY24" i="8"/>
  <c r="CI24" i="8"/>
  <c r="BT30" i="8"/>
  <c r="CP32" i="8"/>
  <c r="BT21" i="8"/>
  <c r="CN21" i="8"/>
  <c r="BK21" i="8"/>
  <c r="CZ32" i="8" s="1"/>
  <c r="CD30" i="8"/>
  <c r="CN30" i="8"/>
  <c r="CJ24" i="8"/>
  <c r="BO21" i="8"/>
  <c r="BI21" i="8"/>
  <c r="CX33" i="8" s="1"/>
  <c r="BG24" i="8"/>
  <c r="CX41" i="8" s="1"/>
  <c r="BX16" i="8"/>
  <c r="CB21" i="8"/>
  <c r="BZ24" i="8"/>
  <c r="CH16" i="8"/>
  <c r="CL21" i="8"/>
  <c r="BY32" i="8"/>
  <c r="CB22" i="8"/>
  <c r="CL22" i="8"/>
  <c r="CD24" i="8"/>
  <c r="BI22" i="8"/>
  <c r="CX36" i="8" s="1"/>
  <c r="BK24" i="8"/>
  <c r="CZ41" i="8" s="1"/>
  <c r="CN24" i="8"/>
  <c r="DU32" i="8"/>
  <c r="DU31" i="8"/>
  <c r="CL32" i="8"/>
  <c r="BP32" i="8"/>
  <c r="BG32" i="8"/>
  <c r="CX65" i="8" s="1"/>
  <c r="CI22" i="8"/>
  <c r="DT31" i="8"/>
  <c r="DV31" i="8"/>
  <c r="BX32" i="8"/>
  <c r="CH21" i="8"/>
  <c r="CH32" i="8"/>
  <c r="BX21" i="8"/>
  <c r="BO22" i="8"/>
  <c r="DT16" i="8"/>
  <c r="DV25" i="8"/>
  <c r="DU29" i="8"/>
  <c r="DU22" i="8"/>
  <c r="DT34" i="8"/>
  <c r="DV19" i="8"/>
  <c r="DV22" i="8"/>
  <c r="DT25" i="8"/>
  <c r="DU17" i="8"/>
  <c r="DU34" i="8"/>
  <c r="DT19" i="8"/>
  <c r="DU16" i="8"/>
  <c r="DU35" i="8"/>
  <c r="DU20" i="8"/>
  <c r="DU23" i="8"/>
  <c r="DT22" i="8"/>
  <c r="DV16" i="8"/>
  <c r="DU19" i="8"/>
  <c r="DU28" i="8"/>
  <c r="DV34" i="8"/>
  <c r="DV28" i="8"/>
  <c r="DU25" i="8"/>
  <c r="BP23" i="8"/>
  <c r="CJ23" i="8"/>
  <c r="BZ23" i="8"/>
  <c r="BG23" i="8"/>
  <c r="CX38" i="8" s="1"/>
  <c r="BR19" i="8"/>
  <c r="BI19" i="8"/>
  <c r="CX27" i="8" s="1"/>
  <c r="CL19" i="8"/>
  <c r="CB19" i="8"/>
  <c r="BP33" i="8"/>
  <c r="BG33" i="8"/>
  <c r="CX68" i="8" s="1"/>
  <c r="BZ33" i="8"/>
  <c r="CJ33" i="8"/>
  <c r="BO20" i="8"/>
  <c r="BY20" i="8"/>
  <c r="CI20" i="8"/>
  <c r="BO31" i="8"/>
  <c r="BY31" i="8"/>
  <c r="CI31" i="8"/>
  <c r="BN33" i="8"/>
  <c r="BX33" i="8"/>
  <c r="CH33" i="8"/>
  <c r="BV29" i="8"/>
  <c r="CP29" i="8"/>
  <c r="CF29" i="8"/>
  <c r="BP26" i="8"/>
  <c r="CJ26" i="8"/>
  <c r="BZ26" i="8"/>
  <c r="BG26" i="8"/>
  <c r="CX47" i="8" s="1"/>
  <c r="BN23" i="8"/>
  <c r="CH23" i="8"/>
  <c r="BX23" i="8"/>
  <c r="BT16" i="8"/>
  <c r="CN16" i="8"/>
  <c r="CD16" i="8"/>
  <c r="BK16" i="8"/>
  <c r="CZ17" i="8" s="1"/>
  <c r="BN20" i="8"/>
  <c r="CH20" i="8"/>
  <c r="BX20" i="8"/>
  <c r="BO25" i="8"/>
  <c r="BY25" i="8"/>
  <c r="CI25" i="8"/>
  <c r="BR27" i="8"/>
  <c r="CL27" i="8"/>
  <c r="CB27" i="8"/>
  <c r="BI27" i="8"/>
  <c r="CX51" i="8" s="1"/>
  <c r="BP18" i="8"/>
  <c r="CJ18" i="8"/>
  <c r="BG18" i="8"/>
  <c r="CX23" i="8" s="1"/>
  <c r="BZ18" i="8"/>
  <c r="BP28" i="8"/>
  <c r="BZ28" i="8"/>
  <c r="CJ28" i="8"/>
  <c r="BG28" i="8"/>
  <c r="CX53" i="8" s="1"/>
  <c r="BO19" i="8"/>
  <c r="BY19" i="8"/>
  <c r="CI19" i="8"/>
  <c r="BR31" i="8"/>
  <c r="BI31" i="8"/>
  <c r="CX63" i="8" s="1"/>
  <c r="CB31" i="8"/>
  <c r="CL31" i="8"/>
  <c r="BR17" i="8"/>
  <c r="CL17" i="8"/>
  <c r="BI17" i="8"/>
  <c r="CX21" i="8" s="1"/>
  <c r="CB17" i="8"/>
  <c r="BR18" i="8"/>
  <c r="CB18" i="8"/>
  <c r="CL18" i="8"/>
  <c r="BI18" i="8"/>
  <c r="CX24" i="8" s="1"/>
  <c r="GC30" i="8"/>
  <c r="GE30" i="8" s="1"/>
  <c r="GA31" i="8"/>
  <c r="GC31" i="8" s="1"/>
  <c r="GE31" i="8" s="1"/>
  <c r="GN27" i="8"/>
  <c r="GJ27" i="8"/>
  <c r="GL27" i="8"/>
  <c r="BV23" i="8"/>
  <c r="CP23" i="8"/>
  <c r="CF23" i="8"/>
  <c r="BV16" i="8"/>
  <c r="CF16" i="8"/>
  <c r="CP16" i="8"/>
  <c r="BN19" i="8"/>
  <c r="BX19" i="8"/>
  <c r="CH19" i="8"/>
  <c r="BO16" i="8"/>
  <c r="BY16" i="8"/>
  <c r="CI16" i="8"/>
  <c r="BV17" i="8"/>
  <c r="CP17" i="8"/>
  <c r="CF17" i="8"/>
  <c r="BV18" i="8"/>
  <c r="CF18" i="8"/>
  <c r="CP18" i="8"/>
  <c r="BT26" i="8"/>
  <c r="BK26" i="8"/>
  <c r="CZ47" i="8" s="1"/>
  <c r="CN26" i="8"/>
  <c r="CD26" i="8"/>
  <c r="BT28" i="8"/>
  <c r="BK28" i="8"/>
  <c r="CZ53" i="8" s="1"/>
  <c r="CD28" i="8"/>
  <c r="CN28" i="8"/>
  <c r="BV31" i="8"/>
  <c r="CF31" i="8"/>
  <c r="CP31" i="8"/>
  <c r="BN17" i="8"/>
  <c r="CH17" i="8"/>
  <c r="BX17" i="8"/>
  <c r="BO29" i="8"/>
  <c r="BY29" i="8"/>
  <c r="CI29" i="8"/>
  <c r="BN26" i="8"/>
  <c r="CH26" i="8"/>
  <c r="BX26" i="8"/>
  <c r="BP16" i="8"/>
  <c r="BZ16" i="8"/>
  <c r="BG16" i="8"/>
  <c r="CX17" i="8" s="1"/>
  <c r="CJ16" i="8"/>
  <c r="BV25" i="8"/>
  <c r="CP25" i="8"/>
  <c r="CF25" i="8"/>
  <c r="BP22" i="8"/>
  <c r="CJ22" i="8"/>
  <c r="BZ22" i="8"/>
  <c r="BG22" i="8"/>
  <c r="CX35" i="8" s="1"/>
  <c r="BP27" i="8"/>
  <c r="BZ27" i="8"/>
  <c r="CJ27" i="8"/>
  <c r="BG27" i="8"/>
  <c r="CX50" i="8" s="1"/>
  <c r="BT18" i="8"/>
  <c r="CN18" i="8"/>
  <c r="CD18" i="8"/>
  <c r="BK18" i="8"/>
  <c r="CZ23" i="8" s="1"/>
  <c r="BR28" i="8"/>
  <c r="BI28" i="8"/>
  <c r="CX54" i="8" s="1"/>
  <c r="CL28" i="8"/>
  <c r="CB28" i="8"/>
  <c r="BN31" i="8"/>
  <c r="BX31" i="8"/>
  <c r="CH31" i="8"/>
  <c r="BR26" i="8"/>
  <c r="CL26" i="8"/>
  <c r="CB26" i="8"/>
  <c r="BI26" i="8"/>
  <c r="CX48" i="8" s="1"/>
  <c r="BV26" i="8"/>
  <c r="CP26" i="8"/>
  <c r="CF26" i="8"/>
  <c r="BV28" i="8"/>
  <c r="CF28" i="8"/>
  <c r="CP28" i="8"/>
  <c r="BO17" i="8"/>
  <c r="CI17" i="8"/>
  <c r="BY17" i="8"/>
  <c r="BK29" i="8"/>
  <c r="CZ56" i="8" s="1"/>
  <c r="BT29" i="8"/>
  <c r="CN29" i="8"/>
  <c r="CD29" i="8"/>
  <c r="GC28" i="8"/>
  <c r="GE28" i="8" s="1"/>
  <c r="GA29" i="8"/>
  <c r="GC29" i="8" s="1"/>
  <c r="GE29" i="8" s="1"/>
  <c r="BO18" i="8"/>
  <c r="BY18" i="8"/>
  <c r="CI18" i="8"/>
  <c r="BR33" i="8"/>
  <c r="CB33" i="8"/>
  <c r="BI33" i="8"/>
  <c r="CX69" i="8" s="1"/>
  <c r="CL33" i="8"/>
  <c r="BR29" i="8"/>
  <c r="CB29" i="8"/>
  <c r="BI29" i="8"/>
  <c r="CX57" i="8" s="1"/>
  <c r="CL29" i="8"/>
  <c r="BK23" i="8"/>
  <c r="CZ38" i="8" s="1"/>
  <c r="CN23" i="8"/>
  <c r="BT23" i="8"/>
  <c r="CD23" i="8"/>
  <c r="GH32" i="8"/>
  <c r="FV32" i="8"/>
  <c r="FX32" i="8" s="1"/>
  <c r="GA32" i="8"/>
  <c r="FT33" i="8"/>
  <c r="FV33" i="8" s="1"/>
  <c r="FX33" i="8" s="1"/>
  <c r="BV20" i="8"/>
  <c r="CF20" i="8"/>
  <c r="CP20" i="8"/>
  <c r="BP25" i="8"/>
  <c r="BZ25" i="8"/>
  <c r="CJ25" i="8"/>
  <c r="BG25" i="8"/>
  <c r="CX44" i="8" s="1"/>
  <c r="BK27" i="8"/>
  <c r="CZ50" i="8" s="1"/>
  <c r="BT27" i="8"/>
  <c r="CN27" i="8"/>
  <c r="CD27" i="8"/>
  <c r="BN18" i="8"/>
  <c r="CH18" i="8"/>
  <c r="BX18" i="8"/>
  <c r="BO28" i="8"/>
  <c r="BY28" i="8"/>
  <c r="CI28" i="8"/>
  <c r="BO33" i="8"/>
  <c r="CI33" i="8"/>
  <c r="BY33" i="8"/>
  <c r="BT20" i="8"/>
  <c r="CD20" i="8"/>
  <c r="BK20" i="8"/>
  <c r="CZ29" i="8" s="1"/>
  <c r="CN20" i="8"/>
  <c r="BK31" i="8"/>
  <c r="CZ62" i="8" s="1"/>
  <c r="CD31" i="8"/>
  <c r="CN31" i="8"/>
  <c r="BT31" i="8"/>
  <c r="BR16" i="8"/>
  <c r="CL16" i="8"/>
  <c r="BI16" i="8"/>
  <c r="CX18" i="8" s="1"/>
  <c r="CB16" i="8"/>
  <c r="BK19" i="8"/>
  <c r="CZ26" i="8" s="1"/>
  <c r="CN19" i="8"/>
  <c r="CD19" i="8"/>
  <c r="BT19" i="8"/>
  <c r="BP17" i="8"/>
  <c r="BG17" i="8"/>
  <c r="CX20" i="8" s="1"/>
  <c r="CJ17" i="8"/>
  <c r="BZ17" i="8"/>
  <c r="BR25" i="8"/>
  <c r="CL25" i="8"/>
  <c r="BI25" i="8"/>
  <c r="CX45" i="8" s="1"/>
  <c r="CB25" i="8"/>
  <c r="BV27" i="8"/>
  <c r="CP27" i="8"/>
  <c r="CF27" i="8"/>
  <c r="HY103" i="8"/>
  <c r="HY121" i="8" s="1"/>
  <c r="BV33" i="8"/>
  <c r="CP33" i="8"/>
  <c r="CF33" i="8"/>
  <c r="BN29" i="8"/>
  <c r="CH29" i="8"/>
  <c r="BX29" i="8"/>
  <c r="BO23" i="8"/>
  <c r="CI23" i="8"/>
  <c r="BY23" i="8"/>
  <c r="GF40" i="8"/>
  <c r="BP20" i="8"/>
  <c r="CJ20" i="8"/>
  <c r="BG20" i="8"/>
  <c r="CX29" i="8" s="1"/>
  <c r="BZ20" i="8"/>
  <c r="GL28" i="8"/>
  <c r="GN28" i="8"/>
  <c r="GH29" i="8"/>
  <c r="GJ28" i="8"/>
  <c r="BK25" i="8"/>
  <c r="CZ44" i="8" s="1"/>
  <c r="CN25" i="8"/>
  <c r="BT25" i="8"/>
  <c r="CD25" i="8"/>
  <c r="BO27" i="8"/>
  <c r="CI27" i="8"/>
  <c r="BY27" i="8"/>
  <c r="BN28" i="8"/>
  <c r="CH28" i="8"/>
  <c r="BX28" i="8"/>
  <c r="BV30" i="8"/>
  <c r="CF30" i="8"/>
  <c r="CP30" i="8"/>
  <c r="BV19" i="8"/>
  <c r="CP19" i="8"/>
  <c r="CF19" i="8"/>
  <c r="BT22" i="8"/>
  <c r="CD22" i="8"/>
  <c r="BK22" i="8"/>
  <c r="CZ35" i="8" s="1"/>
  <c r="CN22" i="8"/>
  <c r="BP29" i="8"/>
  <c r="BZ29" i="8"/>
  <c r="BG29" i="8"/>
  <c r="CX56" i="8" s="1"/>
  <c r="CJ29" i="8"/>
  <c r="BI30" i="8"/>
  <c r="CX60" i="8" s="1"/>
  <c r="BR30" i="8"/>
  <c r="CB30" i="8"/>
  <c r="CL30" i="8"/>
  <c r="BK17" i="8"/>
  <c r="CZ20" i="8" s="1"/>
  <c r="CD17" i="8"/>
  <c r="CN17" i="8"/>
  <c r="BT17" i="8"/>
  <c r="BK33" i="8"/>
  <c r="CZ68" i="8" s="1"/>
  <c r="CN33" i="8"/>
  <c r="CD33" i="8"/>
  <c r="BT33" i="8"/>
  <c r="BP30" i="8"/>
  <c r="BG30" i="8"/>
  <c r="CX59" i="8" s="1"/>
  <c r="CJ30" i="8"/>
  <c r="BZ30" i="8"/>
  <c r="BO26" i="8"/>
  <c r="CI26" i="8"/>
  <c r="BY26" i="8"/>
  <c r="BR23" i="8"/>
  <c r="BI23" i="8"/>
  <c r="CX39" i="8" s="1"/>
  <c r="CL23" i="8"/>
  <c r="CB23" i="8"/>
  <c r="GA34" i="8"/>
  <c r="GH34" i="8"/>
  <c r="FT35" i="8"/>
  <c r="FV35" i="8" s="1"/>
  <c r="FX35" i="8" s="1"/>
  <c r="FV34" i="8"/>
  <c r="FX34" i="8" s="1"/>
  <c r="BR20" i="8"/>
  <c r="BI20" i="8"/>
  <c r="CX30" i="8" s="1"/>
  <c r="CB20" i="8"/>
  <c r="CL20" i="8"/>
  <c r="BN25" i="8"/>
  <c r="BX25" i="8"/>
  <c r="CH25" i="8"/>
  <c r="BN27" i="8"/>
  <c r="BX27" i="8"/>
  <c r="CH27" i="8"/>
  <c r="BV22" i="8"/>
  <c r="CP22" i="8"/>
  <c r="CF22" i="8"/>
  <c r="CR40" i="8"/>
  <c r="BP19" i="8"/>
  <c r="BZ19" i="8"/>
  <c r="BG19" i="8"/>
  <c r="CX26" i="8" s="1"/>
  <c r="CJ19" i="8"/>
  <c r="BP31" i="8"/>
  <c r="BZ31" i="8"/>
  <c r="BG31" i="8"/>
  <c r="CX62" i="8" s="1"/>
  <c r="CJ31" i="8"/>
  <c r="GL30" i="8"/>
  <c r="GH31" i="8"/>
  <c r="GJ30" i="8"/>
  <c r="GN30" i="8"/>
  <c r="AD249" i="8"/>
  <c r="AE250" i="8" s="1"/>
  <c r="AE247" i="8"/>
  <c r="AE240" i="8"/>
  <c r="AD244" i="8"/>
  <c r="FT42" i="8" l="1"/>
  <c r="FT40" i="8"/>
  <c r="CC24" i="8"/>
  <c r="BS24" i="8"/>
  <c r="CC32" i="8"/>
  <c r="CM32" i="8"/>
  <c r="BS32" i="8"/>
  <c r="CO30" i="8"/>
  <c r="BU30" i="8"/>
  <c r="CE30" i="8"/>
  <c r="BQ32" i="8"/>
  <c r="CO32" i="8"/>
  <c r="BU24" i="8"/>
  <c r="CM24" i="8"/>
  <c r="BQ24" i="8"/>
  <c r="CO24" i="8"/>
  <c r="CE24" i="8"/>
  <c r="CE21" i="8"/>
  <c r="DV33" i="8"/>
  <c r="DU36" i="8"/>
  <c r="DU18" i="8"/>
  <c r="DU24" i="8"/>
  <c r="DV21" i="8"/>
  <c r="DV27" i="8"/>
  <c r="DU33" i="8"/>
  <c r="DU30" i="8"/>
  <c r="DV30" i="8"/>
  <c r="DU27" i="8"/>
  <c r="DV18" i="8"/>
  <c r="DV36" i="8"/>
  <c r="DV24" i="8"/>
  <c r="DU21" i="8"/>
  <c r="BS21" i="8"/>
  <c r="CA21" i="8"/>
  <c r="BS22" i="8"/>
  <c r="BU21" i="8"/>
  <c r="CK24" i="8"/>
  <c r="CE32" i="8"/>
  <c r="BU32" i="8"/>
  <c r="CO21" i="8"/>
  <c r="CM22" i="8"/>
  <c r="CK32" i="8"/>
  <c r="CC22" i="8"/>
  <c r="CA32" i="8"/>
  <c r="BQ21" i="8"/>
  <c r="CK21" i="8"/>
  <c r="DT32" i="8"/>
  <c r="CC21" i="8"/>
  <c r="CM21" i="8"/>
  <c r="CA24" i="8"/>
  <c r="DV32" i="8"/>
  <c r="DT33" i="8"/>
  <c r="DT36" i="8"/>
  <c r="BX14" i="8"/>
  <c r="I55" i="8" s="1"/>
  <c r="CH14" i="8"/>
  <c r="I58" i="8" s="1"/>
  <c r="AG89" i="8" s="1"/>
  <c r="BN14" i="8"/>
  <c r="F55" i="8" s="1"/>
  <c r="AD86" i="8" s="1"/>
  <c r="CL14" i="8"/>
  <c r="K58" i="8" s="1"/>
  <c r="AI89" i="8" s="1"/>
  <c r="DT17" i="8"/>
  <c r="DV37" i="8"/>
  <c r="DU38" i="8"/>
  <c r="DT18" i="8"/>
  <c r="DV29" i="8"/>
  <c r="DT23" i="8"/>
  <c r="DV39" i="8"/>
  <c r="DT27" i="8"/>
  <c r="DV23" i="8"/>
  <c r="DT37" i="8"/>
  <c r="DU37" i="8"/>
  <c r="DT26" i="8"/>
  <c r="DU39" i="8"/>
  <c r="DT20" i="8"/>
  <c r="DT35" i="8"/>
  <c r="DV26" i="8"/>
  <c r="DV17" i="8"/>
  <c r="DT38" i="8"/>
  <c r="DV20" i="8"/>
  <c r="DT39" i="8"/>
  <c r="DT30" i="8"/>
  <c r="DV38" i="8"/>
  <c r="DV35" i="8"/>
  <c r="DT29" i="8"/>
  <c r="DT24" i="8"/>
  <c r="DT21" i="8"/>
  <c r="CA31" i="8"/>
  <c r="BQ31" i="8"/>
  <c r="CK31" i="8"/>
  <c r="CK16" i="8"/>
  <c r="BQ16" i="8"/>
  <c r="CA16" i="8"/>
  <c r="BQ30" i="8"/>
  <c r="CK30" i="8"/>
  <c r="CA30" i="8"/>
  <c r="CM16" i="8"/>
  <c r="BS16" i="8"/>
  <c r="CC16" i="8"/>
  <c r="CE20" i="8"/>
  <c r="BU20" i="8"/>
  <c r="CO20" i="8"/>
  <c r="BQ25" i="8"/>
  <c r="CA25" i="8"/>
  <c r="CK25" i="8"/>
  <c r="GA33" i="8"/>
  <c r="GC33" i="8" s="1"/>
  <c r="GE33" i="8" s="1"/>
  <c r="GC32" i="8"/>
  <c r="GE32" i="8" s="1"/>
  <c r="BS29" i="8"/>
  <c r="CM29" i="8"/>
  <c r="CC29" i="8"/>
  <c r="CC28" i="8"/>
  <c r="BS28" i="8"/>
  <c r="CM28" i="8"/>
  <c r="CP14" i="8"/>
  <c r="K60" i="8" s="1"/>
  <c r="AI91" i="8" s="1"/>
  <c r="CN14" i="8"/>
  <c r="CK18" i="8"/>
  <c r="CA18" i="8"/>
  <c r="BQ18" i="8"/>
  <c r="CR43" i="8"/>
  <c r="BV14" i="8"/>
  <c r="H57" i="8" s="1"/>
  <c r="GA35" i="8"/>
  <c r="GC35" i="8" s="1"/>
  <c r="GE35" i="8" s="1"/>
  <c r="GC34" i="8"/>
  <c r="GE34" i="8" s="1"/>
  <c r="GL29" i="8"/>
  <c r="GN29" i="8"/>
  <c r="GJ29" i="8"/>
  <c r="GF44" i="8"/>
  <c r="BZ14" i="8"/>
  <c r="J55" i="8" s="1"/>
  <c r="G58" i="8" s="1"/>
  <c r="CO28" i="8"/>
  <c r="CE28" i="8"/>
  <c r="BU28" i="8"/>
  <c r="BY14" i="8"/>
  <c r="J56" i="8" s="1"/>
  <c r="G59" i="8" s="1"/>
  <c r="CC19" i="8"/>
  <c r="CM19" i="8"/>
  <c r="BS19" i="8"/>
  <c r="BT14" i="8"/>
  <c r="G57" i="8" s="1"/>
  <c r="AE88" i="8" s="1"/>
  <c r="FV36" i="8"/>
  <c r="FX36" i="8" s="1"/>
  <c r="GH36" i="8"/>
  <c r="GA36" i="8"/>
  <c r="FT37" i="8"/>
  <c r="FV37" i="8" s="1"/>
  <c r="FX37" i="8" s="1"/>
  <c r="CO29" i="8"/>
  <c r="CE29" i="8"/>
  <c r="BU29" i="8"/>
  <c r="CO18" i="8"/>
  <c r="CE18" i="8"/>
  <c r="BU18" i="8"/>
  <c r="GH38" i="8"/>
  <c r="FT39" i="8"/>
  <c r="FV39" i="8" s="1"/>
  <c r="FX39" i="8" s="1"/>
  <c r="FV38" i="8"/>
  <c r="FX38" i="8" s="1"/>
  <c r="GA38" i="8"/>
  <c r="BS26" i="8"/>
  <c r="CM26" i="8"/>
  <c r="CC26" i="8"/>
  <c r="BP14" i="8"/>
  <c r="G55" i="8" s="1"/>
  <c r="BO14" i="8"/>
  <c r="G56" i="8" s="1"/>
  <c r="AE87" i="8" s="1"/>
  <c r="BS31" i="8"/>
  <c r="CC31" i="8"/>
  <c r="CM31" i="8"/>
  <c r="CA28" i="8"/>
  <c r="CK28" i="8"/>
  <c r="BQ28" i="8"/>
  <c r="BS27" i="8"/>
  <c r="CC27" i="8"/>
  <c r="CM27" i="8"/>
  <c r="GL34" i="8"/>
  <c r="GN34" i="8"/>
  <c r="GJ34" i="8"/>
  <c r="GH35" i="8"/>
  <c r="BQ29" i="8"/>
  <c r="CA29" i="8"/>
  <c r="CK29" i="8"/>
  <c r="GH33" i="8"/>
  <c r="GN32" i="8"/>
  <c r="GJ32" i="8"/>
  <c r="GL32" i="8"/>
  <c r="CA19" i="8"/>
  <c r="BQ19" i="8"/>
  <c r="CK19" i="8"/>
  <c r="CO33" i="8"/>
  <c r="BU33" i="8"/>
  <c r="CE33" i="8"/>
  <c r="BS30" i="8"/>
  <c r="CC30" i="8"/>
  <c r="CM30" i="8"/>
  <c r="BQ26" i="8"/>
  <c r="CK26" i="8"/>
  <c r="CA26" i="8"/>
  <c r="BQ23" i="8"/>
  <c r="CK23" i="8"/>
  <c r="CA23" i="8"/>
  <c r="BQ17" i="8"/>
  <c r="CK17" i="8"/>
  <c r="CA17" i="8"/>
  <c r="CF14" i="8"/>
  <c r="K57" i="8" s="1"/>
  <c r="H60" i="8" s="1"/>
  <c r="BR14" i="8"/>
  <c r="H55" i="8" s="1"/>
  <c r="AF86" i="8" s="1"/>
  <c r="BQ22" i="8"/>
  <c r="CA22" i="8"/>
  <c r="CK22" i="8"/>
  <c r="GJ31" i="8"/>
  <c r="GN31" i="8"/>
  <c r="GL31" i="8"/>
  <c r="BS25" i="8"/>
  <c r="CM25" i="8"/>
  <c r="CC25" i="8"/>
  <c r="CO19" i="8"/>
  <c r="CE19" i="8"/>
  <c r="BU19" i="8"/>
  <c r="CO31" i="8"/>
  <c r="BU31" i="8"/>
  <c r="CE31" i="8"/>
  <c r="BU23" i="8"/>
  <c r="CO23" i="8"/>
  <c r="CE23" i="8"/>
  <c r="BQ27" i="8"/>
  <c r="CA27" i="8"/>
  <c r="CK27" i="8"/>
  <c r="CE16" i="8"/>
  <c r="BU16" i="8"/>
  <c r="CO16" i="8"/>
  <c r="CC23" i="8"/>
  <c r="CM23" i="8"/>
  <c r="BS23" i="8"/>
  <c r="CO17" i="8"/>
  <c r="BU17" i="8"/>
  <c r="CE17" i="8"/>
  <c r="CO25" i="8"/>
  <c r="CE25" i="8"/>
  <c r="BU25" i="8"/>
  <c r="CJ14" i="8"/>
  <c r="J58" i="8" s="1"/>
  <c r="AH89" i="8" s="1"/>
  <c r="CI14" i="8"/>
  <c r="J59" i="8" s="1"/>
  <c r="AH90" i="8" s="1"/>
  <c r="CC20" i="8"/>
  <c r="CM20" i="8"/>
  <c r="BS20" i="8"/>
  <c r="CE22" i="8"/>
  <c r="BU22" i="8"/>
  <c r="CO22" i="8"/>
  <c r="CA20" i="8"/>
  <c r="CK20" i="8"/>
  <c r="BQ20" i="8"/>
  <c r="CB14" i="8"/>
  <c r="K55" i="8" s="1"/>
  <c r="H58" i="8" s="1"/>
  <c r="CO27" i="8"/>
  <c r="BU27" i="8"/>
  <c r="CE27" i="8"/>
  <c r="CC33" i="8"/>
  <c r="CM33" i="8"/>
  <c r="BS33" i="8"/>
  <c r="CO26" i="8"/>
  <c r="BU26" i="8"/>
  <c r="CE26" i="8"/>
  <c r="BS18" i="8"/>
  <c r="CM18" i="8"/>
  <c r="CC18" i="8"/>
  <c r="BS17" i="8"/>
  <c r="CC17" i="8"/>
  <c r="CM17" i="8"/>
  <c r="CD14" i="8"/>
  <c r="J57" i="8" s="1"/>
  <c r="G60" i="8" s="1"/>
  <c r="BQ33" i="8"/>
  <c r="CK33" i="8"/>
  <c r="CA33" i="8"/>
  <c r="AE243" i="8"/>
  <c r="AD247" i="8"/>
  <c r="FT46" i="8" l="1"/>
  <c r="FT44" i="8"/>
  <c r="AG86" i="8"/>
  <c r="F58" i="8"/>
  <c r="AD89" i="8"/>
  <c r="BQ14" i="8"/>
  <c r="F56" i="8" s="1"/>
  <c r="AD87" i="8" s="1"/>
  <c r="CO14" i="8"/>
  <c r="DV41" i="8"/>
  <c r="DU41" i="8"/>
  <c r="DV40" i="8"/>
  <c r="DT42" i="8"/>
  <c r="DT40" i="8"/>
  <c r="DT41" i="8"/>
  <c r="DV42" i="8"/>
  <c r="DU40" i="8"/>
  <c r="DU42" i="8"/>
  <c r="CA14" i="8"/>
  <c r="I56" i="8" s="1"/>
  <c r="F59" i="8" s="1"/>
  <c r="AE86" i="8"/>
  <c r="B58" i="8"/>
  <c r="IC20" i="8" s="1"/>
  <c r="IC21" i="8" s="1"/>
  <c r="IE26" i="8" s="1"/>
  <c r="CE14" i="8"/>
  <c r="K56" i="8" s="1"/>
  <c r="H59" i="8" s="1"/>
  <c r="J60" i="8"/>
  <c r="AH91" i="8" s="1"/>
  <c r="K59" i="8"/>
  <c r="AI90" i="8" s="1"/>
  <c r="CC14" i="8"/>
  <c r="I57" i="8" s="1"/>
  <c r="F60" i="8" s="1"/>
  <c r="CK14" i="8"/>
  <c r="I59" i="8" s="1"/>
  <c r="BU14" i="8"/>
  <c r="H56" i="8" s="1"/>
  <c r="AF87" i="8" s="1"/>
  <c r="GN35" i="8"/>
  <c r="GL35" i="8"/>
  <c r="GJ35" i="8"/>
  <c r="GF48" i="8"/>
  <c r="AF88" i="8"/>
  <c r="B57" i="8"/>
  <c r="CM14" i="8"/>
  <c r="I60" i="8" s="1"/>
  <c r="AG91" i="8" s="1"/>
  <c r="GA39" i="8"/>
  <c r="GC39" i="8" s="1"/>
  <c r="GE39" i="8" s="1"/>
  <c r="GC38" i="8"/>
  <c r="GE38" i="8" s="1"/>
  <c r="GH40" i="8"/>
  <c r="FT41" i="8"/>
  <c r="FV41" i="8" s="1"/>
  <c r="FX41" i="8" s="1"/>
  <c r="FV40" i="8"/>
  <c r="FX40" i="8" s="1"/>
  <c r="GA40" i="8"/>
  <c r="CR46" i="8"/>
  <c r="GJ38" i="8"/>
  <c r="GH39" i="8"/>
  <c r="GN38" i="8"/>
  <c r="GL38" i="8"/>
  <c r="GJ36" i="8"/>
  <c r="GL36" i="8"/>
  <c r="GN36" i="8"/>
  <c r="GH37" i="8"/>
  <c r="AI86" i="8"/>
  <c r="AF89" i="8"/>
  <c r="AE89" i="8"/>
  <c r="AH86" i="8"/>
  <c r="FT43" i="8"/>
  <c r="FV43" i="8" s="1"/>
  <c r="FX43" i="8" s="1"/>
  <c r="FV42" i="8"/>
  <c r="FX42" i="8" s="1"/>
  <c r="GA42" i="8"/>
  <c r="GH42" i="8"/>
  <c r="B56" i="8"/>
  <c r="GA37" i="8"/>
  <c r="GC37" i="8" s="1"/>
  <c r="GE37" i="8" s="1"/>
  <c r="GC36" i="8"/>
  <c r="GE36" i="8" s="1"/>
  <c r="AF91" i="8"/>
  <c r="AI88" i="8"/>
  <c r="AH88" i="8"/>
  <c r="AE91" i="8"/>
  <c r="BS14" i="8"/>
  <c r="F57" i="8" s="1"/>
  <c r="AD88" i="8" s="1"/>
  <c r="GJ33" i="8"/>
  <c r="GL33" i="8"/>
  <c r="GN33" i="8"/>
  <c r="AE90" i="8"/>
  <c r="AH87" i="8"/>
  <c r="B55" i="8"/>
  <c r="AE246" i="8"/>
  <c r="AD250" i="8"/>
  <c r="AE249" i="8" s="1"/>
  <c r="FT50" i="8" l="1"/>
  <c r="FT48" i="8"/>
  <c r="B59" i="8"/>
  <c r="DT43" i="8"/>
  <c r="DV44" i="8"/>
  <c r="DU45" i="8"/>
  <c r="DV45" i="8"/>
  <c r="DU44" i="8"/>
  <c r="DT44" i="8"/>
  <c r="DV43" i="8"/>
  <c r="DT45" i="8"/>
  <c r="DU43" i="8"/>
  <c r="GA43" i="8"/>
  <c r="GC43" i="8" s="1"/>
  <c r="GE43" i="8" s="1"/>
  <c r="GC42" i="8"/>
  <c r="GE42" i="8" s="1"/>
  <c r="GC40" i="8"/>
  <c r="GE40" i="8" s="1"/>
  <c r="GA41" i="8"/>
  <c r="GC41" i="8" s="1"/>
  <c r="GE41" i="8" s="1"/>
  <c r="GN42" i="8"/>
  <c r="GL42" i="8"/>
  <c r="GJ42" i="8"/>
  <c r="GH43" i="8"/>
  <c r="GF52" i="8"/>
  <c r="AG90" i="8"/>
  <c r="ID46" i="8"/>
  <c r="GJ37" i="8"/>
  <c r="GL37" i="8"/>
  <c r="GN37" i="8"/>
  <c r="GH44" i="8"/>
  <c r="FV44" i="8"/>
  <c r="FX44" i="8" s="1"/>
  <c r="FT45" i="8"/>
  <c r="FV45" i="8" s="1"/>
  <c r="FX45" i="8" s="1"/>
  <c r="GA44" i="8"/>
  <c r="AG88" i="8"/>
  <c r="AD91" i="8"/>
  <c r="AI87" i="8"/>
  <c r="AF90" i="8"/>
  <c r="CR49" i="8"/>
  <c r="GL40" i="8"/>
  <c r="GN40" i="8"/>
  <c r="GH41" i="8"/>
  <c r="GJ40" i="8"/>
  <c r="GH46" i="8"/>
  <c r="FT47" i="8"/>
  <c r="FV47" i="8" s="1"/>
  <c r="FX47" i="8" s="1"/>
  <c r="FV46" i="8"/>
  <c r="FX46" i="8" s="1"/>
  <c r="GA46" i="8"/>
  <c r="AD90" i="8"/>
  <c r="AG87" i="8"/>
  <c r="GL39" i="8"/>
  <c r="GN39" i="8"/>
  <c r="GJ39" i="8"/>
  <c r="HY102" i="8" l="1"/>
  <c r="HY120" i="8" s="1"/>
  <c r="FT54" i="8"/>
  <c r="FT52" i="8"/>
  <c r="AK86" i="8" a="1"/>
  <c r="AP88" i="8" s="1"/>
  <c r="DU47" i="8"/>
  <c r="DT48" i="8"/>
  <c r="DV46" i="8"/>
  <c r="DT47" i="8"/>
  <c r="DV47" i="8"/>
  <c r="DU46" i="8"/>
  <c r="DV48" i="8"/>
  <c r="DT46" i="8"/>
  <c r="DU48" i="8"/>
  <c r="GC46" i="8"/>
  <c r="GE46" i="8" s="1"/>
  <c r="GA47" i="8"/>
  <c r="GC47" i="8" s="1"/>
  <c r="GE47" i="8" s="1"/>
  <c r="GF56" i="8"/>
  <c r="GJ44" i="8"/>
  <c r="GL44" i="8"/>
  <c r="GH45" i="8"/>
  <c r="GN44" i="8"/>
  <c r="GN46" i="8"/>
  <c r="GH47" i="8"/>
  <c r="GJ46" i="8"/>
  <c r="GL46" i="8"/>
  <c r="CR52" i="8"/>
  <c r="GA48" i="8"/>
  <c r="GH48" i="8"/>
  <c r="FV48" i="8"/>
  <c r="FX48" i="8" s="1"/>
  <c r="FT49" i="8"/>
  <c r="FV49" i="8" s="1"/>
  <c r="FX49" i="8" s="1"/>
  <c r="FT51" i="8"/>
  <c r="FV51" i="8" s="1"/>
  <c r="FX51" i="8" s="1"/>
  <c r="FV50" i="8"/>
  <c r="FX50" i="8" s="1"/>
  <c r="GA50" i="8"/>
  <c r="GH50" i="8"/>
  <c r="GL41" i="8"/>
  <c r="GN41" i="8"/>
  <c r="GJ41" i="8"/>
  <c r="GN43" i="8"/>
  <c r="GJ43" i="8"/>
  <c r="GL43" i="8"/>
  <c r="GA45" i="8"/>
  <c r="GC45" i="8" s="1"/>
  <c r="GE45" i="8" s="1"/>
  <c r="GC44" i="8"/>
  <c r="GE44" i="8" s="1"/>
  <c r="HY101" i="8"/>
  <c r="HY119" i="8" s="1"/>
  <c r="HZ101" i="8"/>
  <c r="HZ119" i="8" s="1"/>
  <c r="FT58" i="8" l="1"/>
  <c r="FT56" i="8"/>
  <c r="AL86" i="8"/>
  <c r="AM88" i="8"/>
  <c r="AO87" i="8"/>
  <c r="AM90" i="8"/>
  <c r="AM87" i="8"/>
  <c r="AK87" i="8"/>
  <c r="AN88" i="8"/>
  <c r="AP89" i="8"/>
  <c r="AN90" i="8"/>
  <c r="AN86" i="8"/>
  <c r="AM86" i="8"/>
  <c r="AL87" i="8"/>
  <c r="AL88" i="8"/>
  <c r="AK86" i="8"/>
  <c r="AK91" i="8"/>
  <c r="AK89" i="8"/>
  <c r="AO91" i="8"/>
  <c r="AP87" i="8"/>
  <c r="AO89" i="8"/>
  <c r="AN89" i="8"/>
  <c r="AP90" i="8"/>
  <c r="AN91" i="8"/>
  <c r="AL89" i="8"/>
  <c r="AO90" i="8"/>
  <c r="AK88" i="8"/>
  <c r="AM91" i="8"/>
  <c r="AN87" i="8"/>
  <c r="AK90" i="8"/>
  <c r="AP91" i="8"/>
  <c r="AM89" i="8"/>
  <c r="AP86" i="8"/>
  <c r="AL90" i="8"/>
  <c r="AO86" i="8"/>
  <c r="AL91" i="8"/>
  <c r="AO88" i="8"/>
  <c r="HZ102" i="8"/>
  <c r="HZ120" i="8" s="1"/>
  <c r="DU49" i="8"/>
  <c r="DU50" i="8"/>
  <c r="DT51" i="8"/>
  <c r="DV50" i="8"/>
  <c r="DV49" i="8"/>
  <c r="DT50" i="8"/>
  <c r="DV51" i="8"/>
  <c r="DT49" i="8"/>
  <c r="DU51" i="8"/>
  <c r="GA49" i="8"/>
  <c r="GC49" i="8" s="1"/>
  <c r="GE49" i="8" s="1"/>
  <c r="GC48" i="8"/>
  <c r="GE48" i="8" s="1"/>
  <c r="GL45" i="8"/>
  <c r="GN45" i="8"/>
  <c r="GJ45" i="8"/>
  <c r="GL50" i="8"/>
  <c r="GN50" i="8"/>
  <c r="GH51" i="8"/>
  <c r="GJ50" i="8"/>
  <c r="GC50" i="8"/>
  <c r="GE50" i="8" s="1"/>
  <c r="GA51" i="8"/>
  <c r="GC51" i="8" s="1"/>
  <c r="GE51" i="8" s="1"/>
  <c r="GH49" i="8"/>
  <c r="GJ48" i="8"/>
  <c r="GN48" i="8"/>
  <c r="GL48" i="8"/>
  <c r="HZ105" i="8"/>
  <c r="HZ123" i="8" s="1"/>
  <c r="HY105" i="8"/>
  <c r="HY123" i="8" s="1"/>
  <c r="CR55" i="8"/>
  <c r="HZ106" i="8"/>
  <c r="HZ124" i="8" s="1"/>
  <c r="HY106" i="8"/>
  <c r="HY124" i="8" s="1"/>
  <c r="GH52" i="8"/>
  <c r="GA52" i="8"/>
  <c r="FV52" i="8"/>
  <c r="FX52" i="8" s="1"/>
  <c r="FT53" i="8"/>
  <c r="FV53" i="8" s="1"/>
  <c r="FX53" i="8" s="1"/>
  <c r="GN47" i="8"/>
  <c r="GJ47" i="8"/>
  <c r="GL47" i="8"/>
  <c r="GF60" i="8"/>
  <c r="FT55" i="8"/>
  <c r="FV55" i="8" s="1"/>
  <c r="FX55" i="8" s="1"/>
  <c r="FV54" i="8"/>
  <c r="FX54" i="8" s="1"/>
  <c r="GA54" i="8"/>
  <c r="GH54" i="8"/>
  <c r="FT62" i="8" l="1"/>
  <c r="FT60" i="8"/>
  <c r="AT86" i="8" a="1"/>
  <c r="AT88" i="8" s="1"/>
  <c r="AE72" i="8" s="1"/>
  <c r="DV53" i="8"/>
  <c r="DV52" i="8"/>
  <c r="DU53" i="8"/>
  <c r="DV54" i="8"/>
  <c r="DU54" i="8"/>
  <c r="DU52" i="8"/>
  <c r="DT52" i="8"/>
  <c r="DT53" i="8"/>
  <c r="DT54" i="8"/>
  <c r="GA58" i="8"/>
  <c r="FV58" i="8"/>
  <c r="FX58" i="8" s="1"/>
  <c r="GH58" i="8"/>
  <c r="FT59" i="8"/>
  <c r="FV59" i="8" s="1"/>
  <c r="FX59" i="8" s="1"/>
  <c r="GH53" i="8"/>
  <c r="GJ52" i="8"/>
  <c r="GL52" i="8"/>
  <c r="GN52" i="8"/>
  <c r="GL49" i="8"/>
  <c r="GJ49" i="8"/>
  <c r="GN49" i="8"/>
  <c r="GJ54" i="8"/>
  <c r="GN54" i="8"/>
  <c r="GL54" i="8"/>
  <c r="GH55" i="8"/>
  <c r="CR58" i="8"/>
  <c r="GA55" i="8"/>
  <c r="GC55" i="8" s="1"/>
  <c r="GE55" i="8" s="1"/>
  <c r="GC54" i="8"/>
  <c r="GE54" i="8" s="1"/>
  <c r="FT57" i="8"/>
  <c r="FV57" i="8" s="1"/>
  <c r="FX57" i="8" s="1"/>
  <c r="GH56" i="8"/>
  <c r="FV56" i="8"/>
  <c r="FX56" i="8" s="1"/>
  <c r="GA56" i="8"/>
  <c r="GF64" i="8"/>
  <c r="GA53" i="8"/>
  <c r="GC53" i="8" s="1"/>
  <c r="GE53" i="8" s="1"/>
  <c r="GC52" i="8"/>
  <c r="GE52" i="8" s="1"/>
  <c r="GN51" i="8"/>
  <c r="GL51" i="8"/>
  <c r="GJ51" i="8"/>
  <c r="FT66" i="8" l="1"/>
  <c r="FT64" i="8"/>
  <c r="AT91" i="8"/>
  <c r="AX88" i="8" s="1"/>
  <c r="AT89" i="8"/>
  <c r="AT87" i="8"/>
  <c r="AE71" i="8" s="1"/>
  <c r="AT86" i="8"/>
  <c r="AE70" i="8" s="1"/>
  <c r="AT90" i="8"/>
  <c r="DU56" i="8"/>
  <c r="DV55" i="8"/>
  <c r="DU55" i="8"/>
  <c r="DV57" i="8"/>
  <c r="DT56" i="8"/>
  <c r="DT57" i="8"/>
  <c r="DT55" i="8"/>
  <c r="DV56" i="8"/>
  <c r="DU57" i="8"/>
  <c r="GL56" i="8"/>
  <c r="GJ56" i="8"/>
  <c r="GN56" i="8"/>
  <c r="GH57" i="8"/>
  <c r="GA57" i="8"/>
  <c r="GC57" i="8" s="1"/>
  <c r="GE57" i="8" s="1"/>
  <c r="GC56" i="8"/>
  <c r="GE56" i="8" s="1"/>
  <c r="GL55" i="8"/>
  <c r="GN55" i="8"/>
  <c r="GJ55" i="8"/>
  <c r="CR61" i="8"/>
  <c r="FT61" i="8"/>
  <c r="FV61" i="8" s="1"/>
  <c r="FX61" i="8" s="1"/>
  <c r="FV60" i="8"/>
  <c r="FX60" i="8" s="1"/>
  <c r="GH60" i="8"/>
  <c r="GA60" i="8"/>
  <c r="GL58" i="8"/>
  <c r="GN58" i="8"/>
  <c r="GH59" i="8"/>
  <c r="GJ58" i="8"/>
  <c r="GL53" i="8"/>
  <c r="GN53" i="8"/>
  <c r="GJ53" i="8"/>
  <c r="FT63" i="8"/>
  <c r="FV63" i="8" s="1"/>
  <c r="FX63" i="8" s="1"/>
  <c r="GA62" i="8"/>
  <c r="GH62" i="8"/>
  <c r="FV62" i="8"/>
  <c r="FX62" i="8" s="1"/>
  <c r="GA59" i="8"/>
  <c r="GC59" i="8" s="1"/>
  <c r="GE59" i="8" s="1"/>
  <c r="GC58" i="8"/>
  <c r="GE58" i="8" s="1"/>
  <c r="GF68" i="8"/>
  <c r="AE75" i="8" l="1"/>
  <c r="DD34" i="8" s="1"/>
  <c r="DR70" i="8" s="1"/>
  <c r="AE76" i="8"/>
  <c r="DF50" i="8" s="1"/>
  <c r="DR119" i="8" s="1"/>
  <c r="AE77" i="8"/>
  <c r="DI35" i="8" s="1"/>
  <c r="DN75" i="8" s="1"/>
  <c r="FT70" i="8"/>
  <c r="FT68" i="8"/>
  <c r="AW88" i="8"/>
  <c r="AX86" i="8"/>
  <c r="AW86" i="8"/>
  <c r="DD47" i="8"/>
  <c r="DR109" i="8" s="1"/>
  <c r="AW87" i="8"/>
  <c r="AX87" i="8"/>
  <c r="DG19" i="8"/>
  <c r="DN26" i="8" s="1"/>
  <c r="DI26" i="8"/>
  <c r="DN48" i="8" s="1"/>
  <c r="DH42" i="8"/>
  <c r="DR96" i="8" s="1"/>
  <c r="CV105" i="8"/>
  <c r="CV96" i="8"/>
  <c r="CV90" i="8"/>
  <c r="CV63" i="8"/>
  <c r="CV81" i="8"/>
  <c r="CV72" i="8"/>
  <c r="CV66" i="8"/>
  <c r="CV93" i="8"/>
  <c r="CV51" i="8"/>
  <c r="CV111" i="8"/>
  <c r="CV69" i="8"/>
  <c r="CV60" i="8"/>
  <c r="CV54" i="8"/>
  <c r="CV99" i="8"/>
  <c r="CV57" i="8"/>
  <c r="CV117" i="8"/>
  <c r="CV108" i="8"/>
  <c r="CV102" i="8"/>
  <c r="CV75" i="8"/>
  <c r="CV84" i="8"/>
  <c r="CV78" i="8"/>
  <c r="CV39" i="8"/>
  <c r="CV33" i="8"/>
  <c r="CV48" i="8"/>
  <c r="CV42" i="8"/>
  <c r="CV30" i="8"/>
  <c r="CV120" i="8"/>
  <c r="CV45" i="8"/>
  <c r="CV36" i="8"/>
  <c r="CV24" i="8"/>
  <c r="CV18" i="8"/>
  <c r="CV27" i="8"/>
  <c r="CV114" i="8"/>
  <c r="CV87" i="8"/>
  <c r="CV21" i="8"/>
  <c r="CV107" i="8"/>
  <c r="CV65" i="8"/>
  <c r="CV56" i="8"/>
  <c r="CV116" i="8"/>
  <c r="CV110" i="8"/>
  <c r="CV83" i="8"/>
  <c r="CV95" i="8"/>
  <c r="CV86" i="8"/>
  <c r="CV53" i="8"/>
  <c r="CV89" i="8"/>
  <c r="CV80" i="8"/>
  <c r="CV74" i="8"/>
  <c r="CV101" i="8"/>
  <c r="CV92" i="8"/>
  <c r="CV59" i="8"/>
  <c r="CV119" i="8"/>
  <c r="CV77" i="8"/>
  <c r="CV68" i="8"/>
  <c r="CV62" i="8"/>
  <c r="CV113" i="8"/>
  <c r="CV41" i="8"/>
  <c r="CV20" i="8"/>
  <c r="CV71" i="8"/>
  <c r="CV17" i="8"/>
  <c r="CV23" i="8"/>
  <c r="CV50" i="8"/>
  <c r="CV47" i="8"/>
  <c r="CV32" i="8"/>
  <c r="CV104" i="8"/>
  <c r="CV98" i="8"/>
  <c r="CV44" i="8"/>
  <c r="CV38" i="8"/>
  <c r="CV35" i="8"/>
  <c r="CV29" i="8"/>
  <c r="CV26" i="8"/>
  <c r="CV112" i="8"/>
  <c r="CV106" i="8"/>
  <c r="CV79" i="8"/>
  <c r="CV91" i="8"/>
  <c r="CV88" i="8"/>
  <c r="CV82" i="8"/>
  <c r="CV109" i="8"/>
  <c r="CV100" i="8"/>
  <c r="CV94" i="8"/>
  <c r="CV67" i="8"/>
  <c r="CV85" i="8"/>
  <c r="CV76" i="8"/>
  <c r="CV70" i="8"/>
  <c r="CV115" i="8"/>
  <c r="CV73" i="8"/>
  <c r="CV64" i="8"/>
  <c r="CV58" i="8"/>
  <c r="CV118" i="8"/>
  <c r="CV103" i="8"/>
  <c r="CV61" i="8"/>
  <c r="CV52" i="8"/>
  <c r="CV43" i="8"/>
  <c r="CV28" i="8"/>
  <c r="CV46" i="8"/>
  <c r="CV19" i="8"/>
  <c r="CV49" i="8"/>
  <c r="CV40" i="8"/>
  <c r="CV22" i="8"/>
  <c r="CV16" i="8"/>
  <c r="CV97" i="8"/>
  <c r="CV55" i="8"/>
  <c r="CV37" i="8"/>
  <c r="CV34" i="8"/>
  <c r="CV31" i="8"/>
  <c r="CV25" i="8"/>
  <c r="HS27" i="8"/>
  <c r="HT27" i="8" s="1"/>
  <c r="DU60" i="8"/>
  <c r="DU59" i="8"/>
  <c r="DV59" i="8"/>
  <c r="DT59" i="8"/>
  <c r="DT60" i="8"/>
  <c r="DV58" i="8"/>
  <c r="DU58" i="8"/>
  <c r="DV60" i="8"/>
  <c r="DT58" i="8"/>
  <c r="GA66" i="8"/>
  <c r="GH66" i="8"/>
  <c r="FV66" i="8"/>
  <c r="FX66" i="8" s="1"/>
  <c r="FT67" i="8"/>
  <c r="FV67" i="8" s="1"/>
  <c r="FX67" i="8" s="1"/>
  <c r="GF72" i="8"/>
  <c r="GC62" i="8"/>
  <c r="GE62" i="8" s="1"/>
  <c r="GA63" i="8"/>
  <c r="GC63" i="8" s="1"/>
  <c r="GE63" i="8" s="1"/>
  <c r="GH61" i="8"/>
  <c r="GJ60" i="8"/>
  <c r="GL60" i="8"/>
  <c r="GN60" i="8"/>
  <c r="FV64" i="8"/>
  <c r="FX64" i="8" s="1"/>
  <c r="GA64" i="8"/>
  <c r="GH64" i="8"/>
  <c r="FT65" i="8"/>
  <c r="FV65" i="8" s="1"/>
  <c r="FX65" i="8" s="1"/>
  <c r="GN57" i="8"/>
  <c r="GJ57" i="8"/>
  <c r="GL57" i="8"/>
  <c r="CR64" i="8"/>
  <c r="GC60" i="8"/>
  <c r="GE60" i="8" s="1"/>
  <c r="GA61" i="8"/>
  <c r="GC61" i="8" s="1"/>
  <c r="GE61" i="8" s="1"/>
  <c r="HS30" i="8"/>
  <c r="HT30" i="8" s="1"/>
  <c r="HS31" i="8"/>
  <c r="HT31" i="8" s="1"/>
  <c r="GN59" i="8"/>
  <c r="GJ59" i="8"/>
  <c r="GL59" i="8"/>
  <c r="HS29" i="8"/>
  <c r="GJ62" i="8"/>
  <c r="GL62" i="8"/>
  <c r="GH63" i="8"/>
  <c r="GN62" i="8"/>
  <c r="DI41" i="8" l="1"/>
  <c r="DN93" i="8" s="1"/>
  <c r="DI38" i="8"/>
  <c r="DN84" i="8" s="1"/>
  <c r="HS35" i="8"/>
  <c r="HT35" i="8" s="1"/>
  <c r="DF33" i="8"/>
  <c r="DR68" i="8" s="1"/>
  <c r="DD20" i="8"/>
  <c r="DR28" i="8" s="1"/>
  <c r="DE32" i="8"/>
  <c r="DN64" i="8" s="1"/>
  <c r="DE19" i="8"/>
  <c r="DN25" i="8" s="1"/>
  <c r="DX25" i="8" s="1" a="1"/>
  <c r="DX26" i="8" s="1"/>
  <c r="EG19" i="8" s="1"/>
  <c r="GB29" i="8" s="1"/>
  <c r="DD28" i="8"/>
  <c r="DR52" i="8" s="1"/>
  <c r="HS33" i="8"/>
  <c r="HT33" i="8" s="1"/>
  <c r="DD29" i="8"/>
  <c r="DR55" i="8" s="1"/>
  <c r="DE16" i="8"/>
  <c r="DN16" i="8" s="1"/>
  <c r="DD24" i="8"/>
  <c r="DR40" i="8" s="1"/>
  <c r="DE30" i="8"/>
  <c r="DN58" i="8" s="1"/>
  <c r="DI42" i="8"/>
  <c r="DN96" i="8" s="1"/>
  <c r="DI16" i="8"/>
  <c r="DN18" i="8" s="1"/>
  <c r="DH26" i="8"/>
  <c r="DR48" i="8" s="1"/>
  <c r="DH35" i="8"/>
  <c r="DR75" i="8" s="1"/>
  <c r="DI32" i="8"/>
  <c r="DN66" i="8" s="1"/>
  <c r="DH49" i="8"/>
  <c r="DR117" i="8" s="1"/>
  <c r="DI19" i="8"/>
  <c r="DN27" i="8" s="1"/>
  <c r="DI34" i="8"/>
  <c r="DN72" i="8" s="1"/>
  <c r="DH37" i="8"/>
  <c r="DR81" i="8" s="1"/>
  <c r="DI22" i="8"/>
  <c r="DN36" i="8" s="1"/>
  <c r="DI49" i="8"/>
  <c r="DN117" i="8" s="1"/>
  <c r="DH16" i="8"/>
  <c r="DR18" i="8" s="1"/>
  <c r="DI46" i="8"/>
  <c r="DN108" i="8" s="1"/>
  <c r="DH23" i="8"/>
  <c r="DR39" i="8" s="1"/>
  <c r="DI27" i="8"/>
  <c r="DN51" i="8" s="1"/>
  <c r="DD16" i="8"/>
  <c r="DR16" i="8" s="1"/>
  <c r="DD27" i="8"/>
  <c r="DR49" i="8" s="1"/>
  <c r="DE38" i="8"/>
  <c r="DN82" i="8" s="1"/>
  <c r="DE23" i="8"/>
  <c r="DN37" i="8" s="1"/>
  <c r="DI36" i="8"/>
  <c r="DN78" i="8" s="1"/>
  <c r="DH41" i="8"/>
  <c r="DR93" i="8" s="1"/>
  <c r="DI24" i="8"/>
  <c r="DN42" i="8" s="1"/>
  <c r="DI47" i="8"/>
  <c r="DN111" i="8" s="1"/>
  <c r="DF31" i="8"/>
  <c r="DR62" i="8" s="1"/>
  <c r="DF42" i="8"/>
  <c r="DR95" i="8" s="1"/>
  <c r="DG43" i="8"/>
  <c r="DN98" i="8" s="1"/>
  <c r="DD40" i="8"/>
  <c r="DR88" i="8" s="1"/>
  <c r="DE28" i="8"/>
  <c r="DN52" i="8" s="1"/>
  <c r="DG33" i="8"/>
  <c r="DN68" i="8" s="1"/>
  <c r="DF47" i="8"/>
  <c r="DR110" i="8" s="1"/>
  <c r="DF29" i="8"/>
  <c r="DR56" i="8" s="1"/>
  <c r="DF18" i="8"/>
  <c r="DR23" i="8" s="1"/>
  <c r="DG45" i="8"/>
  <c r="DN104" i="8" s="1"/>
  <c r="DD31" i="8"/>
  <c r="DR61" i="8" s="1"/>
  <c r="DE29" i="8"/>
  <c r="DN55" i="8" s="1"/>
  <c r="DE45" i="8"/>
  <c r="DN103" i="8" s="1"/>
  <c r="DG35" i="8"/>
  <c r="DN74" i="8" s="1"/>
  <c r="DH17" i="8"/>
  <c r="DR21" i="8" s="1"/>
  <c r="DI44" i="8"/>
  <c r="DN102" i="8" s="1"/>
  <c r="DD32" i="8"/>
  <c r="DR64" i="8" s="1"/>
  <c r="DI28" i="8"/>
  <c r="DN54" i="8" s="1"/>
  <c r="DD26" i="8"/>
  <c r="DR46" i="8" s="1"/>
  <c r="DD48" i="8"/>
  <c r="DR112" i="8" s="1"/>
  <c r="DG50" i="8"/>
  <c r="DN119" i="8" s="1"/>
  <c r="DG41" i="8"/>
  <c r="DN92" i="8" s="1"/>
  <c r="DH29" i="8"/>
  <c r="DR57" i="8" s="1"/>
  <c r="DD37" i="8"/>
  <c r="DR79" i="8" s="1"/>
  <c r="DH32" i="8"/>
  <c r="DR66" i="8" s="1"/>
  <c r="DD35" i="8"/>
  <c r="DR73" i="8" s="1"/>
  <c r="DE18" i="8"/>
  <c r="DN22" i="8" s="1"/>
  <c r="DH31" i="8"/>
  <c r="DR63" i="8" s="1"/>
  <c r="DD39" i="8"/>
  <c r="DR85" i="8" s="1"/>
  <c r="DG40" i="8"/>
  <c r="DN89" i="8" s="1"/>
  <c r="DG29" i="8"/>
  <c r="DN56" i="8" s="1"/>
  <c r="DF16" i="8"/>
  <c r="DR17" i="8" s="1"/>
  <c r="DG44" i="8"/>
  <c r="DN101" i="8" s="1"/>
  <c r="DD50" i="8"/>
  <c r="DR118" i="8" s="1"/>
  <c r="DG23" i="8"/>
  <c r="DN38" i="8" s="1"/>
  <c r="DF39" i="8"/>
  <c r="DR86" i="8" s="1"/>
  <c r="DH38" i="8"/>
  <c r="DR84" i="8" s="1"/>
  <c r="DE40" i="8"/>
  <c r="DN88" i="8" s="1"/>
  <c r="DH27" i="8"/>
  <c r="DR51" i="8" s="1"/>
  <c r="DE24" i="8"/>
  <c r="DN40" i="8" s="1"/>
  <c r="DI23" i="8"/>
  <c r="DN39" i="8" s="1"/>
  <c r="DE51" i="8"/>
  <c r="DE48" i="8"/>
  <c r="DN112" i="8" s="1"/>
  <c r="DH46" i="8"/>
  <c r="DR108" i="8" s="1"/>
  <c r="DE34" i="8"/>
  <c r="DN70" i="8" s="1"/>
  <c r="DF28" i="8"/>
  <c r="DR53" i="8" s="1"/>
  <c r="DG26" i="8"/>
  <c r="DN47" i="8" s="1"/>
  <c r="DF36" i="8"/>
  <c r="DR77" i="8" s="1"/>
  <c r="DF34" i="8"/>
  <c r="DR71" i="8" s="1"/>
  <c r="DD44" i="8"/>
  <c r="DR100" i="8" s="1"/>
  <c r="DG34" i="8"/>
  <c r="DN71" i="8" s="1"/>
  <c r="DF32" i="8"/>
  <c r="DR65" i="8" s="1"/>
  <c r="DG28" i="8"/>
  <c r="DN53" i="8" s="1"/>
  <c r="DG36" i="8"/>
  <c r="DN77" i="8" s="1"/>
  <c r="HS34" i="8"/>
  <c r="HT34" i="8" s="1"/>
  <c r="DI40" i="8"/>
  <c r="DN90" i="8" s="1"/>
  <c r="DE33" i="8"/>
  <c r="DN67" i="8" s="1"/>
  <c r="DH28" i="8"/>
  <c r="DR54" i="8" s="1"/>
  <c r="DE44" i="8"/>
  <c r="DN100" i="8" s="1"/>
  <c r="DH39" i="8"/>
  <c r="DR87" i="8" s="1"/>
  <c r="DE22" i="8"/>
  <c r="DN34" i="8" s="1"/>
  <c r="DH50" i="8"/>
  <c r="DR120" i="8" s="1"/>
  <c r="DD46" i="8"/>
  <c r="DR106" i="8" s="1"/>
  <c r="DF19" i="8"/>
  <c r="DR26" i="8" s="1"/>
  <c r="DF23" i="8"/>
  <c r="DR38" i="8" s="1"/>
  <c r="DF48" i="8"/>
  <c r="DR113" i="8" s="1"/>
  <c r="DG32" i="8"/>
  <c r="DN65" i="8" s="1"/>
  <c r="DF20" i="8"/>
  <c r="DR29" i="8" s="1"/>
  <c r="DF51" i="8"/>
  <c r="DG24" i="8"/>
  <c r="DN41" i="8" s="1"/>
  <c r="DF25" i="8"/>
  <c r="DR44" i="8" s="1"/>
  <c r="DG39" i="8"/>
  <c r="DN86" i="8" s="1"/>
  <c r="DF21" i="8"/>
  <c r="DR32" i="8" s="1"/>
  <c r="DF40" i="8"/>
  <c r="DR89" i="8" s="1"/>
  <c r="DG21" i="8"/>
  <c r="DN32" i="8" s="1"/>
  <c r="DG38" i="8"/>
  <c r="DN83" i="8" s="1"/>
  <c r="DG37" i="8"/>
  <c r="DN80" i="8" s="1"/>
  <c r="DG16" i="8"/>
  <c r="DN17" i="8" s="1"/>
  <c r="DG47" i="8"/>
  <c r="DN110" i="8" s="1"/>
  <c r="DG18" i="8"/>
  <c r="DN23" i="8" s="1"/>
  <c r="DF41" i="8"/>
  <c r="DR92" i="8" s="1"/>
  <c r="DF37" i="8"/>
  <c r="DR80" i="8" s="1"/>
  <c r="DF27" i="8"/>
  <c r="DR50" i="8" s="1"/>
  <c r="HS26" i="8"/>
  <c r="HT26" i="8" s="1"/>
  <c r="DF24" i="8"/>
  <c r="DR41" i="8" s="1"/>
  <c r="DG25" i="8"/>
  <c r="DN44" i="8" s="1"/>
  <c r="DG27" i="8"/>
  <c r="DN50" i="8" s="1"/>
  <c r="DF17" i="8"/>
  <c r="DR20" i="8" s="1"/>
  <c r="DF46" i="8"/>
  <c r="DR107" i="8" s="1"/>
  <c r="DG17" i="8"/>
  <c r="DN20" i="8" s="1"/>
  <c r="DG42" i="8"/>
  <c r="DN95" i="8" s="1"/>
  <c r="DF35" i="8"/>
  <c r="DR74" i="8" s="1"/>
  <c r="DG30" i="8"/>
  <c r="DN59" i="8" s="1"/>
  <c r="DF45" i="8"/>
  <c r="DR104" i="8" s="1"/>
  <c r="DG49" i="8"/>
  <c r="DN116" i="8" s="1"/>
  <c r="DF43" i="8"/>
  <c r="DR98" i="8" s="1"/>
  <c r="DG48" i="8"/>
  <c r="DN113" i="8" s="1"/>
  <c r="DG20" i="8"/>
  <c r="DN29" i="8" s="1"/>
  <c r="DF44" i="8"/>
  <c r="DR101" i="8" s="1"/>
  <c r="DG31" i="8"/>
  <c r="DN62" i="8" s="1"/>
  <c r="DF49" i="8"/>
  <c r="DR116" i="8" s="1"/>
  <c r="DG22" i="8"/>
  <c r="DN35" i="8" s="1"/>
  <c r="DF38" i="8"/>
  <c r="DR83" i="8" s="1"/>
  <c r="DG51" i="8"/>
  <c r="DH21" i="8"/>
  <c r="DR33" i="8" s="1"/>
  <c r="DI39" i="8"/>
  <c r="DN87" i="8" s="1"/>
  <c r="DI37" i="8"/>
  <c r="DN81" i="8" s="1"/>
  <c r="DI21" i="8"/>
  <c r="DN33" i="8" s="1"/>
  <c r="DI31" i="8"/>
  <c r="DN63" i="8" s="1"/>
  <c r="DH33" i="8"/>
  <c r="DR69" i="8" s="1"/>
  <c r="DH43" i="8"/>
  <c r="DR99" i="8" s="1"/>
  <c r="DH36" i="8"/>
  <c r="DR78" i="8" s="1"/>
  <c r="DI33" i="8"/>
  <c r="DN69" i="8" s="1"/>
  <c r="DH44" i="8"/>
  <c r="DR102" i="8" s="1"/>
  <c r="DH30" i="8"/>
  <c r="DR60" i="8" s="1"/>
  <c r="DH47" i="8"/>
  <c r="DR111" i="8" s="1"/>
  <c r="DH25" i="8"/>
  <c r="DR45" i="8" s="1"/>
  <c r="DI25" i="8"/>
  <c r="DN45" i="8" s="1"/>
  <c r="DI50" i="8"/>
  <c r="DN120" i="8" s="1"/>
  <c r="DI48" i="8"/>
  <c r="DN114" i="8" s="1"/>
  <c r="DH24" i="8"/>
  <c r="DR42" i="8" s="1"/>
  <c r="DI51" i="8"/>
  <c r="DH18" i="8"/>
  <c r="DR24" i="8" s="1"/>
  <c r="DG46" i="8"/>
  <c r="DN107" i="8" s="1"/>
  <c r="DF26" i="8"/>
  <c r="DR47" i="8" s="1"/>
  <c r="DF30" i="8"/>
  <c r="DR59" i="8" s="1"/>
  <c r="DI29" i="8"/>
  <c r="DN57" i="8" s="1"/>
  <c r="DD17" i="8"/>
  <c r="DR19" i="8" s="1"/>
  <c r="DD51" i="8"/>
  <c r="DF22" i="8"/>
  <c r="DR35" i="8" s="1"/>
  <c r="DE21" i="8"/>
  <c r="DN31" i="8" s="1"/>
  <c r="DD45" i="8"/>
  <c r="DR103" i="8" s="1"/>
  <c r="DE50" i="8"/>
  <c r="DN118" i="8" s="1"/>
  <c r="DD42" i="8"/>
  <c r="DR94" i="8" s="1"/>
  <c r="DE17" i="8"/>
  <c r="DN19" i="8" s="1"/>
  <c r="DD19" i="8"/>
  <c r="DR25" i="8" s="1"/>
  <c r="DE46" i="8"/>
  <c r="DN106" i="8" s="1"/>
  <c r="DE43" i="8"/>
  <c r="DN97" i="8" s="1"/>
  <c r="DD49" i="8"/>
  <c r="DR115" i="8" s="1"/>
  <c r="DE20" i="8"/>
  <c r="DN28" i="8" s="1"/>
  <c r="DE26" i="8"/>
  <c r="DN46" i="8" s="1"/>
  <c r="DE31" i="8"/>
  <c r="DN61" i="8" s="1"/>
  <c r="DD38" i="8"/>
  <c r="DR82" i="8" s="1"/>
  <c r="DE49" i="8"/>
  <c r="DN115" i="8" s="1"/>
  <c r="DD33" i="8"/>
  <c r="DR67" i="8" s="1"/>
  <c r="DE47" i="8"/>
  <c r="DN109" i="8" s="1"/>
  <c r="DD22" i="8"/>
  <c r="DR34" i="8" s="1"/>
  <c r="DD36" i="8"/>
  <c r="DR76" i="8" s="1"/>
  <c r="DE36" i="8"/>
  <c r="DN76" i="8" s="1"/>
  <c r="DI30" i="8"/>
  <c r="DN60" i="8" s="1"/>
  <c r="DD21" i="8"/>
  <c r="DR31" i="8" s="1"/>
  <c r="DD41" i="8"/>
  <c r="DR91" i="8" s="1"/>
  <c r="DI18" i="8"/>
  <c r="DN24" i="8" s="1"/>
  <c r="DI43" i="8"/>
  <c r="DN99" i="8" s="1"/>
  <c r="DI45" i="8"/>
  <c r="DN105" i="8" s="1"/>
  <c r="DH40" i="8"/>
  <c r="DR90" i="8" s="1"/>
  <c r="DH19" i="8"/>
  <c r="DR27" i="8" s="1"/>
  <c r="DE39" i="8"/>
  <c r="DN85" i="8" s="1"/>
  <c r="DD25" i="8"/>
  <c r="DR43" i="8" s="1"/>
  <c r="DE41" i="8"/>
  <c r="DN91" i="8" s="1"/>
  <c r="DD30" i="8"/>
  <c r="DR58" i="8" s="1"/>
  <c r="HS25" i="8"/>
  <c r="HT25" i="8" s="1"/>
  <c r="DH48" i="8"/>
  <c r="DR114" i="8" s="1"/>
  <c r="DH34" i="8"/>
  <c r="DR72" i="8" s="1"/>
  <c r="DI17" i="8"/>
  <c r="DN21" i="8" s="1"/>
  <c r="DI20" i="8"/>
  <c r="DN30" i="8" s="1"/>
  <c r="DD23" i="8"/>
  <c r="DR37" i="8" s="1"/>
  <c r="DE37" i="8"/>
  <c r="DN79" i="8" s="1"/>
  <c r="DD18" i="8"/>
  <c r="DR22" i="8" s="1"/>
  <c r="DE35" i="8"/>
  <c r="DN73" i="8" s="1"/>
  <c r="DE27" i="8"/>
  <c r="DN49" i="8" s="1"/>
  <c r="DH22" i="8"/>
  <c r="DR36" i="8" s="1"/>
  <c r="DH45" i="8"/>
  <c r="DR105" i="8" s="1"/>
  <c r="DH20" i="8"/>
  <c r="DR30" i="8" s="1"/>
  <c r="DH51" i="8"/>
  <c r="DD43" i="8"/>
  <c r="DR97" i="8" s="1"/>
  <c r="DE42" i="8"/>
  <c r="DN94" i="8" s="1"/>
  <c r="DE25" i="8"/>
  <c r="DN43" i="8" s="1"/>
  <c r="FT74" i="8"/>
  <c r="FT72" i="8"/>
  <c r="DX52" i="8" a="1"/>
  <c r="DX53" i="8" s="1"/>
  <c r="EG28" i="8" s="1"/>
  <c r="GB65" i="8" s="1"/>
  <c r="DB16" i="8" a="1"/>
  <c r="DB17" i="8" s="1"/>
  <c r="EC16" i="8" s="1"/>
  <c r="FU17" i="8" s="1"/>
  <c r="DB58" i="8" a="1"/>
  <c r="DB58" i="8" s="1"/>
  <c r="EB30" i="8" s="1"/>
  <c r="FS73" i="8" s="1"/>
  <c r="DB40" i="8" a="1"/>
  <c r="DB40" i="8" s="1"/>
  <c r="EB24" i="8" s="1"/>
  <c r="DB28" i="8" a="1"/>
  <c r="DB28" i="8" s="1"/>
  <c r="EB20" i="8" s="1"/>
  <c r="FS33" i="8" s="1"/>
  <c r="DB52" i="8" a="1"/>
  <c r="DB52" i="8" s="1"/>
  <c r="EB28" i="8" s="1"/>
  <c r="FS65" i="8" s="1"/>
  <c r="DB25" i="8" a="1"/>
  <c r="DB25" i="8" s="1"/>
  <c r="EB19" i="8" s="1"/>
  <c r="FS29" i="8" s="1"/>
  <c r="DB22" i="8" a="1"/>
  <c r="DB23" i="8" s="1"/>
  <c r="EC18" i="8" s="1"/>
  <c r="FU25" i="8" s="1"/>
  <c r="DB37" i="8" a="1"/>
  <c r="DB38" i="8" s="1"/>
  <c r="EC23" i="8" s="1"/>
  <c r="FU45" i="8" s="1"/>
  <c r="DU63" i="8"/>
  <c r="DT63" i="8"/>
  <c r="DV62" i="8"/>
  <c r="DV63" i="8"/>
  <c r="DT61" i="8"/>
  <c r="DU62" i="8"/>
  <c r="DV61" i="8"/>
  <c r="DT62" i="8"/>
  <c r="DU61" i="8"/>
  <c r="GH68" i="8"/>
  <c r="GA68" i="8"/>
  <c r="FT69" i="8"/>
  <c r="FV69" i="8" s="1"/>
  <c r="FX69" i="8" s="1"/>
  <c r="FV68" i="8"/>
  <c r="FX68" i="8" s="1"/>
  <c r="GL63" i="8"/>
  <c r="GN63" i="8"/>
  <c r="GJ63" i="8"/>
  <c r="DB46" i="8" a="1"/>
  <c r="GL66" i="8"/>
  <c r="GH67" i="8"/>
  <c r="GJ66" i="8"/>
  <c r="GN66" i="8"/>
  <c r="GN61" i="8"/>
  <c r="GL61" i="8"/>
  <c r="GJ61" i="8"/>
  <c r="GC66" i="8"/>
  <c r="GE66" i="8" s="1"/>
  <c r="GA67" i="8"/>
  <c r="GC67" i="8" s="1"/>
  <c r="GE67" i="8" s="1"/>
  <c r="AK78" i="8"/>
  <c r="AL78" i="8" s="1"/>
  <c r="HT29" i="8"/>
  <c r="AK76" i="8"/>
  <c r="AL76" i="8" s="1"/>
  <c r="IA16" i="8" s="1"/>
  <c r="AK77" i="8"/>
  <c r="AL77" i="8" s="1"/>
  <c r="IB16" i="8" s="1"/>
  <c r="CR67" i="8"/>
  <c r="GA70" i="8"/>
  <c r="GH70" i="8"/>
  <c r="FV70" i="8"/>
  <c r="FX70" i="8" s="1"/>
  <c r="FT71" i="8"/>
  <c r="FV71" i="8" s="1"/>
  <c r="FX71" i="8" s="1"/>
  <c r="DB49" i="8" a="1"/>
  <c r="DB34" i="8" a="1"/>
  <c r="DB19" i="8" a="1"/>
  <c r="DB43" i="8" a="1"/>
  <c r="GJ64" i="8"/>
  <c r="GL64" i="8"/>
  <c r="GN64" i="8"/>
  <c r="GH65" i="8"/>
  <c r="DB61" i="8" a="1"/>
  <c r="DB55" i="8" a="1"/>
  <c r="DB31" i="8" a="1"/>
  <c r="GA65" i="8"/>
  <c r="GC65" i="8" s="1"/>
  <c r="GE65" i="8" s="1"/>
  <c r="GC64" i="8"/>
  <c r="GE64" i="8" s="1"/>
  <c r="GF76" i="8"/>
  <c r="DX16" i="8" l="1" a="1"/>
  <c r="DX17" i="8" s="1"/>
  <c r="EG16" i="8" s="1"/>
  <c r="GB17" i="8" s="1"/>
  <c r="DZ37" i="8" a="1"/>
  <c r="DZ37" i="8" s="1"/>
  <c r="EF23" i="8" s="1"/>
  <c r="FZ46" i="8" s="1"/>
  <c r="DZ16" i="8" a="1"/>
  <c r="DZ16" i="8" s="1"/>
  <c r="EF16" i="8" s="1"/>
  <c r="FZ18" i="8" s="1"/>
  <c r="DZ43" i="8" a="1"/>
  <c r="DZ43" i="8" s="1"/>
  <c r="EF25" i="8" s="1"/>
  <c r="FZ54" i="8" s="1"/>
  <c r="DX55" i="8" a="1"/>
  <c r="DX55" i="8" s="1"/>
  <c r="EE29" i="8" s="1"/>
  <c r="FZ69" i="8" s="1"/>
  <c r="DZ28" i="8" a="1"/>
  <c r="DZ29" i="8" s="1"/>
  <c r="EH20" i="8" s="1"/>
  <c r="GB34" i="8" s="1"/>
  <c r="DX58" i="8" a="1"/>
  <c r="DX58" i="8" s="1"/>
  <c r="EE30" i="8" s="1"/>
  <c r="FZ73" i="8" s="1"/>
  <c r="DX34" i="8" a="1"/>
  <c r="DX34" i="8" s="1"/>
  <c r="EE22" i="8" s="1"/>
  <c r="FZ41" i="8" s="1"/>
  <c r="DZ40" i="8" a="1"/>
  <c r="DZ40" i="8" s="1"/>
  <c r="EF24" i="8" s="1"/>
  <c r="FZ50" i="8" s="1"/>
  <c r="DX46" i="8" a="1"/>
  <c r="DX46" i="8" s="1"/>
  <c r="EE26" i="8" s="1"/>
  <c r="FZ57" i="8" s="1"/>
  <c r="AK82" i="8"/>
  <c r="AK80" i="8"/>
  <c r="DX49" i="8" a="1"/>
  <c r="DX50" i="8" s="1"/>
  <c r="EG27" i="8" s="1"/>
  <c r="GB61" i="8" s="1"/>
  <c r="DZ49" i="8" a="1"/>
  <c r="DZ50" i="8" s="1"/>
  <c r="EH27" i="8" s="1"/>
  <c r="GB62" i="8" s="1"/>
  <c r="AK81" i="8"/>
  <c r="DZ19" i="8" a="1"/>
  <c r="DZ20" i="8" s="1"/>
  <c r="EH17" i="8" s="1"/>
  <c r="GB22" i="8" s="1"/>
  <c r="DZ55" i="8" a="1"/>
  <c r="DZ57" i="8" s="1"/>
  <c r="EJ29" i="8" s="1"/>
  <c r="GD70" i="8" s="1"/>
  <c r="DX37" i="8" a="1"/>
  <c r="DX37" i="8" s="1"/>
  <c r="EE23" i="8" s="1"/>
  <c r="FZ45" i="8" s="1"/>
  <c r="DX40" i="8" a="1"/>
  <c r="DX40" i="8" s="1"/>
  <c r="EE24" i="8" s="1"/>
  <c r="FZ49" i="8" s="1"/>
  <c r="DZ46" i="8" a="1"/>
  <c r="DZ46" i="8" s="1"/>
  <c r="EF26" i="8" s="1"/>
  <c r="FZ58" i="8" s="1"/>
  <c r="DX22" i="8" a="1"/>
  <c r="DX24" i="8" s="1"/>
  <c r="EI18" i="8" s="1"/>
  <c r="GD25" i="8" s="1"/>
  <c r="DZ52" i="8" a="1"/>
  <c r="DZ54" i="8" s="1"/>
  <c r="EJ28" i="8" s="1"/>
  <c r="GD66" i="8" s="1"/>
  <c r="DZ22" i="8" a="1"/>
  <c r="DZ23" i="8" s="1"/>
  <c r="EH18" i="8" s="1"/>
  <c r="GB26" i="8" s="1"/>
  <c r="DZ31" i="8" a="1"/>
  <c r="DZ33" i="8" s="1"/>
  <c r="EJ21" i="8" s="1"/>
  <c r="GD38" i="8" s="1"/>
  <c r="DX31" i="8" a="1"/>
  <c r="DX31" i="8" s="1"/>
  <c r="EE21" i="8" s="1"/>
  <c r="FZ37" i="8" s="1"/>
  <c r="DX43" i="8" a="1"/>
  <c r="DX45" i="8" s="1"/>
  <c r="EI25" i="8" s="1"/>
  <c r="GD53" i="8" s="1"/>
  <c r="DZ58" i="8" a="1"/>
  <c r="DZ60" i="8" s="1"/>
  <c r="EJ30" i="8" s="1"/>
  <c r="GD74" i="8" s="1"/>
  <c r="DZ25" i="8" a="1"/>
  <c r="DZ25" i="8" s="1"/>
  <c r="EF19" i="8" s="1"/>
  <c r="FZ30" i="8" s="1"/>
  <c r="DX19" i="8" a="1"/>
  <c r="DX20" i="8" s="1"/>
  <c r="EG17" i="8" s="1"/>
  <c r="GB21" i="8" s="1"/>
  <c r="DZ34" i="8" a="1"/>
  <c r="DZ35" i="8" s="1"/>
  <c r="EH22" i="8" s="1"/>
  <c r="GB42" i="8" s="1"/>
  <c r="AK72" i="8"/>
  <c r="AK74" i="8"/>
  <c r="AK73" i="8"/>
  <c r="DX28" i="8" a="1"/>
  <c r="DX29" i="8" s="1"/>
  <c r="EG20" i="8" s="1"/>
  <c r="GB33" i="8" s="1"/>
  <c r="DZ45" i="8"/>
  <c r="EJ25" i="8" s="1"/>
  <c r="GD54" i="8" s="1"/>
  <c r="IA17" i="8"/>
  <c r="IB17" i="8"/>
  <c r="IB15" i="8"/>
  <c r="IC127" i="8" s="1"/>
  <c r="IA15" i="8"/>
  <c r="FT78" i="8"/>
  <c r="FT76" i="8"/>
  <c r="DX56" i="8"/>
  <c r="EG29" i="8" s="1"/>
  <c r="GB69" i="8" s="1"/>
  <c r="DZ39" i="8"/>
  <c r="EJ23" i="8" s="1"/>
  <c r="GD46" i="8" s="1"/>
  <c r="DZ38" i="8"/>
  <c r="EH23" i="8" s="1"/>
  <c r="GB46" i="8" s="1"/>
  <c r="DX54" i="8"/>
  <c r="EI28" i="8" s="1"/>
  <c r="GD65" i="8" s="1"/>
  <c r="DX52" i="8"/>
  <c r="EE28" i="8" s="1"/>
  <c r="FZ65" i="8" s="1"/>
  <c r="GG65" i="8" s="1"/>
  <c r="DX16" i="8"/>
  <c r="EE16" i="8" s="1"/>
  <c r="FZ17" i="8" s="1"/>
  <c r="DX27" i="8"/>
  <c r="EI19" i="8" s="1"/>
  <c r="GD29" i="8" s="1"/>
  <c r="DX18" i="8"/>
  <c r="EI16" i="8" s="1"/>
  <c r="GD17" i="8" s="1"/>
  <c r="DX25" i="8"/>
  <c r="EE19" i="8" s="1"/>
  <c r="FZ29" i="8" s="1"/>
  <c r="GG29" i="8" s="1"/>
  <c r="DB16" i="8"/>
  <c r="EB16" i="8" s="1"/>
  <c r="FS17" i="8" s="1"/>
  <c r="FS18" i="8" s="1"/>
  <c r="DB29" i="8"/>
  <c r="EC20" i="8" s="1"/>
  <c r="FU33" i="8" s="1"/>
  <c r="FU34" i="8" s="1"/>
  <c r="DB53" i="8"/>
  <c r="EC28" i="8" s="1"/>
  <c r="FU65" i="8" s="1"/>
  <c r="DB54" i="8"/>
  <c r="ED28" i="8" s="1"/>
  <c r="FW65" i="8" s="1"/>
  <c r="DB30" i="8"/>
  <c r="ED20" i="8" s="1"/>
  <c r="FW33" i="8" s="1"/>
  <c r="DB37" i="8"/>
  <c r="EB23" i="8" s="1"/>
  <c r="FS45" i="8" s="1"/>
  <c r="FS46" i="8" s="1"/>
  <c r="DB26" i="8"/>
  <c r="EC19" i="8" s="1"/>
  <c r="FU29" i="8" s="1"/>
  <c r="FU30" i="8" s="1"/>
  <c r="DB18" i="8"/>
  <c r="ED16" i="8" s="1"/>
  <c r="FW17" i="8" s="1"/>
  <c r="FW18" i="8" s="1"/>
  <c r="DB39" i="8"/>
  <c r="ED23" i="8" s="1"/>
  <c r="FW45" i="8" s="1"/>
  <c r="DB60" i="8"/>
  <c r="ED30" i="8" s="1"/>
  <c r="FW73" i="8" s="1"/>
  <c r="FW74" i="8" s="1"/>
  <c r="DB59" i="8"/>
  <c r="EC30" i="8" s="1"/>
  <c r="FU73" i="8" s="1"/>
  <c r="FU74" i="8" s="1"/>
  <c r="FS49" i="8"/>
  <c r="FS50" i="8" s="1"/>
  <c r="DB42" i="8"/>
  <c r="ED24" i="8" s="1"/>
  <c r="FW49" i="8" s="1"/>
  <c r="DB41" i="8"/>
  <c r="EC24" i="8" s="1"/>
  <c r="FU49" i="8" s="1"/>
  <c r="DB27" i="8"/>
  <c r="ED19" i="8" s="1"/>
  <c r="FW29" i="8" s="1"/>
  <c r="FW30" i="8" s="1"/>
  <c r="DB24" i="8"/>
  <c r="ED18" i="8" s="1"/>
  <c r="FW25" i="8" s="1"/>
  <c r="FW26" i="8" s="1"/>
  <c r="DB22" i="8"/>
  <c r="EB18" i="8" s="1"/>
  <c r="EM16" i="8"/>
  <c r="DV65" i="8"/>
  <c r="DT65" i="8"/>
  <c r="DV64" i="8"/>
  <c r="DV66" i="8"/>
  <c r="DU65" i="8"/>
  <c r="DU66" i="8"/>
  <c r="DU64" i="8"/>
  <c r="DT64" i="8"/>
  <c r="DB64" i="8" a="1"/>
  <c r="DT66" i="8"/>
  <c r="GF80" i="8"/>
  <c r="DB63" i="8"/>
  <c r="ED31" i="8" s="1"/>
  <c r="FW77" i="8" s="1"/>
  <c r="DB61" i="8"/>
  <c r="EB31" i="8" s="1"/>
  <c r="FS77" i="8" s="1"/>
  <c r="DB62" i="8"/>
  <c r="EC31" i="8" s="1"/>
  <c r="FU77" i="8" s="1"/>
  <c r="DB36" i="8"/>
  <c r="ED22" i="8" s="1"/>
  <c r="DB35" i="8"/>
  <c r="EC22" i="8" s="1"/>
  <c r="FU41" i="8" s="1"/>
  <c r="DB34" i="8"/>
  <c r="EB22" i="8" s="1"/>
  <c r="FS41" i="8" s="1"/>
  <c r="GH69" i="8"/>
  <c r="GL68" i="8"/>
  <c r="GJ68" i="8"/>
  <c r="GN68" i="8"/>
  <c r="FU26" i="8"/>
  <c r="FS34" i="8"/>
  <c r="GJ67" i="8"/>
  <c r="GN67" i="8"/>
  <c r="GL67" i="8"/>
  <c r="GH74" i="8"/>
  <c r="FT75" i="8"/>
  <c r="FV75" i="8" s="1"/>
  <c r="FX75" i="8" s="1"/>
  <c r="FV74" i="8"/>
  <c r="FX74" i="8" s="1"/>
  <c r="GA74" i="8"/>
  <c r="FV72" i="8"/>
  <c r="FX72" i="8" s="1"/>
  <c r="GH72" i="8"/>
  <c r="GA72" i="8"/>
  <c r="FT73" i="8"/>
  <c r="FV73" i="8" s="1"/>
  <c r="FX73" i="8" s="1"/>
  <c r="DB50" i="8"/>
  <c r="EC27" i="8" s="1"/>
  <c r="FU61" i="8" s="1"/>
  <c r="DB49" i="8"/>
  <c r="EB27" i="8" s="1"/>
  <c r="FS61" i="8" s="1"/>
  <c r="DB51" i="8"/>
  <c r="ED27" i="8" s="1"/>
  <c r="FW61" i="8" s="1"/>
  <c r="FS66" i="8"/>
  <c r="DZ61" i="8" a="1"/>
  <c r="DX61" i="8" a="1"/>
  <c r="DB44" i="8"/>
  <c r="EC25" i="8" s="1"/>
  <c r="FU53" i="8" s="1"/>
  <c r="DB43" i="8"/>
  <c r="EB25" i="8" s="1"/>
  <c r="DB45" i="8"/>
  <c r="ED25" i="8" s="1"/>
  <c r="CR70" i="8"/>
  <c r="DB48" i="8"/>
  <c r="ED26" i="8" s="1"/>
  <c r="FW57" i="8" s="1"/>
  <c r="DB47" i="8"/>
  <c r="EC26" i="8" s="1"/>
  <c r="FU57" i="8" s="1"/>
  <c r="DB46" i="8"/>
  <c r="EB26" i="8" s="1"/>
  <c r="FS57" i="8" s="1"/>
  <c r="DB32" i="8"/>
  <c r="EC21" i="8" s="1"/>
  <c r="DB31" i="8"/>
  <c r="EB21" i="8" s="1"/>
  <c r="FS37" i="8" s="1"/>
  <c r="DB33" i="8"/>
  <c r="ED21" i="8" s="1"/>
  <c r="FW37" i="8" s="1"/>
  <c r="FS30" i="8"/>
  <c r="DB20" i="8"/>
  <c r="EC17" i="8" s="1"/>
  <c r="FU21" i="8" s="1"/>
  <c r="DB19" i="8"/>
  <c r="EB17" i="8" s="1"/>
  <c r="FS21" i="8" s="1"/>
  <c r="DB21" i="8"/>
  <c r="ED17" i="8" s="1"/>
  <c r="FW21" i="8" s="1"/>
  <c r="GH71" i="8"/>
  <c r="GN70" i="8"/>
  <c r="GJ70" i="8"/>
  <c r="GL70" i="8"/>
  <c r="HQ105" i="8"/>
  <c r="GA71" i="8"/>
  <c r="GC71" i="8" s="1"/>
  <c r="GE71" i="8" s="1"/>
  <c r="GC70" i="8"/>
  <c r="GE70" i="8" s="1"/>
  <c r="FU18" i="8"/>
  <c r="GI17" i="8"/>
  <c r="FS74" i="8"/>
  <c r="DB57" i="8"/>
  <c r="ED29" i="8" s="1"/>
  <c r="FW69" i="8" s="1"/>
  <c r="DB56" i="8"/>
  <c r="EC29" i="8" s="1"/>
  <c r="FU69" i="8" s="1"/>
  <c r="DB55" i="8"/>
  <c r="EB29" i="8" s="1"/>
  <c r="FS69" i="8" s="1"/>
  <c r="GL65" i="8"/>
  <c r="GJ65" i="8"/>
  <c r="GN65" i="8"/>
  <c r="FU46" i="8"/>
  <c r="GA69" i="8"/>
  <c r="GC69" i="8" s="1"/>
  <c r="GE69" i="8" s="1"/>
  <c r="GC68" i="8"/>
  <c r="GE68" i="8" s="1"/>
  <c r="DX35" i="8" l="1"/>
  <c r="EG22" i="8" s="1"/>
  <c r="GB41" i="8" s="1"/>
  <c r="DX36" i="8"/>
  <c r="EI22" i="8" s="1"/>
  <c r="GD41" i="8" s="1"/>
  <c r="DZ17" i="8"/>
  <c r="EH16" i="8" s="1"/>
  <c r="GB18" i="8" s="1"/>
  <c r="DZ18" i="8"/>
  <c r="EJ16" i="8" s="1"/>
  <c r="GD18" i="8" s="1"/>
  <c r="DX57" i="8"/>
  <c r="EI29" i="8" s="1"/>
  <c r="GD69" i="8" s="1"/>
  <c r="DZ53" i="8"/>
  <c r="EH28" i="8" s="1"/>
  <c r="GB66" i="8" s="1"/>
  <c r="DX22" i="8"/>
  <c r="EE18" i="8" s="1"/>
  <c r="FZ25" i="8" s="1"/>
  <c r="DX51" i="8"/>
  <c r="EI27" i="8" s="1"/>
  <c r="GD61" i="8" s="1"/>
  <c r="DX23" i="8"/>
  <c r="EG18" i="8" s="1"/>
  <c r="GB25" i="8" s="1"/>
  <c r="GI25" i="8" s="1"/>
  <c r="DX49" i="8"/>
  <c r="EE27" i="8" s="1"/>
  <c r="FZ61" i="8" s="1"/>
  <c r="DX59" i="8"/>
  <c r="EG30" i="8" s="1"/>
  <c r="GB73" i="8" s="1"/>
  <c r="DX60" i="8"/>
  <c r="EI30" i="8" s="1"/>
  <c r="GD73" i="8" s="1"/>
  <c r="GK73" i="8" s="1"/>
  <c r="DZ30" i="8"/>
  <c r="EJ20" i="8" s="1"/>
  <c r="GD34" i="8" s="1"/>
  <c r="DZ28" i="8"/>
  <c r="EF20" i="8" s="1"/>
  <c r="FZ34" i="8" s="1"/>
  <c r="DZ44" i="8"/>
  <c r="EH25" i="8" s="1"/>
  <c r="GB54" i="8" s="1"/>
  <c r="DZ58" i="8"/>
  <c r="EF30" i="8" s="1"/>
  <c r="FZ74" i="8" s="1"/>
  <c r="GG74" i="8" s="1"/>
  <c r="DX38" i="8"/>
  <c r="EG23" i="8" s="1"/>
  <c r="GB45" i="8" s="1"/>
  <c r="GI45" i="8" s="1"/>
  <c r="DX48" i="8"/>
  <c r="EI26" i="8" s="1"/>
  <c r="GD57" i="8" s="1"/>
  <c r="GK57" i="8" s="1"/>
  <c r="DZ59" i="8"/>
  <c r="EH30" i="8" s="1"/>
  <c r="GB74" i="8" s="1"/>
  <c r="GI74" i="8" s="1"/>
  <c r="DZ55" i="8"/>
  <c r="EF29" i="8" s="1"/>
  <c r="FZ70" i="8" s="1"/>
  <c r="DZ31" i="8"/>
  <c r="EF21" i="8" s="1"/>
  <c r="FZ38" i="8" s="1"/>
  <c r="DZ42" i="8"/>
  <c r="EJ24" i="8" s="1"/>
  <c r="GD50" i="8" s="1"/>
  <c r="DZ41" i="8"/>
  <c r="EH24" i="8" s="1"/>
  <c r="GB50" i="8" s="1"/>
  <c r="DZ21" i="8"/>
  <c r="EJ17" i="8" s="1"/>
  <c r="GD22" i="8" s="1"/>
  <c r="DZ19" i="8"/>
  <c r="EF17" i="8" s="1"/>
  <c r="FZ22" i="8" s="1"/>
  <c r="EL24" i="8"/>
  <c r="GG50" i="8"/>
  <c r="DZ56" i="8"/>
  <c r="EH29" i="8" s="1"/>
  <c r="GB70" i="8" s="1"/>
  <c r="DZ49" i="8"/>
  <c r="EF27" i="8" s="1"/>
  <c r="FZ62" i="8" s="1"/>
  <c r="DZ24" i="8"/>
  <c r="EJ18" i="8" s="1"/>
  <c r="GD26" i="8" s="1"/>
  <c r="GK26" i="8" s="1"/>
  <c r="DX47" i="8"/>
  <c r="EG26" i="8" s="1"/>
  <c r="GB57" i="8" s="1"/>
  <c r="GI57" i="8" s="1"/>
  <c r="DX39" i="8"/>
  <c r="EI23" i="8" s="1"/>
  <c r="GD45" i="8" s="1"/>
  <c r="GK45" i="8" s="1"/>
  <c r="DX41" i="8"/>
  <c r="EG24" i="8" s="1"/>
  <c r="GB49" i="8" s="1"/>
  <c r="GI49" i="8" s="1"/>
  <c r="DZ47" i="8"/>
  <c r="EH26" i="8" s="1"/>
  <c r="GB58" i="8" s="1"/>
  <c r="DZ51" i="8"/>
  <c r="EJ27" i="8" s="1"/>
  <c r="GD62" i="8" s="1"/>
  <c r="DZ52" i="8"/>
  <c r="EF28" i="8" s="1"/>
  <c r="FZ66" i="8" s="1"/>
  <c r="GG66" i="8" s="1"/>
  <c r="EK24" i="8"/>
  <c r="DX42" i="8"/>
  <c r="EI24" i="8" s="1"/>
  <c r="GD49" i="8" s="1"/>
  <c r="GK49" i="8" s="1"/>
  <c r="DZ48" i="8"/>
  <c r="EJ26" i="8" s="1"/>
  <c r="GD58" i="8" s="1"/>
  <c r="DX43" i="8"/>
  <c r="EE25" i="8" s="1"/>
  <c r="FZ53" i="8" s="1"/>
  <c r="DX44" i="8"/>
  <c r="EG25" i="8" s="1"/>
  <c r="GB53" i="8" s="1"/>
  <c r="DZ32" i="8"/>
  <c r="EH21" i="8" s="1"/>
  <c r="GB38" i="8" s="1"/>
  <c r="DZ22" i="8"/>
  <c r="EF18" i="8" s="1"/>
  <c r="FZ26" i="8" s="1"/>
  <c r="DX32" i="8"/>
  <c r="EG21" i="8" s="1"/>
  <c r="GB37" i="8" s="1"/>
  <c r="EN18" i="8"/>
  <c r="DX33" i="8"/>
  <c r="EI21" i="8" s="1"/>
  <c r="GD37" i="8" s="1"/>
  <c r="DZ27" i="8"/>
  <c r="EJ19" i="8" s="1"/>
  <c r="GD30" i="8" s="1"/>
  <c r="GK30" i="8" s="1"/>
  <c r="DZ34" i="8"/>
  <c r="EF22" i="8" s="1"/>
  <c r="FZ42" i="8" s="1"/>
  <c r="DX21" i="8"/>
  <c r="EI17" i="8" s="1"/>
  <c r="GD21" i="8" s="1"/>
  <c r="GK21" i="8" s="1"/>
  <c r="DX19" i="8"/>
  <c r="EE17" i="8" s="1"/>
  <c r="FZ21" i="8" s="1"/>
  <c r="GG21" i="8" s="1"/>
  <c r="DZ36" i="8"/>
  <c r="EJ22" i="8" s="1"/>
  <c r="GD42" i="8" s="1"/>
  <c r="DZ26" i="8"/>
  <c r="EH19" i="8" s="1"/>
  <c r="GB30" i="8" s="1"/>
  <c r="GI30" i="8" s="1"/>
  <c r="DX28" i="8"/>
  <c r="EE20" i="8" s="1"/>
  <c r="FZ33" i="8" s="1"/>
  <c r="GG33" i="8" s="1"/>
  <c r="DX30" i="8"/>
  <c r="EI20" i="8" s="1"/>
  <c r="GD33" i="8" s="1"/>
  <c r="GK33" i="8" s="1"/>
  <c r="EL19" i="8"/>
  <c r="HZ127" i="8"/>
  <c r="IC125" i="8" s="1"/>
  <c r="IB127" i="8"/>
  <c r="HP105" i="8"/>
  <c r="HQ101" i="8"/>
  <c r="IC109" i="8"/>
  <c r="HP101" i="8"/>
  <c r="IB109" i="8"/>
  <c r="ID101" i="8" s="1"/>
  <c r="HZ109" i="8"/>
  <c r="IC107" i="8" s="1"/>
  <c r="FT82" i="8"/>
  <c r="FT80" i="8"/>
  <c r="EN23" i="8"/>
  <c r="EM18" i="8"/>
  <c r="EK28" i="8"/>
  <c r="EK19" i="8"/>
  <c r="EP28" i="8"/>
  <c r="GK18" i="8"/>
  <c r="GI18" i="8"/>
  <c r="EN16" i="8"/>
  <c r="ER16" i="8" s="1"/>
  <c r="FO16" i="8" s="1"/>
  <c r="EK16" i="8"/>
  <c r="GG17" i="8"/>
  <c r="EL16" i="8"/>
  <c r="EM28" i="8"/>
  <c r="EN28" i="8"/>
  <c r="EM19" i="8"/>
  <c r="EP20" i="8"/>
  <c r="EO28" i="8"/>
  <c r="GI29" i="8"/>
  <c r="EK22" i="8"/>
  <c r="EN20" i="8"/>
  <c r="GI33" i="8"/>
  <c r="EL23" i="8"/>
  <c r="EP23" i="8"/>
  <c r="GK17" i="8"/>
  <c r="FW34" i="8"/>
  <c r="GK34" i="8" s="1"/>
  <c r="EP16" i="8"/>
  <c r="EM20" i="8"/>
  <c r="FW46" i="8"/>
  <c r="GK46" i="8" s="1"/>
  <c r="EK23" i="8"/>
  <c r="GG45" i="8"/>
  <c r="GK29" i="8"/>
  <c r="EN22" i="8"/>
  <c r="EO19" i="8"/>
  <c r="GG49" i="8"/>
  <c r="EO16" i="8"/>
  <c r="EM27" i="8"/>
  <c r="FW50" i="8"/>
  <c r="EO25" i="8"/>
  <c r="FW53" i="8"/>
  <c r="FS53" i="8"/>
  <c r="FU50" i="8"/>
  <c r="FS25" i="8"/>
  <c r="FU37" i="8"/>
  <c r="FW41" i="8"/>
  <c r="FW42" i="8" s="1"/>
  <c r="EP18" i="8"/>
  <c r="HR104" i="8"/>
  <c r="HT104" i="8" s="1"/>
  <c r="HU104" i="8" s="1"/>
  <c r="HX119" i="8" s="1"/>
  <c r="GI34" i="8"/>
  <c r="GG46" i="8"/>
  <c r="EO18" i="8"/>
  <c r="GK25" i="8"/>
  <c r="GI46" i="8"/>
  <c r="GG18" i="8"/>
  <c r="DV68" i="8"/>
  <c r="DU69" i="8"/>
  <c r="DU68" i="8"/>
  <c r="DV67" i="8"/>
  <c r="DT68" i="8"/>
  <c r="DU67" i="8"/>
  <c r="DV69" i="8"/>
  <c r="DT69" i="8"/>
  <c r="DT67" i="8"/>
  <c r="DB67" i="8" a="1"/>
  <c r="EN17" i="8"/>
  <c r="GH73" i="8"/>
  <c r="GJ72" i="8"/>
  <c r="GN72" i="8"/>
  <c r="GL72" i="8"/>
  <c r="IF127" i="8"/>
  <c r="FS22" i="8"/>
  <c r="EL26" i="8"/>
  <c r="DX61" i="8"/>
  <c r="EE31" i="8" s="1"/>
  <c r="DX63" i="8"/>
  <c r="EI31" i="8" s="1"/>
  <c r="GD77" i="8" s="1"/>
  <c r="DX62" i="8"/>
  <c r="EG31" i="8" s="1"/>
  <c r="GB77" i="8" s="1"/>
  <c r="GA73" i="8"/>
  <c r="GC73" i="8" s="1"/>
  <c r="GE73" i="8" s="1"/>
  <c r="GC72" i="8"/>
  <c r="GE72" i="8" s="1"/>
  <c r="GL74" i="8"/>
  <c r="GN74" i="8"/>
  <c r="GH75" i="8"/>
  <c r="GJ74" i="8"/>
  <c r="GJ69" i="8"/>
  <c r="GL69" i="8"/>
  <c r="GN69" i="8"/>
  <c r="FS42" i="8"/>
  <c r="GG41" i="8"/>
  <c r="FS78" i="8"/>
  <c r="DZ64" i="8" a="1"/>
  <c r="DX64" i="8" a="1"/>
  <c r="FW78" i="8"/>
  <c r="FV76" i="8"/>
  <c r="FX76" i="8" s="1"/>
  <c r="GA76" i="8"/>
  <c r="GH76" i="8"/>
  <c r="FT77" i="8"/>
  <c r="FV77" i="8" s="1"/>
  <c r="FX77" i="8" s="1"/>
  <c r="FU42" i="8"/>
  <c r="GI42" i="8" s="1"/>
  <c r="GI41" i="8"/>
  <c r="GG30" i="8"/>
  <c r="IE125" i="8"/>
  <c r="IB122" i="8"/>
  <c r="ID119" i="8"/>
  <c r="IB125" i="8"/>
  <c r="FW66" i="8"/>
  <c r="GK66" i="8" s="1"/>
  <c r="GK65" i="8"/>
  <c r="EP25" i="8"/>
  <c r="EM22" i="8"/>
  <c r="EM17" i="8"/>
  <c r="EL27" i="8"/>
  <c r="GI26" i="8"/>
  <c r="DZ61" i="8"/>
  <c r="EF31" i="8" s="1"/>
  <c r="FZ78" i="8" s="1"/>
  <c r="DZ63" i="8"/>
  <c r="EJ31" i="8" s="1"/>
  <c r="GD78" i="8" s="1"/>
  <c r="DZ62" i="8"/>
  <c r="EH31" i="8" s="1"/>
  <c r="GB78" i="8" s="1"/>
  <c r="EP29" i="8"/>
  <c r="GL71" i="8"/>
  <c r="GJ71" i="8"/>
  <c r="GN71" i="8"/>
  <c r="CR73" i="8"/>
  <c r="EL25" i="8"/>
  <c r="EN27" i="8"/>
  <c r="EK26" i="8"/>
  <c r="GA78" i="8"/>
  <c r="GH78" i="8"/>
  <c r="FT79" i="8"/>
  <c r="FV79" i="8" s="1"/>
  <c r="FX79" i="8" s="1"/>
  <c r="FV78" i="8"/>
  <c r="FX78" i="8" s="1"/>
  <c r="FU22" i="8"/>
  <c r="GI22" i="8" s="1"/>
  <c r="GI21" i="8"/>
  <c r="EK30" i="8"/>
  <c r="GG73" i="8"/>
  <c r="FU78" i="8"/>
  <c r="EP21" i="8"/>
  <c r="EK21" i="8"/>
  <c r="GC74" i="8"/>
  <c r="GE74" i="8" s="1"/>
  <c r="GA75" i="8"/>
  <c r="GC75" i="8" s="1"/>
  <c r="GE75" i="8" s="1"/>
  <c r="GG34" i="8"/>
  <c r="FW58" i="8"/>
  <c r="IF109" i="8"/>
  <c r="EK29" i="8"/>
  <c r="EM29" i="8"/>
  <c r="EO22" i="8"/>
  <c r="EP30" i="8"/>
  <c r="GK74" i="8"/>
  <c r="FU58" i="8"/>
  <c r="ID127" i="8"/>
  <c r="FW22" i="8"/>
  <c r="GI65" i="8"/>
  <c r="FU66" i="8"/>
  <c r="GI66" i="8" s="1"/>
  <c r="EM30" i="8"/>
  <c r="GI73" i="8"/>
  <c r="EO29" i="8"/>
  <c r="GF84" i="8"/>
  <c r="DB64" i="8"/>
  <c r="EB32" i="8" s="1"/>
  <c r="FS81" i="8" s="1"/>
  <c r="DB66" i="8"/>
  <c r="ED32" i="8" s="1"/>
  <c r="FW81" i="8" s="1"/>
  <c r="DB65" i="8"/>
  <c r="EC32" i="8" s="1"/>
  <c r="FU81" i="8" s="1"/>
  <c r="EK18" i="8" l="1"/>
  <c r="GG25" i="8"/>
  <c r="EL30" i="8"/>
  <c r="EQ30" i="8" s="1"/>
  <c r="EK27" i="8"/>
  <c r="EQ27" i="8" s="1"/>
  <c r="EO27" i="8"/>
  <c r="EO30" i="8"/>
  <c r="EL20" i="8"/>
  <c r="GI50" i="8"/>
  <c r="EM26" i="8"/>
  <c r="EN25" i="8"/>
  <c r="GI58" i="8"/>
  <c r="EM23" i="8"/>
  <c r="EO26" i="8"/>
  <c r="EN21" i="8"/>
  <c r="EN30" i="8"/>
  <c r="ER30" i="8" s="1"/>
  <c r="FO30" i="8" s="1"/>
  <c r="FO66" i="8" s="1"/>
  <c r="EN26" i="8"/>
  <c r="EQ24" i="8"/>
  <c r="FN24" i="8" s="1"/>
  <c r="GS49" i="8" s="1"/>
  <c r="EO24" i="8"/>
  <c r="GK50" i="8"/>
  <c r="ER18" i="8"/>
  <c r="FO18" i="8" s="1"/>
  <c r="GT25" i="8" s="1"/>
  <c r="GT26" i="8" s="1"/>
  <c r="EP24" i="8"/>
  <c r="EL21" i="8"/>
  <c r="EQ21" i="8" s="1"/>
  <c r="EN29" i="8"/>
  <c r="ER29" i="8" s="1"/>
  <c r="FO29" i="8" s="1"/>
  <c r="EL29" i="8"/>
  <c r="EQ29" i="8" s="1"/>
  <c r="EL28" i="8"/>
  <c r="EQ28" i="8" s="1"/>
  <c r="FN28" i="8" s="1"/>
  <c r="GS65" i="8" s="1"/>
  <c r="GS66" i="8" s="1"/>
  <c r="GK58" i="8"/>
  <c r="EP17" i="8"/>
  <c r="EN24" i="8"/>
  <c r="EP26" i="8"/>
  <c r="GK22" i="8"/>
  <c r="EM21" i="8"/>
  <c r="GG22" i="8"/>
  <c r="EL17" i="8"/>
  <c r="EL18" i="8"/>
  <c r="EQ18" i="8" s="1"/>
  <c r="EP27" i="8"/>
  <c r="EO17" i="8"/>
  <c r="EM24" i="8"/>
  <c r="EO23" i="8"/>
  <c r="ES23" i="8" s="1"/>
  <c r="FP23" i="8" s="1"/>
  <c r="GU45" i="8" s="1"/>
  <c r="GU46" i="8" s="1"/>
  <c r="GG42" i="8"/>
  <c r="EK25" i="8"/>
  <c r="EQ25" i="8" s="1"/>
  <c r="FN25" i="8" s="1"/>
  <c r="GS53" i="8" s="1"/>
  <c r="EO21" i="8"/>
  <c r="ES21" i="8" s="1"/>
  <c r="FP21" i="8" s="1"/>
  <c r="GU37" i="8" s="1"/>
  <c r="GU38" i="8" s="1"/>
  <c r="EM25" i="8"/>
  <c r="EL22" i="8"/>
  <c r="EQ22" i="8" s="1"/>
  <c r="EK17" i="8"/>
  <c r="EP19" i="8"/>
  <c r="ES19" i="8" s="1"/>
  <c r="FP19" i="8" s="1"/>
  <c r="GU29" i="8" s="1"/>
  <c r="GU30" i="8" s="1"/>
  <c r="EP22" i="8"/>
  <c r="ES22" i="8" s="1"/>
  <c r="FP22" i="8" s="1"/>
  <c r="GU41" i="8" s="1"/>
  <c r="GU42" i="8" s="1"/>
  <c r="GK42" i="8"/>
  <c r="EN19" i="8"/>
  <c r="ER19" i="8" s="1"/>
  <c r="FO19" i="8" s="1"/>
  <c r="GT29" i="8" s="1"/>
  <c r="GT30" i="8" s="1"/>
  <c r="EK20" i="8"/>
  <c r="EO20" i="8"/>
  <c r="ES20" i="8" s="1"/>
  <c r="FP20" i="8" s="1"/>
  <c r="GU33" i="8" s="1"/>
  <c r="GU34" i="8" s="1"/>
  <c r="EQ19" i="8"/>
  <c r="FN19" i="8" s="1"/>
  <c r="GS29" i="8" s="1"/>
  <c r="GS30" i="8" s="1"/>
  <c r="ER23" i="8"/>
  <c r="FO23" i="8" s="1"/>
  <c r="GT45" i="8" s="1"/>
  <c r="GT46" i="8" s="1"/>
  <c r="ER20" i="8"/>
  <c r="FO20" i="8" s="1"/>
  <c r="FO56" i="8" s="1"/>
  <c r="IB107" i="8"/>
  <c r="IF107" i="8" s="1"/>
  <c r="IB104" i="8"/>
  <c r="HR100" i="8"/>
  <c r="HT100" i="8" s="1"/>
  <c r="HU100" i="8" s="1"/>
  <c r="HX101" i="8" s="1"/>
  <c r="IE107" i="8"/>
  <c r="FT86" i="8"/>
  <c r="FT84" i="8"/>
  <c r="ES28" i="8"/>
  <c r="FP28" i="8" s="1"/>
  <c r="GU65" i="8" s="1"/>
  <c r="GU66" i="8" s="1"/>
  <c r="EQ16" i="8"/>
  <c r="FN16" i="8" s="1"/>
  <c r="GS17" i="8" s="1"/>
  <c r="GS18" i="8" s="1"/>
  <c r="ER28" i="8"/>
  <c r="FO28" i="8" s="1"/>
  <c r="GT65" i="8" s="1"/>
  <c r="GT66" i="8" s="1"/>
  <c r="ER22" i="8"/>
  <c r="FO22" i="8" s="1"/>
  <c r="GT41" i="8" s="1"/>
  <c r="GT42" i="8" s="1"/>
  <c r="EQ23" i="8"/>
  <c r="FN23" i="8" s="1"/>
  <c r="GS45" i="8" s="1"/>
  <c r="GS46" i="8" s="1"/>
  <c r="ES16" i="8"/>
  <c r="FP16" i="8" s="1"/>
  <c r="GU17" i="8" s="1"/>
  <c r="GU18" i="8" s="1"/>
  <c r="ER27" i="8"/>
  <c r="FO27" i="8" s="1"/>
  <c r="GT61" i="8" s="1"/>
  <c r="GT62" i="8" s="1"/>
  <c r="GK41" i="8"/>
  <c r="ER17" i="8"/>
  <c r="FO17" i="8" s="1"/>
  <c r="GT21" i="8" s="1"/>
  <c r="GT22" i="8" s="1"/>
  <c r="FS26" i="8"/>
  <c r="GG26" i="8" s="1"/>
  <c r="HW101" i="8"/>
  <c r="HW103" i="8" s="1"/>
  <c r="ES25" i="8"/>
  <c r="FP25" i="8" s="1"/>
  <c r="GU53" i="8" s="1"/>
  <c r="GU54" i="8" s="1"/>
  <c r="ES18" i="8"/>
  <c r="FP18" i="8" s="1"/>
  <c r="GU25" i="8" s="1"/>
  <c r="GU26" i="8" s="1"/>
  <c r="FZ77" i="8"/>
  <c r="GG77" i="8" s="1"/>
  <c r="FO52" i="8"/>
  <c r="GT17" i="8"/>
  <c r="GT18" i="8" s="1"/>
  <c r="HW119" i="8"/>
  <c r="HW121" i="8" s="1"/>
  <c r="ES29" i="8"/>
  <c r="FP29" i="8" s="1"/>
  <c r="GU69" i="8" s="1"/>
  <c r="GU70" i="8" s="1"/>
  <c r="GI78" i="8"/>
  <c r="EN31" i="8"/>
  <c r="EK31" i="8"/>
  <c r="ES30" i="8"/>
  <c r="FP30" i="8" s="1"/>
  <c r="EQ26" i="8"/>
  <c r="FN26" i="8" s="1"/>
  <c r="GS57" i="8" s="1"/>
  <c r="DV72" i="8"/>
  <c r="DT70" i="8"/>
  <c r="DB70" i="8" a="1"/>
  <c r="DU72" i="8"/>
  <c r="DU71" i="8"/>
  <c r="DT72" i="8"/>
  <c r="DU70" i="8"/>
  <c r="DT71" i="8"/>
  <c r="DV71" i="8"/>
  <c r="DV70" i="8"/>
  <c r="FS82" i="8"/>
  <c r="GN78" i="8"/>
  <c r="GH79" i="8"/>
  <c r="GJ78" i="8"/>
  <c r="GL78" i="8"/>
  <c r="FU82" i="8"/>
  <c r="FU62" i="8"/>
  <c r="GI62" i="8" s="1"/>
  <c r="GI61" i="8"/>
  <c r="FU38" i="8"/>
  <c r="GI38" i="8" s="1"/>
  <c r="GI37" i="8"/>
  <c r="GI53" i="8"/>
  <c r="FU54" i="8"/>
  <c r="GI54" i="8" s="1"/>
  <c r="CR76" i="8"/>
  <c r="GL75" i="8"/>
  <c r="GN75" i="8"/>
  <c r="GJ75" i="8"/>
  <c r="GF88" i="8"/>
  <c r="GA79" i="8"/>
  <c r="GC79" i="8" s="1"/>
  <c r="GE79" i="8" s="1"/>
  <c r="GC78" i="8"/>
  <c r="GE78" i="8" s="1"/>
  <c r="FW54" i="8"/>
  <c r="GK54" i="8" s="1"/>
  <c r="GK53" i="8"/>
  <c r="DX65" i="8"/>
  <c r="EG32" i="8" s="1"/>
  <c r="GB81" i="8" s="1"/>
  <c r="DX66" i="8"/>
  <c r="EI32" i="8" s="1"/>
  <c r="GD81" i="8" s="1"/>
  <c r="DX64" i="8"/>
  <c r="EE32" i="8" s="1"/>
  <c r="FZ81" i="8" s="1"/>
  <c r="HX123" i="8"/>
  <c r="HX120" i="8"/>
  <c r="HX121" i="8"/>
  <c r="HX122" i="8"/>
  <c r="HX124" i="8"/>
  <c r="FW62" i="8"/>
  <c r="GK62" i="8" s="1"/>
  <c r="GK61" i="8"/>
  <c r="DZ65" i="8"/>
  <c r="EH32" i="8" s="1"/>
  <c r="GB82" i="8" s="1"/>
  <c r="DZ64" i="8"/>
  <c r="EF32" i="8" s="1"/>
  <c r="FZ82" i="8" s="1"/>
  <c r="DZ66" i="8"/>
  <c r="EJ32" i="8" s="1"/>
  <c r="GD82" i="8" s="1"/>
  <c r="EM31" i="8"/>
  <c r="GI77" i="8"/>
  <c r="IH125" i="8"/>
  <c r="ID125" i="8"/>
  <c r="IF125" i="8"/>
  <c r="FS54" i="8"/>
  <c r="GG54" i="8" s="1"/>
  <c r="GG53" i="8"/>
  <c r="ID122" i="8"/>
  <c r="EO31" i="8"/>
  <c r="GK77" i="8"/>
  <c r="HX106" i="8"/>
  <c r="HX103" i="8"/>
  <c r="HX102" i="8"/>
  <c r="HX105" i="8"/>
  <c r="HX104" i="8"/>
  <c r="GK69" i="8"/>
  <c r="FW70" i="8"/>
  <c r="GK70" i="8" s="1"/>
  <c r="GJ73" i="8"/>
  <c r="GN73" i="8"/>
  <c r="GL73" i="8"/>
  <c r="FV80" i="8"/>
  <c r="FX80" i="8" s="1"/>
  <c r="GA80" i="8"/>
  <c r="GH80" i="8"/>
  <c r="FT81" i="8"/>
  <c r="FV81" i="8" s="1"/>
  <c r="FX81" i="8" s="1"/>
  <c r="ID104" i="8"/>
  <c r="FS62" i="8"/>
  <c r="GG62" i="8" s="1"/>
  <c r="GG61" i="8"/>
  <c r="FS70" i="8"/>
  <c r="GG70" i="8" s="1"/>
  <c r="GG69" i="8"/>
  <c r="FS38" i="8"/>
  <c r="GG38" i="8" s="1"/>
  <c r="GG37" i="8"/>
  <c r="GA82" i="8"/>
  <c r="GH82" i="8"/>
  <c r="FT83" i="8"/>
  <c r="FV83" i="8" s="1"/>
  <c r="FX83" i="8" s="1"/>
  <c r="FV82" i="8"/>
  <c r="FX82" i="8" s="1"/>
  <c r="EP31" i="8"/>
  <c r="GK78" i="8"/>
  <c r="GJ76" i="8"/>
  <c r="GL76" i="8"/>
  <c r="GN76" i="8"/>
  <c r="GH77" i="8"/>
  <c r="FS58" i="8"/>
  <c r="GG58" i="8" s="1"/>
  <c r="GG57" i="8"/>
  <c r="DB68" i="8"/>
  <c r="EC33" i="8" s="1"/>
  <c r="FU85" i="8" s="1"/>
  <c r="DB67" i="8"/>
  <c r="EB33" i="8" s="1"/>
  <c r="FS85" i="8" s="1"/>
  <c r="DB69" i="8"/>
  <c r="ED33" i="8" s="1"/>
  <c r="FW85" i="8" s="1"/>
  <c r="FW38" i="8"/>
  <c r="GK38" i="8" s="1"/>
  <c r="GK37" i="8"/>
  <c r="EL31" i="8"/>
  <c r="GG78" i="8"/>
  <c r="FU70" i="8"/>
  <c r="GI70" i="8" s="1"/>
  <c r="GI69" i="8"/>
  <c r="GA77" i="8"/>
  <c r="GC77" i="8" s="1"/>
  <c r="GE77" i="8" s="1"/>
  <c r="GC76" i="8"/>
  <c r="GE76" i="8" s="1"/>
  <c r="DZ67" i="8" a="1"/>
  <c r="DX67" i="8" a="1"/>
  <c r="ER26" i="8" l="1"/>
  <c r="FO26" i="8" s="1"/>
  <c r="GT57" i="8" s="1"/>
  <c r="ER25" i="8"/>
  <c r="FO25" i="8" s="1"/>
  <c r="GT53" i="8" s="1"/>
  <c r="GT54" i="8" s="1"/>
  <c r="ES27" i="8"/>
  <c r="FP27" i="8" s="1"/>
  <c r="GU61" i="8" s="1"/>
  <c r="GU62" i="8" s="1"/>
  <c r="EQ20" i="8"/>
  <c r="FN20" i="8" s="1"/>
  <c r="GS33" i="8" s="1"/>
  <c r="GS34" i="8" s="1"/>
  <c r="ES26" i="8"/>
  <c r="FP26" i="8" s="1"/>
  <c r="GU57" i="8" s="1"/>
  <c r="GU58" i="8" s="1"/>
  <c r="ER24" i="8"/>
  <c r="FO24" i="8" s="1"/>
  <c r="GT49" i="8" s="1"/>
  <c r="GT50" i="8" s="1"/>
  <c r="ES24" i="8"/>
  <c r="FP24" i="8" s="1"/>
  <c r="GU49" i="8" s="1"/>
  <c r="GU50" i="8" s="1"/>
  <c r="ES17" i="8"/>
  <c r="FP17" i="8" s="1"/>
  <c r="FP53" i="8" s="1"/>
  <c r="ER21" i="8"/>
  <c r="FO21" i="8" s="1"/>
  <c r="GT37" i="8" s="1"/>
  <c r="GT38" i="8" s="1"/>
  <c r="FO54" i="8"/>
  <c r="EQ17" i="8"/>
  <c r="FN17" i="8" s="1"/>
  <c r="GS21" i="8" s="1"/>
  <c r="GS22" i="8" s="1"/>
  <c r="GT33" i="8"/>
  <c r="GT34" i="8" s="1"/>
  <c r="FN64" i="8"/>
  <c r="FN55" i="8"/>
  <c r="FI18" i="8"/>
  <c r="FK18" i="8"/>
  <c r="GP25" i="8" s="1"/>
  <c r="GP26" i="8" s="1"/>
  <c r="IH107" i="8"/>
  <c r="ID107" i="8"/>
  <c r="FO59" i="8"/>
  <c r="FN56" i="8"/>
  <c r="FT90" i="8"/>
  <c r="FT88" i="8"/>
  <c r="FI28" i="8"/>
  <c r="FN52" i="8"/>
  <c r="FF16" i="8"/>
  <c r="FI25" i="8"/>
  <c r="FP64" i="8"/>
  <c r="FP56" i="8"/>
  <c r="FO61" i="8"/>
  <c r="FF19" i="8"/>
  <c r="FO55" i="8"/>
  <c r="FI19" i="8"/>
  <c r="FI16" i="8"/>
  <c r="FJ20" i="8"/>
  <c r="GO33" i="8" s="1"/>
  <c r="GO34" i="8" s="1"/>
  <c r="FO58" i="8"/>
  <c r="FH28" i="8"/>
  <c r="FE20" i="8"/>
  <c r="FN59" i="8"/>
  <c r="FJ19" i="8"/>
  <c r="GO29" i="8" s="1"/>
  <c r="GO30" i="8" s="1"/>
  <c r="FF28" i="8"/>
  <c r="FO64" i="8"/>
  <c r="FE28" i="8"/>
  <c r="FJ28" i="8"/>
  <c r="GO65" i="8" s="1"/>
  <c r="GO66" i="8" s="1"/>
  <c r="FK28" i="8"/>
  <c r="GP65" i="8" s="1"/>
  <c r="GP66" i="8" s="1"/>
  <c r="FF22" i="8"/>
  <c r="FF25" i="8"/>
  <c r="FI22" i="8"/>
  <c r="FK19" i="8"/>
  <c r="GP29" i="8" s="1"/>
  <c r="GP30" i="8" s="1"/>
  <c r="FH19" i="8"/>
  <c r="FE19" i="8"/>
  <c r="FN22" i="8"/>
  <c r="GS41" i="8" s="1"/>
  <c r="GS42" i="8" s="1"/>
  <c r="FE23" i="8"/>
  <c r="FH23" i="8"/>
  <c r="FK23" i="8"/>
  <c r="GP45" i="8" s="1"/>
  <c r="GP46" i="8" s="1"/>
  <c r="FI23" i="8"/>
  <c r="HW104" i="8"/>
  <c r="IC104" i="8" s="1"/>
  <c r="FF23" i="8"/>
  <c r="FJ23" i="8"/>
  <c r="GO45" i="8" s="1"/>
  <c r="GO46" i="8" s="1"/>
  <c r="FP59" i="8"/>
  <c r="IC101" i="8"/>
  <c r="IE101" i="8" s="1"/>
  <c r="HW106" i="8"/>
  <c r="IB106" i="8" s="1"/>
  <c r="HX110" i="8"/>
  <c r="FH16" i="8"/>
  <c r="HW105" i="8"/>
  <c r="IB105" i="8" s="1"/>
  <c r="HW102" i="8"/>
  <c r="IB102" i="8" s="1"/>
  <c r="FK16" i="8"/>
  <c r="GP17" i="8" s="1"/>
  <c r="GP18" i="8" s="1"/>
  <c r="FJ16" i="8"/>
  <c r="GO17" i="8" s="1"/>
  <c r="GO18" i="8" s="1"/>
  <c r="FE16" i="8"/>
  <c r="FP52" i="8"/>
  <c r="HW122" i="8"/>
  <c r="IC122" i="8" s="1"/>
  <c r="FP61" i="8"/>
  <c r="FP63" i="8"/>
  <c r="FP55" i="8"/>
  <c r="FH25" i="8"/>
  <c r="FO53" i="8"/>
  <c r="FO63" i="8"/>
  <c r="FI27" i="8"/>
  <c r="FI24" i="8"/>
  <c r="FO60" i="8"/>
  <c r="FJ24" i="8"/>
  <c r="GO49" i="8" s="1"/>
  <c r="GO50" i="8" s="1"/>
  <c r="FF24" i="8"/>
  <c r="FE25" i="8"/>
  <c r="FP57" i="8"/>
  <c r="HW123" i="8"/>
  <c r="IB123" i="8" s="1"/>
  <c r="HW124" i="8"/>
  <c r="IB124" i="8" s="1"/>
  <c r="IC124" i="8" s="1"/>
  <c r="IE124" i="8" s="1"/>
  <c r="HW120" i="8"/>
  <c r="IB120" i="8" s="1"/>
  <c r="HX128" i="8"/>
  <c r="IC119" i="8"/>
  <c r="IE119" i="8" s="1"/>
  <c r="EQ31" i="8"/>
  <c r="FN31" i="8" s="1"/>
  <c r="GS77" i="8" s="1"/>
  <c r="FP54" i="8"/>
  <c r="FE18" i="8"/>
  <c r="FF18" i="8"/>
  <c r="FN18" i="8"/>
  <c r="GS25" i="8" s="1"/>
  <c r="GS26" i="8" s="1"/>
  <c r="FJ18" i="8"/>
  <c r="GO25" i="8" s="1"/>
  <c r="GO26" i="8" s="1"/>
  <c r="FH22" i="8"/>
  <c r="FH18" i="8"/>
  <c r="FE22" i="8"/>
  <c r="FP58" i="8"/>
  <c r="FJ22" i="8"/>
  <c r="GO41" i="8" s="1"/>
  <c r="GO42" i="8" s="1"/>
  <c r="FP65" i="8"/>
  <c r="FK25" i="8"/>
  <c r="GP53" i="8" s="1"/>
  <c r="GP54" i="8" s="1"/>
  <c r="FN27" i="8"/>
  <c r="GS61" i="8" s="1"/>
  <c r="GS62" i="8" s="1"/>
  <c r="FJ25" i="8"/>
  <c r="GO53" i="8" s="1"/>
  <c r="GO54" i="8" s="1"/>
  <c r="FK22" i="8"/>
  <c r="GP41" i="8" s="1"/>
  <c r="GP42" i="8" s="1"/>
  <c r="FI17" i="8"/>
  <c r="FK27" i="8"/>
  <c r="GP61" i="8" s="1"/>
  <c r="GP62" i="8" s="1"/>
  <c r="FJ27" i="8"/>
  <c r="GO61" i="8" s="1"/>
  <c r="GO62" i="8" s="1"/>
  <c r="FE27" i="8"/>
  <c r="FF27" i="8"/>
  <c r="FP62" i="8"/>
  <c r="GT73" i="8"/>
  <c r="GT74" i="8" s="1"/>
  <c r="FP66" i="8"/>
  <c r="GU73" i="8"/>
  <c r="GU74" i="8" s="1"/>
  <c r="FO65" i="8"/>
  <c r="GT69" i="8"/>
  <c r="GT70" i="8" s="1"/>
  <c r="ER31" i="8"/>
  <c r="FO31" i="8" s="1"/>
  <c r="GT77" i="8" s="1"/>
  <c r="GT78" i="8" s="1"/>
  <c r="FI29" i="8"/>
  <c r="FK29" i="8"/>
  <c r="GP69" i="8" s="1"/>
  <c r="GP70" i="8" s="1"/>
  <c r="FH29" i="8"/>
  <c r="FH27" i="8"/>
  <c r="EN32" i="8"/>
  <c r="FJ29" i="8"/>
  <c r="FN29" i="8"/>
  <c r="FE26" i="8"/>
  <c r="FF29" i="8"/>
  <c r="IB121" i="8"/>
  <c r="IC121" i="8" s="1"/>
  <c r="IE121" i="8" s="1"/>
  <c r="FH26" i="8"/>
  <c r="FE29" i="8"/>
  <c r="DV75" i="8"/>
  <c r="DT73" i="8"/>
  <c r="DB73" i="8" a="1"/>
  <c r="DU75" i="8"/>
  <c r="DT75" i="8"/>
  <c r="DV74" i="8"/>
  <c r="DU74" i="8"/>
  <c r="DV73" i="8"/>
  <c r="DT74" i="8"/>
  <c r="DU73" i="8"/>
  <c r="FS86" i="8"/>
  <c r="FU86" i="8"/>
  <c r="FW86" i="8"/>
  <c r="DZ67" i="8"/>
  <c r="EF33" i="8" s="1"/>
  <c r="FZ86" i="8" s="1"/>
  <c r="DZ68" i="8"/>
  <c r="EH33" i="8" s="1"/>
  <c r="GB86" i="8" s="1"/>
  <c r="DZ69" i="8"/>
  <c r="EJ33" i="8" s="1"/>
  <c r="GD86" i="8" s="1"/>
  <c r="FJ26" i="8"/>
  <c r="GO57" i="8" s="1"/>
  <c r="HX111" i="8"/>
  <c r="EK32" i="8"/>
  <c r="GG81" i="8"/>
  <c r="FH21" i="8"/>
  <c r="FN21" i="8"/>
  <c r="GS37" i="8" s="1"/>
  <c r="FF21" i="8"/>
  <c r="GI82" i="8"/>
  <c r="IB103" i="8"/>
  <c r="FW82" i="8"/>
  <c r="GK82" i="8" s="1"/>
  <c r="EO32" i="8"/>
  <c r="GK81" i="8"/>
  <c r="GS58" i="8"/>
  <c r="FN62" i="8"/>
  <c r="FN30" i="8"/>
  <c r="GS73" i="8" s="1"/>
  <c r="FE30" i="8"/>
  <c r="FI30" i="8"/>
  <c r="FK30" i="8"/>
  <c r="GP73" i="8" s="1"/>
  <c r="FF30" i="8"/>
  <c r="FH30" i="8"/>
  <c r="FJ30" i="8"/>
  <c r="GO73" i="8" s="1"/>
  <c r="EM32" i="8"/>
  <c r="GI81" i="8"/>
  <c r="GH84" i="8"/>
  <c r="FV84" i="8"/>
  <c r="FX84" i="8" s="1"/>
  <c r="FT85" i="8"/>
  <c r="FV85" i="8" s="1"/>
  <c r="FX85" i="8" s="1"/>
  <c r="GA84" i="8"/>
  <c r="EP32" i="8"/>
  <c r="GL82" i="8"/>
  <c r="GN82" i="8"/>
  <c r="GJ82" i="8"/>
  <c r="GH83" i="8"/>
  <c r="GH81" i="8"/>
  <c r="GJ80" i="8"/>
  <c r="GL80" i="8"/>
  <c r="GN80" i="8"/>
  <c r="DX67" i="8"/>
  <c r="EE33" i="8" s="1"/>
  <c r="DX69" i="8"/>
  <c r="EI33" i="8" s="1"/>
  <c r="GD85" i="8" s="1"/>
  <c r="DX68" i="8"/>
  <c r="EG33" i="8" s="1"/>
  <c r="GB85" i="8" s="1"/>
  <c r="FK26" i="8"/>
  <c r="GP57" i="8" s="1"/>
  <c r="GA83" i="8"/>
  <c r="GC83" i="8" s="1"/>
  <c r="GE83" i="8" s="1"/>
  <c r="GC82" i="8"/>
  <c r="GE82" i="8" s="1"/>
  <c r="GA81" i="8"/>
  <c r="GC81" i="8" s="1"/>
  <c r="GE81" i="8" s="1"/>
  <c r="GC80" i="8"/>
  <c r="GE80" i="8" s="1"/>
  <c r="ES31" i="8"/>
  <c r="FP31" i="8" s="1"/>
  <c r="GU77" i="8" s="1"/>
  <c r="GT58" i="8"/>
  <c r="FO62" i="8"/>
  <c r="FN60" i="8"/>
  <c r="GS50" i="8"/>
  <c r="GH86" i="8"/>
  <c r="FV86" i="8"/>
  <c r="FX86" i="8" s="1"/>
  <c r="FT87" i="8"/>
  <c r="FV87" i="8" s="1"/>
  <c r="FX87" i="8" s="1"/>
  <c r="GA86" i="8"/>
  <c r="CR79" i="8"/>
  <c r="GN79" i="8"/>
  <c r="GL79" i="8"/>
  <c r="GJ79" i="8"/>
  <c r="DB72" i="8"/>
  <c r="ED34" i="8" s="1"/>
  <c r="FW89" i="8" s="1"/>
  <c r="DB70" i="8"/>
  <c r="EB34" i="8" s="1"/>
  <c r="FS89" i="8" s="1"/>
  <c r="DB71" i="8"/>
  <c r="EC34" i="8" s="1"/>
  <c r="FU89" i="8" s="1"/>
  <c r="FF26" i="8"/>
  <c r="EL32" i="8"/>
  <c r="GG82" i="8"/>
  <c r="HX129" i="8"/>
  <c r="DZ70" i="8" a="1"/>
  <c r="DX70" i="8" a="1"/>
  <c r="GN77" i="8"/>
  <c r="GL77" i="8"/>
  <c r="GJ77" i="8"/>
  <c r="FI26" i="8"/>
  <c r="GF92" i="8"/>
  <c r="FN61" i="8"/>
  <c r="GS54" i="8"/>
  <c r="FH20" i="8" l="1"/>
  <c r="FI20" i="8"/>
  <c r="FK24" i="8"/>
  <c r="GP49" i="8" s="1"/>
  <c r="GP50" i="8" s="1"/>
  <c r="FF20" i="8"/>
  <c r="FL20" i="8" s="1"/>
  <c r="FL56" i="8" s="1"/>
  <c r="FK20" i="8"/>
  <c r="FK56" i="8" s="1"/>
  <c r="FE24" i="8"/>
  <c r="FH24" i="8"/>
  <c r="FM24" i="8" s="1"/>
  <c r="GR49" i="8" s="1"/>
  <c r="GR50" i="8" s="1"/>
  <c r="FP60" i="8"/>
  <c r="FE17" i="8"/>
  <c r="FK17" i="8"/>
  <c r="GP21" i="8" s="1"/>
  <c r="GP22" i="8" s="1"/>
  <c r="FJ17" i="8"/>
  <c r="FJ53" i="8" s="1"/>
  <c r="FH17" i="8"/>
  <c r="FM17" i="8" s="1"/>
  <c r="GR21" i="8" s="1"/>
  <c r="GR22" i="8" s="1"/>
  <c r="FJ21" i="8"/>
  <c r="GO37" i="8" s="1"/>
  <c r="GO38" i="8" s="1"/>
  <c r="FN53" i="8"/>
  <c r="FO57" i="8"/>
  <c r="FE21" i="8"/>
  <c r="FL21" i="8" s="1"/>
  <c r="GQ37" i="8" s="1"/>
  <c r="GU21" i="8"/>
  <c r="GU22" i="8" s="1"/>
  <c r="FK21" i="8"/>
  <c r="GP37" i="8" s="1"/>
  <c r="FF17" i="8"/>
  <c r="FI21" i="8"/>
  <c r="FM18" i="8"/>
  <c r="FM54" i="8" s="1"/>
  <c r="FM25" i="8"/>
  <c r="GR53" i="8" s="1"/>
  <c r="GR54" i="8" s="1"/>
  <c r="FM20" i="8"/>
  <c r="GR33" i="8" s="1"/>
  <c r="GR34" i="8" s="1"/>
  <c r="ID123" i="8"/>
  <c r="IC123" i="8"/>
  <c r="IE123" i="8" s="1"/>
  <c r="IF123" i="8"/>
  <c r="IH123" i="8"/>
  <c r="IC105" i="8"/>
  <c r="IE105" i="8" s="1"/>
  <c r="ID105" i="8"/>
  <c r="FL16" i="8"/>
  <c r="FL52" i="8" s="1"/>
  <c r="FT94" i="8"/>
  <c r="FT92" i="8"/>
  <c r="FM28" i="8"/>
  <c r="GR65" i="8" s="1"/>
  <c r="GR66" i="8" s="1"/>
  <c r="FL19" i="8"/>
  <c r="GQ29" i="8" s="1"/>
  <c r="GQ30" i="8" s="1"/>
  <c r="GP33" i="8"/>
  <c r="GP34" i="8" s="1"/>
  <c r="FM19" i="8"/>
  <c r="GR29" i="8" s="1"/>
  <c r="GR30" i="8" s="1"/>
  <c r="FJ64" i="8"/>
  <c r="FM16" i="8"/>
  <c r="GR17" i="8" s="1"/>
  <c r="GR18" i="8" s="1"/>
  <c r="IF101" i="8"/>
  <c r="IH101" i="8"/>
  <c r="FJ56" i="8"/>
  <c r="FL25" i="8"/>
  <c r="GQ53" i="8" s="1"/>
  <c r="GQ54" i="8" s="1"/>
  <c r="FL28" i="8"/>
  <c r="GQ65" i="8" s="1"/>
  <c r="GQ66" i="8" s="1"/>
  <c r="FK55" i="8"/>
  <c r="FM22" i="8"/>
  <c r="GR41" i="8" s="1"/>
  <c r="GR42" i="8" s="1"/>
  <c r="FJ55" i="8"/>
  <c r="FK63" i="8"/>
  <c r="FK64" i="8"/>
  <c r="FL22" i="8"/>
  <c r="GQ41" i="8" s="1"/>
  <c r="GQ42" i="8" s="1"/>
  <c r="FJ58" i="8"/>
  <c r="FN58" i="8"/>
  <c r="FK59" i="8"/>
  <c r="FL23" i="8"/>
  <c r="GQ45" i="8" s="1"/>
  <c r="GQ46" i="8" s="1"/>
  <c r="FM23" i="8"/>
  <c r="GR45" i="8" s="1"/>
  <c r="GR46" i="8" s="1"/>
  <c r="FJ59" i="8"/>
  <c r="IF119" i="8"/>
  <c r="IH119" i="8"/>
  <c r="FJ52" i="8"/>
  <c r="FJ54" i="8"/>
  <c r="FK52" i="8"/>
  <c r="FK60" i="8"/>
  <c r="FJ60" i="8"/>
  <c r="FM27" i="8"/>
  <c r="GR61" i="8" s="1"/>
  <c r="GR62" i="8" s="1"/>
  <c r="FL24" i="8"/>
  <c r="FL60" i="8" s="1"/>
  <c r="FO67" i="8"/>
  <c r="FL17" i="8"/>
  <c r="GQ21" i="8" s="1"/>
  <c r="GQ22" i="8" s="1"/>
  <c r="FL18" i="8"/>
  <c r="GQ25" i="8" s="1"/>
  <c r="GQ26" i="8" s="1"/>
  <c r="FN54" i="8"/>
  <c r="FK61" i="8"/>
  <c r="FJ63" i="8"/>
  <c r="FK54" i="8"/>
  <c r="FJ61" i="8"/>
  <c r="FL27" i="8"/>
  <c r="FL63" i="8" s="1"/>
  <c r="FI31" i="8"/>
  <c r="FF31" i="8"/>
  <c r="FN63" i="8"/>
  <c r="FK58" i="8"/>
  <c r="FM30" i="8"/>
  <c r="GR73" i="8" s="1"/>
  <c r="GR74" i="8" s="1"/>
  <c r="ID124" i="8"/>
  <c r="FM26" i="8"/>
  <c r="GR57" i="8" s="1"/>
  <c r="GR58" i="8" s="1"/>
  <c r="FK53" i="8"/>
  <c r="FZ85" i="8"/>
  <c r="GG85" i="8" s="1"/>
  <c r="EK33" i="8"/>
  <c r="FK65" i="8"/>
  <c r="ID121" i="8"/>
  <c r="FN65" i="8"/>
  <c r="GS69" i="8"/>
  <c r="GS70" i="8" s="1"/>
  <c r="ER32" i="8"/>
  <c r="FO32" i="8" s="1"/>
  <c r="GT81" i="8" s="1"/>
  <c r="GT82" i="8" s="1"/>
  <c r="FJ65" i="8"/>
  <c r="GO69" i="8"/>
  <c r="GO70" i="8" s="1"/>
  <c r="FL26" i="8"/>
  <c r="GQ57" i="8" s="1"/>
  <c r="GQ58" i="8" s="1"/>
  <c r="FM29" i="8"/>
  <c r="GR69" i="8" s="1"/>
  <c r="GR70" i="8" s="1"/>
  <c r="FL30" i="8"/>
  <c r="GQ73" i="8" s="1"/>
  <c r="GQ74" i="8" s="1"/>
  <c r="IF121" i="8"/>
  <c r="FL29" i="8"/>
  <c r="GQ69" i="8" s="1"/>
  <c r="FE31" i="8"/>
  <c r="FH31" i="8"/>
  <c r="ES32" i="8"/>
  <c r="FP32" i="8" s="1"/>
  <c r="DU77" i="8"/>
  <c r="DT77" i="8"/>
  <c r="DV76" i="8"/>
  <c r="DV78" i="8"/>
  <c r="DT76" i="8"/>
  <c r="DB76" i="8" a="1"/>
  <c r="DU76" i="8"/>
  <c r="DU78" i="8"/>
  <c r="DT78" i="8"/>
  <c r="DV77" i="8"/>
  <c r="GL86" i="8"/>
  <c r="GN86" i="8"/>
  <c r="GH87" i="8"/>
  <c r="GJ86" i="8"/>
  <c r="GL81" i="8"/>
  <c r="GJ81" i="8"/>
  <c r="GN81" i="8"/>
  <c r="FJ66" i="8"/>
  <c r="GO74" i="8"/>
  <c r="ID103" i="8"/>
  <c r="IC103" i="8"/>
  <c r="IE103" i="8" s="1"/>
  <c r="FW90" i="8"/>
  <c r="GP58" i="8"/>
  <c r="FK62" i="8"/>
  <c r="EM33" i="8"/>
  <c r="GI85" i="8"/>
  <c r="IF124" i="8"/>
  <c r="FM21" i="8"/>
  <c r="GR37" i="8" s="1"/>
  <c r="EQ32" i="8"/>
  <c r="GU78" i="8"/>
  <c r="FP67" i="8"/>
  <c r="FK31" i="8"/>
  <c r="GP77" i="8" s="1"/>
  <c r="EO33" i="8"/>
  <c r="GK85" i="8"/>
  <c r="IH124" i="8"/>
  <c r="GJ84" i="8"/>
  <c r="GN84" i="8"/>
  <c r="GL84" i="8"/>
  <c r="GH85" i="8"/>
  <c r="IC106" i="8"/>
  <c r="IE106" i="8" s="1"/>
  <c r="ID106" i="8"/>
  <c r="FJ62" i="8"/>
  <c r="GO58" i="8"/>
  <c r="FK66" i="8"/>
  <c r="GP74" i="8"/>
  <c r="EP33" i="8"/>
  <c r="GH90" i="8"/>
  <c r="FT91" i="8"/>
  <c r="FV91" i="8" s="1"/>
  <c r="FX91" i="8" s="1"/>
  <c r="GA90" i="8"/>
  <c r="FV90" i="8"/>
  <c r="FX90" i="8" s="1"/>
  <c r="IE122" i="8"/>
  <c r="IH122" i="8"/>
  <c r="IF122" i="8"/>
  <c r="GS78" i="8"/>
  <c r="FN67" i="8"/>
  <c r="GJ83" i="8"/>
  <c r="GN83" i="8"/>
  <c r="GL83" i="8"/>
  <c r="FK57" i="8"/>
  <c r="GP38" i="8"/>
  <c r="EN33" i="8"/>
  <c r="GI86" i="8"/>
  <c r="GF96" i="8"/>
  <c r="DZ72" i="8"/>
  <c r="EJ34" i="8" s="1"/>
  <c r="GD90" i="8" s="1"/>
  <c r="DZ70" i="8"/>
  <c r="EF34" i="8" s="1"/>
  <c r="FZ90" i="8" s="1"/>
  <c r="DZ71" i="8"/>
  <c r="EH34" i="8" s="1"/>
  <c r="GB90" i="8" s="1"/>
  <c r="IF104" i="8"/>
  <c r="IE104" i="8"/>
  <c r="IH104" i="8"/>
  <c r="GA87" i="8"/>
  <c r="GC87" i="8" s="1"/>
  <c r="GE87" i="8" s="1"/>
  <c r="GC86" i="8"/>
  <c r="GE86" i="8" s="1"/>
  <c r="IH121" i="8"/>
  <c r="ID102" i="8"/>
  <c r="IC102" i="8"/>
  <c r="IE102" i="8" s="1"/>
  <c r="EL33" i="8"/>
  <c r="GG86" i="8"/>
  <c r="DB73" i="8"/>
  <c r="EB35" i="8" s="1"/>
  <c r="FS93" i="8" s="1"/>
  <c r="DB75" i="8"/>
  <c r="ED35" i="8" s="1"/>
  <c r="FW93" i="8" s="1"/>
  <c r="DB74" i="8"/>
  <c r="EC35" i="8" s="1"/>
  <c r="FU93" i="8" s="1"/>
  <c r="CR82" i="8"/>
  <c r="DX70" i="8"/>
  <c r="EE34" i="8" s="1"/>
  <c r="FZ89" i="8" s="1"/>
  <c r="DX71" i="8"/>
  <c r="EG34" i="8" s="1"/>
  <c r="GB89" i="8" s="1"/>
  <c r="DX72" i="8"/>
  <c r="EI34" i="8" s="1"/>
  <c r="GD89" i="8" s="1"/>
  <c r="FT89" i="8"/>
  <c r="FV89" i="8" s="1"/>
  <c r="FX89" i="8" s="1"/>
  <c r="FV88" i="8"/>
  <c r="FX88" i="8" s="1"/>
  <c r="GH88" i="8"/>
  <c r="GA88" i="8"/>
  <c r="ID120" i="8"/>
  <c r="IC120" i="8"/>
  <c r="IE120" i="8" s="1"/>
  <c r="FJ31" i="8"/>
  <c r="GO77" i="8" s="1"/>
  <c r="GS74" i="8"/>
  <c r="FN66" i="8"/>
  <c r="GK86" i="8"/>
  <c r="DZ73" i="8" a="1"/>
  <c r="DX73" i="8" a="1"/>
  <c r="GA85" i="8"/>
  <c r="GC85" i="8" s="1"/>
  <c r="GE85" i="8" s="1"/>
  <c r="GC84" i="8"/>
  <c r="GE84" i="8" s="1"/>
  <c r="FN57" i="8"/>
  <c r="GS38" i="8"/>
  <c r="FM56" i="8" l="1"/>
  <c r="GO21" i="8"/>
  <c r="GO22" i="8" s="1"/>
  <c r="FJ57" i="8"/>
  <c r="FM61" i="8"/>
  <c r="GR25" i="8"/>
  <c r="GR26" i="8" s="1"/>
  <c r="GQ33" i="8"/>
  <c r="GQ34" i="8" s="1"/>
  <c r="FL61" i="8"/>
  <c r="IF105" i="8"/>
  <c r="GQ17" i="8"/>
  <c r="GQ18" i="8" s="1"/>
  <c r="IH105" i="8"/>
  <c r="FM55" i="8"/>
  <c r="FT98" i="8"/>
  <c r="FT96" i="8"/>
  <c r="FM64" i="8"/>
  <c r="FL55" i="8"/>
  <c r="FM52" i="8"/>
  <c r="FL64" i="8"/>
  <c r="FM58" i="8"/>
  <c r="FL58" i="8"/>
  <c r="FL59" i="8"/>
  <c r="FM63" i="8"/>
  <c r="FM59" i="8"/>
  <c r="FM60" i="8"/>
  <c r="FL54" i="8"/>
  <c r="FM62" i="8"/>
  <c r="GQ49" i="8"/>
  <c r="GQ50" i="8" s="1"/>
  <c r="FL31" i="8"/>
  <c r="GQ77" i="8" s="1"/>
  <c r="GQ78" i="8" s="1"/>
  <c r="FL53" i="8"/>
  <c r="FM53" i="8"/>
  <c r="FO68" i="8"/>
  <c r="GQ61" i="8"/>
  <c r="GQ62" i="8" s="1"/>
  <c r="FM31" i="8"/>
  <c r="GR77" i="8" s="1"/>
  <c r="GR78" i="8" s="1"/>
  <c r="FM66" i="8"/>
  <c r="FL62" i="8"/>
  <c r="FL66" i="8"/>
  <c r="EQ33" i="8"/>
  <c r="FN33" i="8" s="1"/>
  <c r="GS85" i="8" s="1"/>
  <c r="FM65" i="8"/>
  <c r="GU81" i="8"/>
  <c r="GU82" i="8" s="1"/>
  <c r="ES33" i="8"/>
  <c r="FP33" i="8" s="1"/>
  <c r="GU85" i="8" s="1"/>
  <c r="GU86" i="8" s="1"/>
  <c r="IH103" i="8"/>
  <c r="FP68" i="8"/>
  <c r="IF120" i="8"/>
  <c r="IG125" i="8" s="1"/>
  <c r="GQ70" i="8"/>
  <c r="FL65" i="8"/>
  <c r="IF106" i="8"/>
  <c r="EN34" i="8"/>
  <c r="DU79" i="8"/>
  <c r="DV81" i="8"/>
  <c r="DT81" i="8"/>
  <c r="DT79" i="8"/>
  <c r="DB79" i="8" a="1"/>
  <c r="DV80" i="8"/>
  <c r="DU80" i="8"/>
  <c r="DT80" i="8"/>
  <c r="DU81" i="8"/>
  <c r="DV79" i="8"/>
  <c r="GA89" i="8"/>
  <c r="GC89" i="8" s="1"/>
  <c r="GE89" i="8" s="1"/>
  <c r="GC88" i="8"/>
  <c r="GE88" i="8" s="1"/>
  <c r="CR85" i="8"/>
  <c r="DX75" i="8"/>
  <c r="EI35" i="8" s="1"/>
  <c r="GD93" i="8" s="1"/>
  <c r="DX73" i="8"/>
  <c r="EE35" i="8" s="1"/>
  <c r="FZ93" i="8" s="1"/>
  <c r="DX74" i="8"/>
  <c r="EG35" i="8" s="1"/>
  <c r="GB93" i="8" s="1"/>
  <c r="GJ88" i="8"/>
  <c r="GL88" i="8"/>
  <c r="GN88" i="8"/>
  <c r="GH89" i="8"/>
  <c r="FW94" i="8"/>
  <c r="GC90" i="8"/>
  <c r="GE90" i="8" s="1"/>
  <c r="GA91" i="8"/>
  <c r="GC91" i="8" s="1"/>
  <c r="GE91" i="8" s="1"/>
  <c r="EL34" i="8"/>
  <c r="FJ32" i="8"/>
  <c r="GO81" i="8" s="1"/>
  <c r="FH32" i="8"/>
  <c r="FN32" i="8"/>
  <c r="GS81" i="8" s="1"/>
  <c r="FK32" i="8"/>
  <c r="GP81" i="8" s="1"/>
  <c r="FF32" i="8"/>
  <c r="FE32" i="8"/>
  <c r="FI32" i="8"/>
  <c r="GN87" i="8"/>
  <c r="GJ87" i="8"/>
  <c r="GL87" i="8"/>
  <c r="EK34" i="8"/>
  <c r="GG89" i="8"/>
  <c r="DZ73" i="8"/>
  <c r="EF35" i="8" s="1"/>
  <c r="FZ94" i="8" s="1"/>
  <c r="DZ75" i="8"/>
  <c r="EJ35" i="8" s="1"/>
  <c r="GD94" i="8" s="1"/>
  <c r="DZ74" i="8"/>
  <c r="EH35" i="8" s="1"/>
  <c r="GB94" i="8" s="1"/>
  <c r="IH102" i="8"/>
  <c r="FM57" i="8"/>
  <c r="GR38" i="8"/>
  <c r="IH120" i="8"/>
  <c r="IF102" i="8"/>
  <c r="GL90" i="8"/>
  <c r="GH91" i="8"/>
  <c r="GN90" i="8"/>
  <c r="GJ90" i="8"/>
  <c r="DB77" i="8"/>
  <c r="EC36" i="8" s="1"/>
  <c r="FU97" i="8" s="1"/>
  <c r="DB78" i="8"/>
  <c r="ED36" i="8" s="1"/>
  <c r="FW97" i="8" s="1"/>
  <c r="DB76" i="8"/>
  <c r="EB36" i="8" s="1"/>
  <c r="FS97" i="8" s="1"/>
  <c r="GL85" i="8"/>
  <c r="GN85" i="8"/>
  <c r="GJ85" i="8"/>
  <c r="DX76" i="8" a="1"/>
  <c r="DZ76" i="8" a="1"/>
  <c r="FS94" i="8"/>
  <c r="FV94" i="8"/>
  <c r="FX94" i="8" s="1"/>
  <c r="GA94" i="8"/>
  <c r="FT95" i="8"/>
  <c r="FV95" i="8" s="1"/>
  <c r="FX95" i="8" s="1"/>
  <c r="GH94" i="8"/>
  <c r="FK67" i="8"/>
  <c r="GP78" i="8"/>
  <c r="GQ38" i="8"/>
  <c r="FL57" i="8"/>
  <c r="EO34" i="8"/>
  <c r="GK89" i="8"/>
  <c r="GF100" i="8"/>
  <c r="IH106" i="8"/>
  <c r="ER33" i="8"/>
  <c r="GK90" i="8"/>
  <c r="FU94" i="8"/>
  <c r="FU90" i="8"/>
  <c r="GI90" i="8" s="1"/>
  <c r="EM34" i="8"/>
  <c r="GI89" i="8"/>
  <c r="FS90" i="8"/>
  <c r="GG90" i="8" s="1"/>
  <c r="EP34" i="8"/>
  <c r="IF103" i="8"/>
  <c r="FJ67" i="8"/>
  <c r="GO78" i="8"/>
  <c r="GA92" i="8"/>
  <c r="FT93" i="8"/>
  <c r="FV93" i="8" s="1"/>
  <c r="FX93" i="8" s="1"/>
  <c r="FV92" i="8"/>
  <c r="FX92" i="8" s="1"/>
  <c r="GH92" i="8"/>
  <c r="FT102" i="8" l="1"/>
  <c r="FT100" i="8"/>
  <c r="FL67" i="8"/>
  <c r="FM67" i="8"/>
  <c r="IG119" i="8"/>
  <c r="IG121" i="8"/>
  <c r="IG124" i="8"/>
  <c r="IG122" i="8"/>
  <c r="IG120" i="8"/>
  <c r="FP69" i="8"/>
  <c r="IG123" i="8"/>
  <c r="FM32" i="8"/>
  <c r="GR81" i="8" s="1"/>
  <c r="GR82" i="8" s="1"/>
  <c r="ER34" i="8"/>
  <c r="FO34" i="8" s="1"/>
  <c r="IG106" i="8"/>
  <c r="FL32" i="8"/>
  <c r="GQ81" i="8" s="1"/>
  <c r="GQ82" i="8" s="1"/>
  <c r="IG103" i="8"/>
  <c r="IG104" i="8"/>
  <c r="DT83" i="8"/>
  <c r="DV83" i="8"/>
  <c r="DV82" i="8"/>
  <c r="DU82" i="8"/>
  <c r="DV84" i="8"/>
  <c r="DT82" i="8"/>
  <c r="DB82" i="8" a="1"/>
  <c r="DU84" i="8"/>
  <c r="DU83" i="8"/>
  <c r="DT84" i="8"/>
  <c r="FF33" i="8"/>
  <c r="FO33" i="8"/>
  <c r="GT85" i="8" s="1"/>
  <c r="GH96" i="8"/>
  <c r="FT97" i="8"/>
  <c r="FV97" i="8" s="1"/>
  <c r="FX97" i="8" s="1"/>
  <c r="GA96" i="8"/>
  <c r="FV96" i="8"/>
  <c r="FX96" i="8" s="1"/>
  <c r="GP82" i="8"/>
  <c r="FK68" i="8"/>
  <c r="GN89" i="8"/>
  <c r="GJ89" i="8"/>
  <c r="GL89" i="8"/>
  <c r="EQ34" i="8"/>
  <c r="FN68" i="8"/>
  <c r="GS82" i="8"/>
  <c r="GA93" i="8"/>
  <c r="GC93" i="8" s="1"/>
  <c r="GE93" i="8" s="1"/>
  <c r="GC92" i="8"/>
  <c r="GE92" i="8" s="1"/>
  <c r="FU98" i="8"/>
  <c r="GF104" i="8"/>
  <c r="DZ76" i="8"/>
  <c r="EF36" i="8" s="1"/>
  <c r="FZ98" i="8" s="1"/>
  <c r="DZ78" i="8"/>
  <c r="EJ36" i="8" s="1"/>
  <c r="GD98" i="8" s="1"/>
  <c r="DZ77" i="8"/>
  <c r="EH36" i="8" s="1"/>
  <c r="GB98" i="8" s="1"/>
  <c r="GN91" i="8"/>
  <c r="GJ91" i="8"/>
  <c r="GL91" i="8"/>
  <c r="FH33" i="8"/>
  <c r="CR88" i="8"/>
  <c r="DX77" i="8"/>
  <c r="EG36" i="8" s="1"/>
  <c r="GB97" i="8" s="1"/>
  <c r="DX76" i="8"/>
  <c r="EE36" i="8" s="1"/>
  <c r="DX78" i="8"/>
  <c r="EI36" i="8" s="1"/>
  <c r="GD97" i="8" s="1"/>
  <c r="FJ68" i="8"/>
  <c r="GO82" i="8"/>
  <c r="FE33" i="8"/>
  <c r="DB79" i="8"/>
  <c r="EB37" i="8" s="1"/>
  <c r="FS101" i="8" s="1"/>
  <c r="DB80" i="8"/>
  <c r="EC37" i="8" s="1"/>
  <c r="FU101" i="8" s="1"/>
  <c r="DB81" i="8"/>
  <c r="ED37" i="8" s="1"/>
  <c r="FW101" i="8" s="1"/>
  <c r="GH95" i="8"/>
  <c r="GL94" i="8"/>
  <c r="GJ94" i="8"/>
  <c r="GN94" i="8"/>
  <c r="EN35" i="8"/>
  <c r="GI94" i="8"/>
  <c r="FK33" i="8"/>
  <c r="GP85" i="8" s="1"/>
  <c r="EM35" i="8"/>
  <c r="GI93" i="8"/>
  <c r="DZ79" i="8" a="1"/>
  <c r="DX79" i="8" a="1"/>
  <c r="FW98" i="8"/>
  <c r="EP35" i="8"/>
  <c r="GK94" i="8"/>
  <c r="FI33" i="8"/>
  <c r="EK35" i="8"/>
  <c r="GG93" i="8"/>
  <c r="GJ92" i="8"/>
  <c r="GL92" i="8"/>
  <c r="GN92" i="8"/>
  <c r="GH93" i="8"/>
  <c r="FS98" i="8"/>
  <c r="GA95" i="8"/>
  <c r="GC95" i="8" s="1"/>
  <c r="GE95" i="8" s="1"/>
  <c r="GC94" i="8"/>
  <c r="GE94" i="8" s="1"/>
  <c r="IG102" i="8"/>
  <c r="IG107" i="8"/>
  <c r="IG101" i="8"/>
  <c r="IG105" i="8"/>
  <c r="EL35" i="8"/>
  <c r="GG94" i="8"/>
  <c r="FJ33" i="8"/>
  <c r="GO85" i="8" s="1"/>
  <c r="EO35" i="8"/>
  <c r="GK93" i="8"/>
  <c r="FV98" i="8"/>
  <c r="FX98" i="8" s="1"/>
  <c r="GA98" i="8"/>
  <c r="GH98" i="8"/>
  <c r="FT99" i="8"/>
  <c r="FV99" i="8" s="1"/>
  <c r="FX99" i="8" s="1"/>
  <c r="ES34" i="8"/>
  <c r="FP34" i="8" s="1"/>
  <c r="GU89" i="8" s="1"/>
  <c r="GS86" i="8"/>
  <c r="FN69" i="8"/>
  <c r="FT106" i="8" l="1"/>
  <c r="FT104" i="8"/>
  <c r="FL68" i="8"/>
  <c r="FM68" i="8"/>
  <c r="ER35" i="8"/>
  <c r="FO35" i="8" s="1"/>
  <c r="GT93" i="8" s="1"/>
  <c r="GT94" i="8" s="1"/>
  <c r="FO70" i="8"/>
  <c r="GT89" i="8"/>
  <c r="GT90" i="8" s="1"/>
  <c r="FZ97" i="8"/>
  <c r="GG97" i="8" s="1"/>
  <c r="EK36" i="8"/>
  <c r="FL33" i="8"/>
  <c r="GQ85" i="8" s="1"/>
  <c r="GQ86" i="8" s="1"/>
  <c r="ES35" i="8"/>
  <c r="FP35" i="8" s="1"/>
  <c r="EP36" i="8"/>
  <c r="GK98" i="8"/>
  <c r="FM33" i="8"/>
  <c r="DT87" i="8"/>
  <c r="DU86" i="8"/>
  <c r="DV85" i="8"/>
  <c r="DT86" i="8"/>
  <c r="DV86" i="8"/>
  <c r="DU85" i="8"/>
  <c r="DV87" i="8"/>
  <c r="DT85" i="8"/>
  <c r="DB85" i="8" a="1"/>
  <c r="DU87" i="8"/>
  <c r="EQ35" i="8"/>
  <c r="GL93" i="8"/>
  <c r="GN93" i="8"/>
  <c r="GJ93" i="8"/>
  <c r="GL95" i="8"/>
  <c r="GN95" i="8"/>
  <c r="GJ95" i="8"/>
  <c r="GF108" i="8"/>
  <c r="GC96" i="8"/>
  <c r="GE96" i="8" s="1"/>
  <c r="GA97" i="8"/>
  <c r="GC97" i="8" s="1"/>
  <c r="GE97" i="8" s="1"/>
  <c r="EN36" i="8"/>
  <c r="GI98" i="8"/>
  <c r="DB82" i="8"/>
  <c r="EB38" i="8" s="1"/>
  <c r="FS105" i="8" s="1"/>
  <c r="DB84" i="8"/>
  <c r="ED38" i="8" s="1"/>
  <c r="FW105" i="8" s="1"/>
  <c r="DB83" i="8"/>
  <c r="EC38" i="8" s="1"/>
  <c r="FU105" i="8" s="1"/>
  <c r="FK69" i="8"/>
  <c r="GP86" i="8"/>
  <c r="CR91" i="8"/>
  <c r="GH97" i="8"/>
  <c r="GL96" i="8"/>
  <c r="GJ96" i="8"/>
  <c r="GN96" i="8"/>
  <c r="DX82" i="8" a="1"/>
  <c r="DZ82" i="8" a="1"/>
  <c r="EM36" i="8"/>
  <c r="GI97" i="8"/>
  <c r="FJ69" i="8"/>
  <c r="GO86" i="8"/>
  <c r="EL36" i="8"/>
  <c r="GG98" i="8"/>
  <c r="GT86" i="8"/>
  <c r="FO69" i="8"/>
  <c r="FP70" i="8"/>
  <c r="GU90" i="8"/>
  <c r="GH102" i="8"/>
  <c r="GA102" i="8"/>
  <c r="FT103" i="8"/>
  <c r="FV103" i="8" s="1"/>
  <c r="FX103" i="8" s="1"/>
  <c r="FV102" i="8"/>
  <c r="FX102" i="8" s="1"/>
  <c r="GH99" i="8"/>
  <c r="GN98" i="8"/>
  <c r="GJ98" i="8"/>
  <c r="GL98" i="8"/>
  <c r="DX81" i="8"/>
  <c r="EI37" i="8" s="1"/>
  <c r="GD101" i="8" s="1"/>
  <c r="DX80" i="8"/>
  <c r="EG37" i="8" s="1"/>
  <c r="GB101" i="8" s="1"/>
  <c r="DX79" i="8"/>
  <c r="EE37" i="8" s="1"/>
  <c r="FZ101" i="8" s="1"/>
  <c r="FN34" i="8"/>
  <c r="GS89" i="8" s="1"/>
  <c r="FE34" i="8"/>
  <c r="FJ34" i="8"/>
  <c r="GO89" i="8" s="1"/>
  <c r="FH34" i="8"/>
  <c r="FI34" i="8"/>
  <c r="FK34" i="8"/>
  <c r="GP89" i="8" s="1"/>
  <c r="FF34" i="8"/>
  <c r="GC98" i="8"/>
  <c r="GE98" i="8" s="1"/>
  <c r="GA99" i="8"/>
  <c r="GC99" i="8" s="1"/>
  <c r="GE99" i="8" s="1"/>
  <c r="DZ79" i="8"/>
  <c r="EF37" i="8" s="1"/>
  <c r="FZ102" i="8" s="1"/>
  <c r="DZ80" i="8"/>
  <c r="EH37" i="8" s="1"/>
  <c r="GB102" i="8" s="1"/>
  <c r="DZ81" i="8"/>
  <c r="EJ37" i="8" s="1"/>
  <c r="GD102" i="8" s="1"/>
  <c r="EO36" i="8"/>
  <c r="GK97" i="8"/>
  <c r="GH100" i="8"/>
  <c r="GA100" i="8"/>
  <c r="FT101" i="8"/>
  <c r="FV101" i="8" s="1"/>
  <c r="FX101" i="8" s="1"/>
  <c r="FV100" i="8"/>
  <c r="FX100" i="8" s="1"/>
  <c r="FT110" i="8" l="1"/>
  <c r="FT108" i="8"/>
  <c r="FO71" i="8"/>
  <c r="EQ36" i="8"/>
  <c r="FN36" i="8" s="1"/>
  <c r="GS97" i="8" s="1"/>
  <c r="FL69" i="8"/>
  <c r="FP71" i="8"/>
  <c r="GU93" i="8"/>
  <c r="GU94" i="8" s="1"/>
  <c r="ES36" i="8"/>
  <c r="FP36" i="8" s="1"/>
  <c r="GU97" i="8" s="1"/>
  <c r="GU98" i="8" s="1"/>
  <c r="FM69" i="8"/>
  <c r="GR85" i="8"/>
  <c r="GR86" i="8" s="1"/>
  <c r="FM34" i="8"/>
  <c r="GR89" i="8" s="1"/>
  <c r="GR90" i="8" s="1"/>
  <c r="ER36" i="8"/>
  <c r="FO36" i="8" s="1"/>
  <c r="GT97" i="8" s="1"/>
  <c r="GT98" i="8" s="1"/>
  <c r="FL34" i="8"/>
  <c r="GQ89" i="8" s="1"/>
  <c r="GQ90" i="8" s="1"/>
  <c r="DU89" i="8"/>
  <c r="DT89" i="8"/>
  <c r="DV88" i="8"/>
  <c r="DT88" i="8"/>
  <c r="DB88" i="8" a="1"/>
  <c r="DV90" i="8"/>
  <c r="DU88" i="8"/>
  <c r="DU90" i="8"/>
  <c r="DT90" i="8"/>
  <c r="DV89" i="8"/>
  <c r="FW106" i="8"/>
  <c r="FS106" i="8"/>
  <c r="GJ100" i="8"/>
  <c r="GL100" i="8"/>
  <c r="GH101" i="8"/>
  <c r="GN100" i="8"/>
  <c r="FJ70" i="8"/>
  <c r="GO90" i="8"/>
  <c r="GH106" i="8"/>
  <c r="FT107" i="8"/>
  <c r="FV107" i="8" s="1"/>
  <c r="FX107" i="8" s="1"/>
  <c r="FV106" i="8"/>
  <c r="FX106" i="8" s="1"/>
  <c r="GA106" i="8"/>
  <c r="DX85" i="8" a="1"/>
  <c r="DZ85" i="8" a="1"/>
  <c r="FV104" i="8"/>
  <c r="FX104" i="8" s="1"/>
  <c r="GA104" i="8"/>
  <c r="GH104" i="8"/>
  <c r="FT105" i="8"/>
  <c r="FV105" i="8" s="1"/>
  <c r="FX105" i="8" s="1"/>
  <c r="FN70" i="8"/>
  <c r="GS90" i="8"/>
  <c r="GA103" i="8"/>
  <c r="GC103" i="8" s="1"/>
  <c r="GE103" i="8" s="1"/>
  <c r="GC102" i="8"/>
  <c r="GE102" i="8" s="1"/>
  <c r="GN97" i="8"/>
  <c r="GJ97" i="8"/>
  <c r="GL97" i="8"/>
  <c r="EO37" i="8"/>
  <c r="EP37" i="8"/>
  <c r="GG101" i="8"/>
  <c r="FS102" i="8"/>
  <c r="GJ102" i="8"/>
  <c r="GH103" i="8"/>
  <c r="GL102" i="8"/>
  <c r="GN102" i="8"/>
  <c r="CR94" i="8"/>
  <c r="EN37" i="8"/>
  <c r="FU102" i="8"/>
  <c r="GI101" i="8"/>
  <c r="EL37" i="8"/>
  <c r="GP90" i="8"/>
  <c r="FK70" i="8"/>
  <c r="GN99" i="8"/>
  <c r="GJ99" i="8"/>
  <c r="GL99" i="8"/>
  <c r="DZ84" i="8"/>
  <c r="EJ38" i="8" s="1"/>
  <c r="GD106" i="8" s="1"/>
  <c r="DZ83" i="8"/>
  <c r="EH38" i="8" s="1"/>
  <c r="GB106" i="8" s="1"/>
  <c r="DZ82" i="8"/>
  <c r="EF38" i="8" s="1"/>
  <c r="FZ106" i="8" s="1"/>
  <c r="EM37" i="8"/>
  <c r="GF112" i="8"/>
  <c r="FI35" i="8"/>
  <c r="FH35" i="8"/>
  <c r="FK35" i="8"/>
  <c r="GP93" i="8" s="1"/>
  <c r="FJ35" i="8"/>
  <c r="GO93" i="8" s="1"/>
  <c r="FF35" i="8"/>
  <c r="FN35" i="8"/>
  <c r="GS93" i="8" s="1"/>
  <c r="FE35" i="8"/>
  <c r="DX82" i="8"/>
  <c r="EE38" i="8" s="1"/>
  <c r="FZ105" i="8" s="1"/>
  <c r="DX83" i="8"/>
  <c r="EG38" i="8" s="1"/>
  <c r="GB105" i="8" s="1"/>
  <c r="DX84" i="8"/>
  <c r="EI38" i="8" s="1"/>
  <c r="GD105" i="8" s="1"/>
  <c r="GA101" i="8"/>
  <c r="GC101" i="8" s="1"/>
  <c r="GE101" i="8" s="1"/>
  <c r="GC100" i="8"/>
  <c r="GE100" i="8" s="1"/>
  <c r="GK101" i="8"/>
  <c r="FW102" i="8"/>
  <c r="GK102" i="8" s="1"/>
  <c r="EK37" i="8"/>
  <c r="DB87" i="8"/>
  <c r="ED39" i="8" s="1"/>
  <c r="FW109" i="8" s="1"/>
  <c r="DB86" i="8"/>
  <c r="EC39" i="8" s="1"/>
  <c r="FU109" i="8" s="1"/>
  <c r="DB85" i="8"/>
  <c r="EB39" i="8" s="1"/>
  <c r="FS109" i="8" s="1"/>
  <c r="FT114" i="8" l="1"/>
  <c r="FT112" i="8"/>
  <c r="FL70" i="8"/>
  <c r="FP72" i="8"/>
  <c r="FM70" i="8"/>
  <c r="FF36" i="8"/>
  <c r="FE36" i="8"/>
  <c r="FO72" i="8"/>
  <c r="FI36" i="8"/>
  <c r="FJ36" i="8"/>
  <c r="GO97" i="8" s="1"/>
  <c r="GO98" i="8" s="1"/>
  <c r="FH36" i="8"/>
  <c r="FK36" i="8"/>
  <c r="GP97" i="8" s="1"/>
  <c r="GP98" i="8" s="1"/>
  <c r="EM38" i="8"/>
  <c r="DU92" i="8"/>
  <c r="DT92" i="8"/>
  <c r="DV91" i="8"/>
  <c r="DU91" i="8"/>
  <c r="DV93" i="8"/>
  <c r="DT93" i="8"/>
  <c r="DT91" i="8"/>
  <c r="DB91" i="8" a="1"/>
  <c r="DV92" i="8"/>
  <c r="DU93" i="8"/>
  <c r="FS110" i="8"/>
  <c r="FW110" i="8"/>
  <c r="EK38" i="8"/>
  <c r="GG105" i="8"/>
  <c r="FJ71" i="8"/>
  <c r="GO94" i="8"/>
  <c r="EL38" i="8"/>
  <c r="GI102" i="8"/>
  <c r="GA107" i="8"/>
  <c r="GC107" i="8" s="1"/>
  <c r="GE107" i="8" s="1"/>
  <c r="GC106" i="8"/>
  <c r="GE106" i="8" s="1"/>
  <c r="GF116" i="8"/>
  <c r="GL103" i="8"/>
  <c r="GN103" i="8"/>
  <c r="GJ103" i="8"/>
  <c r="GG106" i="8"/>
  <c r="FM35" i="8"/>
  <c r="GR93" i="8" s="1"/>
  <c r="EN38" i="8"/>
  <c r="EQ37" i="8"/>
  <c r="CR97" i="8"/>
  <c r="GJ104" i="8"/>
  <c r="GL104" i="8"/>
  <c r="GN104" i="8"/>
  <c r="GH105" i="8"/>
  <c r="GJ106" i="8"/>
  <c r="GL106" i="8"/>
  <c r="GH107" i="8"/>
  <c r="GN106" i="8"/>
  <c r="DB89" i="8"/>
  <c r="EC40" i="8" s="1"/>
  <c r="FU113" i="8" s="1"/>
  <c r="DB88" i="8"/>
  <c r="EB40" i="8" s="1"/>
  <c r="FS113" i="8" s="1"/>
  <c r="DB90" i="8"/>
  <c r="ED40" i="8" s="1"/>
  <c r="FW113" i="8" s="1"/>
  <c r="GP94" i="8"/>
  <c r="FK71" i="8"/>
  <c r="GA108" i="8"/>
  <c r="GH108" i="8"/>
  <c r="FT109" i="8"/>
  <c r="FV109" i="8" s="1"/>
  <c r="FX109" i="8" s="1"/>
  <c r="FV108" i="8"/>
  <c r="FX108" i="8" s="1"/>
  <c r="EP38" i="8"/>
  <c r="GK106" i="8"/>
  <c r="GI105" i="8"/>
  <c r="FU106" i="8"/>
  <c r="ER37" i="8"/>
  <c r="FO37" i="8" s="1"/>
  <c r="GT101" i="8" s="1"/>
  <c r="GG102" i="8"/>
  <c r="GC104" i="8"/>
  <c r="GE104" i="8" s="1"/>
  <c r="GA105" i="8"/>
  <c r="GC105" i="8" s="1"/>
  <c r="GE105" i="8" s="1"/>
  <c r="DX88" i="8" a="1"/>
  <c r="DZ88" i="8" a="1"/>
  <c r="EO38" i="8"/>
  <c r="GK105" i="8"/>
  <c r="FN72" i="8"/>
  <c r="GS98" i="8"/>
  <c r="FN71" i="8"/>
  <c r="GS94" i="8"/>
  <c r="DZ87" i="8"/>
  <c r="EJ39" i="8" s="1"/>
  <c r="GD110" i="8" s="1"/>
  <c r="DZ85" i="8"/>
  <c r="EF39" i="8" s="1"/>
  <c r="FZ110" i="8" s="1"/>
  <c r="DZ86" i="8"/>
  <c r="EH39" i="8" s="1"/>
  <c r="GB110" i="8" s="1"/>
  <c r="FU110" i="8"/>
  <c r="FL35" i="8"/>
  <c r="GQ93" i="8" s="1"/>
  <c r="FT111" i="8"/>
  <c r="FV111" i="8" s="1"/>
  <c r="FX111" i="8" s="1"/>
  <c r="FV110" i="8"/>
  <c r="FX110" i="8" s="1"/>
  <c r="GA110" i="8"/>
  <c r="GH110" i="8"/>
  <c r="ES37" i="8"/>
  <c r="FP37" i="8" s="1"/>
  <c r="GU101" i="8" s="1"/>
  <c r="DX85" i="8"/>
  <c r="EE39" i="8" s="1"/>
  <c r="DX86" i="8"/>
  <c r="EG39" i="8" s="1"/>
  <c r="GB109" i="8" s="1"/>
  <c r="DX87" i="8"/>
  <c r="EI39" i="8" s="1"/>
  <c r="GD109" i="8" s="1"/>
  <c r="GL101" i="8"/>
  <c r="GN101" i="8"/>
  <c r="GJ101" i="8"/>
  <c r="FT118" i="8" l="1"/>
  <c r="FT116" i="8"/>
  <c r="FM36" i="8"/>
  <c r="FM72" i="8" s="1"/>
  <c r="FL36" i="8"/>
  <c r="FL72" i="8" s="1"/>
  <c r="FJ72" i="8"/>
  <c r="FK72" i="8"/>
  <c r="EQ38" i="8"/>
  <c r="FN38" i="8" s="1"/>
  <c r="GS105" i="8" s="1"/>
  <c r="FZ109" i="8"/>
  <c r="GG109" i="8" s="1"/>
  <c r="GI106" i="8"/>
  <c r="ER38" i="8"/>
  <c r="FO38" i="8" s="1"/>
  <c r="GT105" i="8" s="1"/>
  <c r="GT106" i="8" s="1"/>
  <c r="DU95" i="8"/>
  <c r="DT96" i="8"/>
  <c r="DT95" i="8"/>
  <c r="DV95" i="8"/>
  <c r="DV94" i="8"/>
  <c r="DU94" i="8"/>
  <c r="DV96" i="8"/>
  <c r="DT94" i="8"/>
  <c r="DB94" i="8" a="1"/>
  <c r="DU96" i="8"/>
  <c r="FS114" i="8"/>
  <c r="FU114" i="8"/>
  <c r="FW114" i="8"/>
  <c r="EP39" i="8"/>
  <c r="GK110" i="8"/>
  <c r="FO73" i="8"/>
  <c r="GT102" i="8"/>
  <c r="GA109" i="8"/>
  <c r="GC109" i="8" s="1"/>
  <c r="GE109" i="8" s="1"/>
  <c r="GC108" i="8"/>
  <c r="GE108" i="8" s="1"/>
  <c r="DB91" i="8"/>
  <c r="EB41" i="8" s="1"/>
  <c r="FS117" i="8" s="1"/>
  <c r="DB92" i="8"/>
  <c r="EC41" i="8" s="1"/>
  <c r="FU117" i="8" s="1"/>
  <c r="DB93" i="8"/>
  <c r="ED41" i="8" s="1"/>
  <c r="FW117" i="8" s="1"/>
  <c r="GJ107" i="8"/>
  <c r="GL107" i="8"/>
  <c r="GN107" i="8"/>
  <c r="DX91" i="8" a="1"/>
  <c r="DZ91" i="8" a="1"/>
  <c r="GA111" i="8"/>
  <c r="GC111" i="8" s="1"/>
  <c r="GE111" i="8" s="1"/>
  <c r="GC110" i="8"/>
  <c r="GE110" i="8" s="1"/>
  <c r="DZ89" i="8"/>
  <c r="EH40" i="8" s="1"/>
  <c r="GB114" i="8" s="1"/>
  <c r="DZ88" i="8"/>
  <c r="EF40" i="8" s="1"/>
  <c r="FZ114" i="8" s="1"/>
  <c r="DZ90" i="8"/>
  <c r="EJ40" i="8" s="1"/>
  <c r="GD114" i="8" s="1"/>
  <c r="FK37" i="8"/>
  <c r="GP101" i="8" s="1"/>
  <c r="FH37" i="8"/>
  <c r="FJ37" i="8"/>
  <c r="GO101" i="8" s="1"/>
  <c r="FI37" i="8"/>
  <c r="FF37" i="8"/>
  <c r="FN37" i="8"/>
  <c r="GS101" i="8" s="1"/>
  <c r="FE37" i="8"/>
  <c r="EO39" i="8"/>
  <c r="GK109" i="8"/>
  <c r="GQ94" i="8"/>
  <c r="FL71" i="8"/>
  <c r="DX89" i="8"/>
  <c r="EG40" i="8" s="1"/>
  <c r="DX90" i="8"/>
  <c r="EI40" i="8" s="1"/>
  <c r="GD113" i="8" s="1"/>
  <c r="DX88" i="8"/>
  <c r="EE40" i="8" s="1"/>
  <c r="FZ113" i="8" s="1"/>
  <c r="CR100" i="8"/>
  <c r="EM39" i="8"/>
  <c r="GI109" i="8"/>
  <c r="GL105" i="8"/>
  <c r="GN105" i="8"/>
  <c r="GJ105" i="8"/>
  <c r="GR94" i="8"/>
  <c r="FM71" i="8"/>
  <c r="GF120" i="8"/>
  <c r="FP73" i="8"/>
  <c r="GU102" i="8"/>
  <c r="EN39" i="8"/>
  <c r="GI110" i="8"/>
  <c r="ES38" i="8"/>
  <c r="FP38" i="8" s="1"/>
  <c r="GU105" i="8" s="1"/>
  <c r="GL110" i="8"/>
  <c r="GN110" i="8"/>
  <c r="GH111" i="8"/>
  <c r="GJ110" i="8"/>
  <c r="EL39" i="8"/>
  <c r="GG110" i="8"/>
  <c r="EK39" i="8"/>
  <c r="GJ108" i="8"/>
  <c r="GL108" i="8"/>
  <c r="GN108" i="8"/>
  <c r="GH109" i="8"/>
  <c r="FV112" i="8"/>
  <c r="FX112" i="8" s="1"/>
  <c r="GH112" i="8"/>
  <c r="FT113" i="8"/>
  <c r="FV113" i="8" s="1"/>
  <c r="FX113" i="8" s="1"/>
  <c r="GA112" i="8"/>
  <c r="GA114" i="8"/>
  <c r="FT115" i="8"/>
  <c r="FV115" i="8" s="1"/>
  <c r="FX115" i="8" s="1"/>
  <c r="GH114" i="8"/>
  <c r="FV114" i="8"/>
  <c r="FX114" i="8" s="1"/>
  <c r="FT122" i="8" l="1"/>
  <c r="FT120" i="8"/>
  <c r="GR97" i="8"/>
  <c r="GR98" i="8" s="1"/>
  <c r="FO74" i="8"/>
  <c r="GQ97" i="8"/>
  <c r="GQ98" i="8" s="1"/>
  <c r="GB113" i="8"/>
  <c r="GI113" i="8" s="1"/>
  <c r="FI38" i="8"/>
  <c r="FF38" i="8"/>
  <c r="FL37" i="8"/>
  <c r="GQ101" i="8" s="1"/>
  <c r="GQ102" i="8" s="1"/>
  <c r="EQ39" i="8"/>
  <c r="FN39" i="8" s="1"/>
  <c r="GS109" i="8" s="1"/>
  <c r="ES39" i="8"/>
  <c r="FP39" i="8" s="1"/>
  <c r="EM40" i="8"/>
  <c r="DV99" i="8"/>
  <c r="DT97" i="8"/>
  <c r="DB97" i="8" a="1"/>
  <c r="DU99" i="8"/>
  <c r="DT99" i="8"/>
  <c r="DV98" i="8"/>
  <c r="DV97" i="8"/>
  <c r="DU98" i="8"/>
  <c r="DU97" i="8"/>
  <c r="DT98" i="8"/>
  <c r="GC114" i="8"/>
  <c r="GE114" i="8" s="1"/>
  <c r="GA115" i="8"/>
  <c r="GC115" i="8" s="1"/>
  <c r="GE115" i="8" s="1"/>
  <c r="GF124" i="8"/>
  <c r="CR103" i="8"/>
  <c r="EK40" i="8"/>
  <c r="GG113" i="8"/>
  <c r="GS102" i="8"/>
  <c r="FN73" i="8"/>
  <c r="EN40" i="8"/>
  <c r="FH38" i="8"/>
  <c r="DX94" i="8" a="1"/>
  <c r="DZ94" i="8" a="1"/>
  <c r="GU106" i="8"/>
  <c r="FP74" i="8"/>
  <c r="FW118" i="8"/>
  <c r="EO40" i="8"/>
  <c r="GK113" i="8"/>
  <c r="FN74" i="8"/>
  <c r="GS106" i="8"/>
  <c r="GA113" i="8"/>
  <c r="GC113" i="8" s="1"/>
  <c r="GE113" i="8" s="1"/>
  <c r="GC112" i="8"/>
  <c r="GE112" i="8" s="1"/>
  <c r="FM37" i="8"/>
  <c r="GR101" i="8" s="1"/>
  <c r="GI114" i="8"/>
  <c r="GL112" i="8"/>
  <c r="GH113" i="8"/>
  <c r="GN112" i="8"/>
  <c r="GJ112" i="8"/>
  <c r="FU118" i="8"/>
  <c r="FJ73" i="8"/>
  <c r="GO102" i="8"/>
  <c r="DZ93" i="8"/>
  <c r="EJ41" i="8" s="1"/>
  <c r="GD118" i="8" s="1"/>
  <c r="DZ91" i="8"/>
  <c r="EF41" i="8" s="1"/>
  <c r="FZ118" i="8" s="1"/>
  <c r="DZ92" i="8"/>
  <c r="EH41" i="8" s="1"/>
  <c r="GB118" i="8" s="1"/>
  <c r="ER39" i="8"/>
  <c r="DX93" i="8"/>
  <c r="EI41" i="8" s="1"/>
  <c r="GD117" i="8" s="1"/>
  <c r="DX91" i="8"/>
  <c r="EE41" i="8" s="1"/>
  <c r="FZ117" i="8" s="1"/>
  <c r="DX92" i="8"/>
  <c r="EG41" i="8" s="1"/>
  <c r="GP102" i="8"/>
  <c r="FK73" i="8"/>
  <c r="FK38" i="8"/>
  <c r="GP105" i="8" s="1"/>
  <c r="GJ114" i="8"/>
  <c r="GL114" i="8"/>
  <c r="GN114" i="8"/>
  <c r="GH115" i="8"/>
  <c r="GL109" i="8"/>
  <c r="GN109" i="8"/>
  <c r="GJ109" i="8"/>
  <c r="GJ111" i="8"/>
  <c r="GN111" i="8"/>
  <c r="GL111" i="8"/>
  <c r="GH116" i="8"/>
  <c r="GA116" i="8"/>
  <c r="FT117" i="8"/>
  <c r="FV117" i="8" s="1"/>
  <c r="FX117" i="8" s="1"/>
  <c r="FV116" i="8"/>
  <c r="FX116" i="8" s="1"/>
  <c r="EP40" i="8"/>
  <c r="GK114" i="8"/>
  <c r="FE38" i="8"/>
  <c r="FV118" i="8"/>
  <c r="FX118" i="8" s="1"/>
  <c r="GH118" i="8"/>
  <c r="FT119" i="8"/>
  <c r="FV119" i="8" s="1"/>
  <c r="FX119" i="8" s="1"/>
  <c r="GA118" i="8"/>
  <c r="FS118" i="8"/>
  <c r="EL40" i="8"/>
  <c r="GG114" i="8"/>
  <c r="FJ38" i="8"/>
  <c r="GO105" i="8" s="1"/>
  <c r="DB95" i="8"/>
  <c r="EC42" i="8" s="1"/>
  <c r="FU121" i="8" s="1"/>
  <c r="DB96" i="8"/>
  <c r="ED42" i="8" s="1"/>
  <c r="FW121" i="8" s="1"/>
  <c r="DB94" i="8"/>
  <c r="EB42" i="8" s="1"/>
  <c r="FS121" i="8" s="1"/>
  <c r="FT126" i="8" l="1"/>
  <c r="FT124" i="8"/>
  <c r="FM38" i="8"/>
  <c r="GR105" i="8" s="1"/>
  <c r="GR106" i="8" s="1"/>
  <c r="EP41" i="8"/>
  <c r="FI39" i="8"/>
  <c r="FL38" i="8"/>
  <c r="GQ105" i="8" s="1"/>
  <c r="GQ106" i="8" s="1"/>
  <c r="FL73" i="8"/>
  <c r="ER40" i="8"/>
  <c r="FO40" i="8" s="1"/>
  <c r="GT113" i="8" s="1"/>
  <c r="GT114" i="8" s="1"/>
  <c r="FP75" i="8"/>
  <c r="GU109" i="8"/>
  <c r="GU110" i="8" s="1"/>
  <c r="GB117" i="8"/>
  <c r="GI117" i="8" s="1"/>
  <c r="FK39" i="8"/>
  <c r="FF39" i="8"/>
  <c r="FH39" i="8"/>
  <c r="FE39" i="8"/>
  <c r="DT100" i="8"/>
  <c r="DB100" i="8" a="1"/>
  <c r="DT102" i="8"/>
  <c r="DV101" i="8"/>
  <c r="DU101" i="8"/>
  <c r="DT101" i="8"/>
  <c r="DV100" i="8"/>
  <c r="DV102" i="8"/>
  <c r="DU102" i="8"/>
  <c r="DU100" i="8"/>
  <c r="FS122" i="8"/>
  <c r="FU122" i="8"/>
  <c r="FW122" i="8"/>
  <c r="FJ74" i="8"/>
  <c r="GO106" i="8"/>
  <c r="GC116" i="8"/>
  <c r="GE116" i="8" s="1"/>
  <c r="GA117" i="8"/>
  <c r="GC117" i="8" s="1"/>
  <c r="GE117" i="8" s="1"/>
  <c r="GL115" i="8"/>
  <c r="GN115" i="8"/>
  <c r="GJ115" i="8"/>
  <c r="EO41" i="8"/>
  <c r="GK117" i="8"/>
  <c r="GK118" i="8"/>
  <c r="GJ116" i="8"/>
  <c r="GL116" i="8"/>
  <c r="GN116" i="8"/>
  <c r="GH117" i="8"/>
  <c r="FJ39" i="8"/>
  <c r="GO109" i="8" s="1"/>
  <c r="FO39" i="8"/>
  <c r="GT109" i="8" s="1"/>
  <c r="FT121" i="8"/>
  <c r="FV121" i="8" s="1"/>
  <c r="FX121" i="8" s="1"/>
  <c r="FV120" i="8"/>
  <c r="FX120" i="8" s="1"/>
  <c r="GH120" i="8"/>
  <c r="GA120" i="8"/>
  <c r="FN75" i="8"/>
  <c r="GS110" i="8"/>
  <c r="EN41" i="8"/>
  <c r="GI118" i="8"/>
  <c r="GG118" i="8"/>
  <c r="EL41" i="8"/>
  <c r="GN113" i="8"/>
  <c r="GJ113" i="8"/>
  <c r="GL113" i="8"/>
  <c r="DZ95" i="8"/>
  <c r="EH42" i="8" s="1"/>
  <c r="GB122" i="8" s="1"/>
  <c r="DZ94" i="8"/>
  <c r="EF42" i="8" s="1"/>
  <c r="FZ122" i="8" s="1"/>
  <c r="DZ96" i="8"/>
  <c r="EJ42" i="8" s="1"/>
  <c r="GD122" i="8" s="1"/>
  <c r="GP106" i="8"/>
  <c r="FK74" i="8"/>
  <c r="DX96" i="8"/>
  <c r="EI42" i="8" s="1"/>
  <c r="DX95" i="8"/>
  <c r="EG42" i="8" s="1"/>
  <c r="GB121" i="8" s="1"/>
  <c r="DX94" i="8"/>
  <c r="EE42" i="8" s="1"/>
  <c r="FZ121" i="8" s="1"/>
  <c r="EQ40" i="8"/>
  <c r="FT123" i="8"/>
  <c r="FV123" i="8" s="1"/>
  <c r="FX123" i="8" s="1"/>
  <c r="FV122" i="8"/>
  <c r="FX122" i="8" s="1"/>
  <c r="GA122" i="8"/>
  <c r="GH122" i="8"/>
  <c r="DB97" i="8"/>
  <c r="EB43" i="8" s="1"/>
  <c r="FS125" i="8" s="1"/>
  <c r="DB98" i="8"/>
  <c r="EC43" i="8" s="1"/>
  <c r="FU125" i="8" s="1"/>
  <c r="DB99" i="8"/>
  <c r="ED43" i="8" s="1"/>
  <c r="FW125" i="8" s="1"/>
  <c r="FM73" i="8"/>
  <c r="GR102" i="8"/>
  <c r="EM41" i="8"/>
  <c r="CR106" i="8"/>
  <c r="DZ97" i="8" a="1"/>
  <c r="DX97" i="8" a="1"/>
  <c r="GA119" i="8"/>
  <c r="GC119" i="8" s="1"/>
  <c r="GE119" i="8" s="1"/>
  <c r="GC118" i="8"/>
  <c r="GE118" i="8" s="1"/>
  <c r="GN118" i="8"/>
  <c r="GJ118" i="8"/>
  <c r="GL118" i="8"/>
  <c r="GH119" i="8"/>
  <c r="EK41" i="8"/>
  <c r="GG117" i="8"/>
  <c r="ES40" i="8"/>
  <c r="FP40" i="8" s="1"/>
  <c r="GU113" i="8" s="1"/>
  <c r="FM74" i="8"/>
  <c r="GF128" i="8"/>
  <c r="ES41" i="8" l="1"/>
  <c r="FP41" i="8" s="1"/>
  <c r="GU117" i="8" s="1"/>
  <c r="GU118" i="8" s="1"/>
  <c r="FT130" i="8"/>
  <c r="FT128" i="8"/>
  <c r="FM39" i="8"/>
  <c r="GR109" i="8" s="1"/>
  <c r="GR110" i="8" s="1"/>
  <c r="FL74" i="8"/>
  <c r="FO76" i="8"/>
  <c r="GD121" i="8"/>
  <c r="GK121" i="8" s="1"/>
  <c r="GP109" i="8"/>
  <c r="GP110" i="8" s="1"/>
  <c r="FL39" i="8"/>
  <c r="GQ109" i="8" s="1"/>
  <c r="GQ110" i="8" s="1"/>
  <c r="EQ41" i="8"/>
  <c r="FN41" i="8" s="1"/>
  <c r="GS117" i="8" s="1"/>
  <c r="FK75" i="8"/>
  <c r="EL42" i="8"/>
  <c r="DU103" i="8"/>
  <c r="DV105" i="8"/>
  <c r="DT105" i="8"/>
  <c r="DT103" i="8"/>
  <c r="DB103" i="8" a="1"/>
  <c r="DV104" i="8"/>
  <c r="DU105" i="8"/>
  <c r="DU104" i="8"/>
  <c r="DT104" i="8"/>
  <c r="DV103" i="8"/>
  <c r="DX97" i="8"/>
  <c r="EE43" i="8" s="1"/>
  <c r="DX98" i="8"/>
  <c r="EG43" i="8" s="1"/>
  <c r="DX99" i="8"/>
  <c r="EI43" i="8" s="1"/>
  <c r="GD125" i="8" s="1"/>
  <c r="EK42" i="8"/>
  <c r="GG121" i="8"/>
  <c r="EN42" i="8"/>
  <c r="GI122" i="8"/>
  <c r="DZ97" i="8"/>
  <c r="EF43" i="8" s="1"/>
  <c r="FZ126" i="8" s="1"/>
  <c r="DZ99" i="8"/>
  <c r="EJ43" i="8" s="1"/>
  <c r="GD126" i="8" s="1"/>
  <c r="DZ98" i="8"/>
  <c r="EH43" i="8" s="1"/>
  <c r="GB126" i="8" s="1"/>
  <c r="EM42" i="8"/>
  <c r="GI121" i="8"/>
  <c r="ER41" i="8"/>
  <c r="FO41" i="8" s="1"/>
  <c r="GT117" i="8" s="1"/>
  <c r="GL119" i="8"/>
  <c r="GN119" i="8"/>
  <c r="GJ119" i="8"/>
  <c r="FT127" i="8"/>
  <c r="FV127" i="8" s="1"/>
  <c r="FX127" i="8" s="1"/>
  <c r="GA126" i="8"/>
  <c r="FV126" i="8"/>
  <c r="FX126" i="8" s="1"/>
  <c r="GH126" i="8"/>
  <c r="GL122" i="8"/>
  <c r="GH123" i="8"/>
  <c r="GN122" i="8"/>
  <c r="GJ122" i="8"/>
  <c r="GT110" i="8"/>
  <c r="FO75" i="8"/>
  <c r="GH124" i="8"/>
  <c r="FV124" i="8"/>
  <c r="FX124" i="8" s="1"/>
  <c r="GA124" i="8"/>
  <c r="FT125" i="8"/>
  <c r="FV125" i="8" s="1"/>
  <c r="FX125" i="8" s="1"/>
  <c r="GF132" i="8"/>
  <c r="GA123" i="8"/>
  <c r="GC123" i="8" s="1"/>
  <c r="GE123" i="8" s="1"/>
  <c r="GC122" i="8"/>
  <c r="GE122" i="8" s="1"/>
  <c r="FJ75" i="8"/>
  <c r="GO110" i="8"/>
  <c r="FW126" i="8"/>
  <c r="GA121" i="8"/>
  <c r="GC121" i="8" s="1"/>
  <c r="GE121" i="8" s="1"/>
  <c r="GC120" i="8"/>
  <c r="GE120" i="8" s="1"/>
  <c r="GL117" i="8"/>
  <c r="GN117" i="8"/>
  <c r="GJ117" i="8"/>
  <c r="GG122" i="8"/>
  <c r="EP42" i="8"/>
  <c r="GK122" i="8"/>
  <c r="GL120" i="8"/>
  <c r="GN120" i="8"/>
  <c r="GH121" i="8"/>
  <c r="GJ120" i="8"/>
  <c r="DB102" i="8"/>
  <c r="ED44" i="8" s="1"/>
  <c r="FW129" i="8" s="1"/>
  <c r="DB101" i="8"/>
  <c r="EC44" i="8" s="1"/>
  <c r="FU129" i="8" s="1"/>
  <c r="DB100" i="8"/>
  <c r="EB44" i="8" s="1"/>
  <c r="FS129" i="8" s="1"/>
  <c r="FS126" i="8"/>
  <c r="FU126" i="8"/>
  <c r="GU114" i="8"/>
  <c r="FP76" i="8"/>
  <c r="CR109" i="8"/>
  <c r="EO42" i="8"/>
  <c r="FH40" i="8"/>
  <c r="FE40" i="8"/>
  <c r="FI40" i="8"/>
  <c r="FK40" i="8"/>
  <c r="GP113" i="8" s="1"/>
  <c r="FN40" i="8"/>
  <c r="GS113" i="8" s="1"/>
  <c r="FJ40" i="8"/>
  <c r="GO113" i="8" s="1"/>
  <c r="FF40" i="8"/>
  <c r="DX100" i="8" a="1"/>
  <c r="DZ100" i="8" a="1"/>
  <c r="FP77" i="8" l="1"/>
  <c r="FT132" i="8"/>
  <c r="FT134" i="8"/>
  <c r="FM75" i="8"/>
  <c r="FL75" i="8"/>
  <c r="GB125" i="8"/>
  <c r="GI125" i="8" s="1"/>
  <c r="FZ125" i="8"/>
  <c r="GG125" i="8" s="1"/>
  <c r="FE41" i="8"/>
  <c r="FF41" i="8"/>
  <c r="ER42" i="8"/>
  <c r="FO42" i="8" s="1"/>
  <c r="EQ42" i="8"/>
  <c r="FN42" i="8" s="1"/>
  <c r="GS121" i="8" s="1"/>
  <c r="FK41" i="8"/>
  <c r="EM43" i="8"/>
  <c r="ES42" i="8"/>
  <c r="FP42" i="8" s="1"/>
  <c r="FH41" i="8"/>
  <c r="FI41" i="8"/>
  <c r="FJ41" i="8"/>
  <c r="GO117" i="8" s="1"/>
  <c r="GO118" i="8" s="1"/>
  <c r="FL40" i="8"/>
  <c r="FM40" i="8"/>
  <c r="GR113" i="8" s="1"/>
  <c r="GR114" i="8" s="1"/>
  <c r="DU107" i="8"/>
  <c r="DT108" i="8"/>
  <c r="DT107" i="8"/>
  <c r="DV107" i="8"/>
  <c r="DV106" i="8"/>
  <c r="DU106" i="8"/>
  <c r="DV108" i="8"/>
  <c r="DT106" i="8"/>
  <c r="DB106" i="8" a="1"/>
  <c r="DU108" i="8"/>
  <c r="GN126" i="8"/>
  <c r="GJ126" i="8"/>
  <c r="GL126" i="8"/>
  <c r="GH127" i="8"/>
  <c r="FW130" i="8"/>
  <c r="FN76" i="8"/>
  <c r="GS114" i="8"/>
  <c r="GF136" i="8"/>
  <c r="GA127" i="8"/>
  <c r="GC127" i="8" s="1"/>
  <c r="GE127" i="8" s="1"/>
  <c r="GC126" i="8"/>
  <c r="GE126" i="8" s="1"/>
  <c r="GS118" i="8"/>
  <c r="FN77" i="8"/>
  <c r="GP114" i="8"/>
  <c r="FK76" i="8"/>
  <c r="EN43" i="8"/>
  <c r="GI126" i="8"/>
  <c r="EO43" i="8"/>
  <c r="GK125" i="8"/>
  <c r="DB105" i="8"/>
  <c r="ED45" i="8" s="1"/>
  <c r="FW133" i="8" s="1"/>
  <c r="DB104" i="8"/>
  <c r="EC45" i="8" s="1"/>
  <c r="FU133" i="8" s="1"/>
  <c r="DB103" i="8"/>
  <c r="EB45" i="8" s="1"/>
  <c r="FS133" i="8" s="1"/>
  <c r="DZ102" i="8"/>
  <c r="EJ44" i="8" s="1"/>
  <c r="GD130" i="8" s="1"/>
  <c r="DZ101" i="8"/>
  <c r="EH44" i="8" s="1"/>
  <c r="GB130" i="8" s="1"/>
  <c r="DZ100" i="8"/>
  <c r="EF44" i="8" s="1"/>
  <c r="FZ130" i="8" s="1"/>
  <c r="GC124" i="8"/>
  <c r="GE124" i="8" s="1"/>
  <c r="GA125" i="8"/>
  <c r="GC125" i="8" s="1"/>
  <c r="GE125" i="8" s="1"/>
  <c r="EP43" i="8"/>
  <c r="GK126" i="8"/>
  <c r="DZ103" i="8" a="1"/>
  <c r="DX103" i="8" a="1"/>
  <c r="GA128" i="8"/>
  <c r="FT129" i="8"/>
  <c r="FV129" i="8" s="1"/>
  <c r="FX129" i="8" s="1"/>
  <c r="FV128" i="8"/>
  <c r="FX128" i="8" s="1"/>
  <c r="GH128" i="8"/>
  <c r="EL43" i="8"/>
  <c r="GG126" i="8"/>
  <c r="FJ76" i="8"/>
  <c r="GO114" i="8"/>
  <c r="GJ121" i="8"/>
  <c r="GL121" i="8"/>
  <c r="GN121" i="8"/>
  <c r="GJ124" i="8"/>
  <c r="GL124" i="8"/>
  <c r="GN124" i="8"/>
  <c r="GH125" i="8"/>
  <c r="GN123" i="8"/>
  <c r="GJ123" i="8"/>
  <c r="GL123" i="8"/>
  <c r="FO77" i="8"/>
  <c r="GT118" i="8"/>
  <c r="CR112" i="8"/>
  <c r="DX101" i="8"/>
  <c r="EG44" i="8" s="1"/>
  <c r="GB129" i="8" s="1"/>
  <c r="DX102" i="8"/>
  <c r="EI44" i="8" s="1"/>
  <c r="GD129" i="8" s="1"/>
  <c r="DX100" i="8"/>
  <c r="EE44" i="8" s="1"/>
  <c r="FZ129" i="8" s="1"/>
  <c r="GA130" i="8"/>
  <c r="GH130" i="8"/>
  <c r="FT131" i="8"/>
  <c r="FV131" i="8" s="1"/>
  <c r="FX131" i="8" s="1"/>
  <c r="FV130" i="8"/>
  <c r="FX130" i="8" s="1"/>
  <c r="EK43" i="8"/>
  <c r="FT138" i="8" l="1"/>
  <c r="FT136" i="8"/>
  <c r="ER43" i="8"/>
  <c r="FO43" i="8" s="1"/>
  <c r="GT125" i="8" s="1"/>
  <c r="GT126" i="8" s="1"/>
  <c r="FJ77" i="8"/>
  <c r="FL76" i="8"/>
  <c r="GQ113" i="8"/>
  <c r="GQ114" i="8" s="1"/>
  <c r="FF42" i="8"/>
  <c r="GU121" i="8"/>
  <c r="GU122" i="8" s="1"/>
  <c r="FE42" i="8"/>
  <c r="FO78" i="8"/>
  <c r="GT121" i="8"/>
  <c r="GT122" i="8" s="1"/>
  <c r="FM76" i="8"/>
  <c r="FI42" i="8"/>
  <c r="GP117" i="8"/>
  <c r="GP118" i="8" s="1"/>
  <c r="FK77" i="8"/>
  <c r="FL41" i="8"/>
  <c r="FJ42" i="8"/>
  <c r="GO121" i="8" s="1"/>
  <c r="GO122" i="8" s="1"/>
  <c r="FP78" i="8"/>
  <c r="FK42" i="8"/>
  <c r="ES43" i="8"/>
  <c r="FP43" i="8" s="1"/>
  <c r="GU125" i="8" s="1"/>
  <c r="GU126" i="8" s="1"/>
  <c r="FH42" i="8"/>
  <c r="FM41" i="8"/>
  <c r="DT111" i="8"/>
  <c r="DV110" i="8"/>
  <c r="DU110" i="8"/>
  <c r="DV109" i="8"/>
  <c r="DT110" i="8"/>
  <c r="DU109" i="8"/>
  <c r="DV111" i="8"/>
  <c r="DT109" i="8"/>
  <c r="DB109" i="8" a="1"/>
  <c r="DU111" i="8"/>
  <c r="FU134" i="8"/>
  <c r="EO44" i="8"/>
  <c r="GK129" i="8"/>
  <c r="GL128" i="8"/>
  <c r="GH129" i="8"/>
  <c r="GN128" i="8"/>
  <c r="GJ128" i="8"/>
  <c r="DX106" i="8" a="1"/>
  <c r="DZ106" i="8" a="1"/>
  <c r="GL125" i="8"/>
  <c r="GJ125" i="8"/>
  <c r="GN125" i="8"/>
  <c r="CR115" i="8"/>
  <c r="GG129" i="8"/>
  <c r="FS130" i="8"/>
  <c r="GN130" i="8"/>
  <c r="GL130" i="8"/>
  <c r="GH131" i="8"/>
  <c r="GJ130" i="8"/>
  <c r="GA129" i="8"/>
  <c r="GC129" i="8" s="1"/>
  <c r="GE129" i="8" s="1"/>
  <c r="GC128" i="8"/>
  <c r="GE128" i="8" s="1"/>
  <c r="EL44" i="8"/>
  <c r="EM44" i="8"/>
  <c r="EK44" i="8"/>
  <c r="DX105" i="8"/>
  <c r="EI45" i="8" s="1"/>
  <c r="GD133" i="8" s="1"/>
  <c r="DX104" i="8"/>
  <c r="EG45" i="8" s="1"/>
  <c r="GB133" i="8" s="1"/>
  <c r="DX103" i="8"/>
  <c r="EE45" i="8" s="1"/>
  <c r="FZ133" i="8" s="1"/>
  <c r="EN44" i="8"/>
  <c r="FV134" i="8"/>
  <c r="FX134" i="8" s="1"/>
  <c r="GA134" i="8"/>
  <c r="GH134" i="8"/>
  <c r="FT135" i="8"/>
  <c r="FV135" i="8" s="1"/>
  <c r="FX135" i="8" s="1"/>
  <c r="GI129" i="8"/>
  <c r="FU130" i="8"/>
  <c r="GI130" i="8" s="1"/>
  <c r="EQ43" i="8"/>
  <c r="DZ105" i="8"/>
  <c r="EJ45" i="8" s="1"/>
  <c r="GD134" i="8" s="1"/>
  <c r="DZ104" i="8"/>
  <c r="EH45" i="8" s="1"/>
  <c r="GB134" i="8" s="1"/>
  <c r="DZ103" i="8"/>
  <c r="EF45" i="8" s="1"/>
  <c r="FZ134" i="8" s="1"/>
  <c r="EP44" i="8"/>
  <c r="GK130" i="8"/>
  <c r="GS122" i="8"/>
  <c r="FN78" i="8"/>
  <c r="GF140" i="8"/>
  <c r="GA131" i="8"/>
  <c r="GC131" i="8" s="1"/>
  <c r="GE131" i="8" s="1"/>
  <c r="GC130" i="8"/>
  <c r="GE130" i="8" s="1"/>
  <c r="GN127" i="8"/>
  <c r="GL127" i="8"/>
  <c r="GJ127" i="8"/>
  <c r="GH132" i="8"/>
  <c r="FV132" i="8"/>
  <c r="FX132" i="8" s="1"/>
  <c r="FT133" i="8"/>
  <c r="FV133" i="8" s="1"/>
  <c r="FX133" i="8" s="1"/>
  <c r="GA132" i="8"/>
  <c r="DB106" i="8"/>
  <c r="EB46" i="8" s="1"/>
  <c r="FS137" i="8" s="1"/>
  <c r="DB107" i="8"/>
  <c r="EC46" i="8" s="1"/>
  <c r="FU137" i="8" s="1"/>
  <c r="DB108" i="8"/>
  <c r="ED46" i="8" s="1"/>
  <c r="FW137" i="8" s="1"/>
  <c r="FT142" i="8" l="1"/>
  <c r="FT140" i="8"/>
  <c r="FM42" i="8"/>
  <c r="GR121" i="8" s="1"/>
  <c r="GR122" i="8" s="1"/>
  <c r="FO79" i="8"/>
  <c r="FL42" i="8"/>
  <c r="GQ121" i="8" s="1"/>
  <c r="GQ122" i="8" s="1"/>
  <c r="FP79" i="8"/>
  <c r="FL77" i="8"/>
  <c r="GQ117" i="8"/>
  <c r="GQ118" i="8" s="1"/>
  <c r="FJ78" i="8"/>
  <c r="GR117" i="8"/>
  <c r="GR118" i="8" s="1"/>
  <c r="FK78" i="8"/>
  <c r="GP121" i="8"/>
  <c r="GP122" i="8" s="1"/>
  <c r="EQ44" i="8"/>
  <c r="FN44" i="8" s="1"/>
  <c r="GS129" i="8" s="1"/>
  <c r="EN45" i="8"/>
  <c r="FM77" i="8"/>
  <c r="ER44" i="8"/>
  <c r="FO44" i="8" s="1"/>
  <c r="GT129" i="8" s="1"/>
  <c r="GT130" i="8" s="1"/>
  <c r="EL45" i="8"/>
  <c r="DV113" i="8"/>
  <c r="DU113" i="8"/>
  <c r="DT113" i="8"/>
  <c r="DV112" i="8"/>
  <c r="DV114" i="8"/>
  <c r="DU114" i="8"/>
  <c r="DU112" i="8"/>
  <c r="DT112" i="8"/>
  <c r="DB112" i="8" a="1"/>
  <c r="DT114" i="8"/>
  <c r="FU138" i="8"/>
  <c r="FS134" i="8"/>
  <c r="GG134" i="8" s="1"/>
  <c r="GF144" i="8"/>
  <c r="FI43" i="8"/>
  <c r="FE43" i="8"/>
  <c r="FK43" i="8"/>
  <c r="GP125" i="8" s="1"/>
  <c r="FF43" i="8"/>
  <c r="FJ43" i="8"/>
  <c r="GO125" i="8" s="1"/>
  <c r="FN43" i="8"/>
  <c r="GS125" i="8" s="1"/>
  <c r="FH43" i="8"/>
  <c r="GG130" i="8"/>
  <c r="GL129" i="8"/>
  <c r="GN129" i="8"/>
  <c r="GJ129" i="8"/>
  <c r="DX109" i="8" a="1"/>
  <c r="DZ109" i="8" a="1"/>
  <c r="GA133" i="8"/>
  <c r="GC133" i="8" s="1"/>
  <c r="GE133" i="8" s="1"/>
  <c r="GC132" i="8"/>
  <c r="GE132" i="8" s="1"/>
  <c r="EK45" i="8"/>
  <c r="GG133" i="8"/>
  <c r="DZ107" i="8"/>
  <c r="EH46" i="8" s="1"/>
  <c r="GB138" i="8" s="1"/>
  <c r="DZ108" i="8"/>
  <c r="EJ46" i="8" s="1"/>
  <c r="GD138" i="8" s="1"/>
  <c r="DZ106" i="8"/>
  <c r="EF46" i="8" s="1"/>
  <c r="FZ138" i="8" s="1"/>
  <c r="ES44" i="8"/>
  <c r="FP44" i="8" s="1"/>
  <c r="GU129" i="8" s="1"/>
  <c r="GH135" i="8"/>
  <c r="GJ134" i="8"/>
  <c r="GN134" i="8"/>
  <c r="GL134" i="8"/>
  <c r="EM45" i="8"/>
  <c r="GI133" i="8"/>
  <c r="CR118" i="8"/>
  <c r="DX106" i="8"/>
  <c r="EE46" i="8" s="1"/>
  <c r="FZ137" i="8" s="1"/>
  <c r="DX107" i="8"/>
  <c r="EG46" i="8" s="1"/>
  <c r="GB137" i="8" s="1"/>
  <c r="DX108" i="8"/>
  <c r="EI46" i="8" s="1"/>
  <c r="GD137" i="8" s="1"/>
  <c r="GC134" i="8"/>
  <c r="GE134" i="8" s="1"/>
  <c r="GA135" i="8"/>
  <c r="GC135" i="8" s="1"/>
  <c r="GE135" i="8" s="1"/>
  <c r="EO45" i="8"/>
  <c r="GK133" i="8"/>
  <c r="GN131" i="8"/>
  <c r="GJ131" i="8"/>
  <c r="GL131" i="8"/>
  <c r="EP45" i="8"/>
  <c r="GI134" i="8"/>
  <c r="GJ132" i="8"/>
  <c r="GL132" i="8"/>
  <c r="GN132" i="8"/>
  <c r="GH133" i="8"/>
  <c r="FT139" i="8"/>
  <c r="FV139" i="8" s="1"/>
  <c r="FX139" i="8" s="1"/>
  <c r="GH138" i="8"/>
  <c r="GA138" i="8"/>
  <c r="FV138" i="8"/>
  <c r="FX138" i="8" s="1"/>
  <c r="GH136" i="8"/>
  <c r="FT137" i="8"/>
  <c r="FV137" i="8" s="1"/>
  <c r="FX137" i="8" s="1"/>
  <c r="GA136" i="8"/>
  <c r="FV136" i="8"/>
  <c r="FX136" i="8" s="1"/>
  <c r="FW134" i="8"/>
  <c r="GK134" i="8" s="1"/>
  <c r="DB110" i="8"/>
  <c r="EC47" i="8" s="1"/>
  <c r="FU141" i="8" s="1"/>
  <c r="DB111" i="8"/>
  <c r="ED47" i="8" s="1"/>
  <c r="FW141" i="8" s="1"/>
  <c r="DB109" i="8"/>
  <c r="EB47" i="8" s="1"/>
  <c r="FS141" i="8" s="1"/>
  <c r="FT146" i="8" l="1"/>
  <c r="FT144" i="8"/>
  <c r="FM78" i="8"/>
  <c r="FL78" i="8"/>
  <c r="ER45" i="8"/>
  <c r="FO45" i="8" s="1"/>
  <c r="GT133" i="8" s="1"/>
  <c r="GT134" i="8" s="1"/>
  <c r="FO80" i="8"/>
  <c r="FI44" i="8"/>
  <c r="ES45" i="8"/>
  <c r="FP45" i="8" s="1"/>
  <c r="GU133" i="8" s="1"/>
  <c r="GU134" i="8" s="1"/>
  <c r="EQ45" i="8"/>
  <c r="FN45" i="8" s="1"/>
  <c r="GS133" i="8" s="1"/>
  <c r="FF44" i="8"/>
  <c r="FE44" i="8"/>
  <c r="FH44" i="8"/>
  <c r="FL43" i="8"/>
  <c r="GQ125" i="8" s="1"/>
  <c r="GQ126" i="8" s="1"/>
  <c r="FM43" i="8"/>
  <c r="GR125" i="8" s="1"/>
  <c r="GR126" i="8" s="1"/>
  <c r="DU115" i="8"/>
  <c r="DV117" i="8"/>
  <c r="DV116" i="8"/>
  <c r="DT115" i="8"/>
  <c r="DB115" i="8" a="1"/>
  <c r="DT117" i="8"/>
  <c r="DU117" i="8"/>
  <c r="DU116" i="8"/>
  <c r="DT116" i="8"/>
  <c r="DV115" i="8"/>
  <c r="FW142" i="8"/>
  <c r="FU142" i="8"/>
  <c r="EM46" i="8"/>
  <c r="GI137" i="8"/>
  <c r="DZ111" i="8"/>
  <c r="EJ47" i="8" s="1"/>
  <c r="GD142" i="8" s="1"/>
  <c r="DZ109" i="8"/>
  <c r="EF47" i="8" s="1"/>
  <c r="FZ142" i="8" s="1"/>
  <c r="DZ110" i="8"/>
  <c r="EH47" i="8" s="1"/>
  <c r="GB142" i="8" s="1"/>
  <c r="FJ79" i="8"/>
  <c r="GO126" i="8"/>
  <c r="DX112" i="8" a="1"/>
  <c r="DZ112" i="8" a="1"/>
  <c r="GL138" i="8"/>
  <c r="GN138" i="8"/>
  <c r="GJ138" i="8"/>
  <c r="GH139" i="8"/>
  <c r="EK46" i="8"/>
  <c r="GG137" i="8"/>
  <c r="GL135" i="8"/>
  <c r="GN135" i="8"/>
  <c r="GJ135" i="8"/>
  <c r="DX109" i="8"/>
  <c r="EE47" i="8" s="1"/>
  <c r="FZ141" i="8" s="1"/>
  <c r="DX111" i="8"/>
  <c r="EI47" i="8" s="1"/>
  <c r="GD141" i="8" s="1"/>
  <c r="DX110" i="8"/>
  <c r="EG47" i="8" s="1"/>
  <c r="GB141" i="8" s="1"/>
  <c r="GN133" i="8"/>
  <c r="GJ133" i="8"/>
  <c r="GL133" i="8"/>
  <c r="FW138" i="8"/>
  <c r="GK138" i="8" s="1"/>
  <c r="FN80" i="8"/>
  <c r="GS130" i="8"/>
  <c r="FK79" i="8"/>
  <c r="GP126" i="8"/>
  <c r="FV140" i="8"/>
  <c r="FX140" i="8" s="1"/>
  <c r="FT141" i="8"/>
  <c r="FV141" i="8" s="1"/>
  <c r="FX141" i="8" s="1"/>
  <c r="GH140" i="8"/>
  <c r="GA140" i="8"/>
  <c r="GC136" i="8"/>
  <c r="GE136" i="8" s="1"/>
  <c r="GA137" i="8"/>
  <c r="GC137" i="8" s="1"/>
  <c r="GE137" i="8" s="1"/>
  <c r="GU130" i="8"/>
  <c r="FP80" i="8"/>
  <c r="FK44" i="8"/>
  <c r="GP129" i="8" s="1"/>
  <c r="EP46" i="8"/>
  <c r="GN136" i="8"/>
  <c r="GL136" i="8"/>
  <c r="GJ136" i="8"/>
  <c r="GH137" i="8"/>
  <c r="FS138" i="8"/>
  <c r="GG138" i="8" s="1"/>
  <c r="FT143" i="8"/>
  <c r="FV143" i="8" s="1"/>
  <c r="FX143" i="8" s="1"/>
  <c r="FV142" i="8"/>
  <c r="FX142" i="8" s="1"/>
  <c r="GH142" i="8"/>
  <c r="GA142" i="8"/>
  <c r="EN46" i="8"/>
  <c r="GI138" i="8"/>
  <c r="EL46" i="8"/>
  <c r="GF148" i="8"/>
  <c r="GA139" i="8"/>
  <c r="GC139" i="8" s="1"/>
  <c r="GE139" i="8" s="1"/>
  <c r="GC138" i="8"/>
  <c r="GE138" i="8" s="1"/>
  <c r="EO46" i="8"/>
  <c r="GK137" i="8"/>
  <c r="FJ44" i="8"/>
  <c r="GO129" i="8" s="1"/>
  <c r="GS126" i="8"/>
  <c r="FN79" i="8"/>
  <c r="DB112" i="8"/>
  <c r="EB48" i="8" s="1"/>
  <c r="FS145" i="8" s="1"/>
  <c r="DB114" i="8"/>
  <c r="ED48" i="8" s="1"/>
  <c r="FW145" i="8" s="1"/>
  <c r="DB113" i="8"/>
  <c r="EC48" i="8" s="1"/>
  <c r="FU145" i="8" s="1"/>
  <c r="FT150" i="8" l="1"/>
  <c r="FT148" i="8"/>
  <c r="FM44" i="8"/>
  <c r="GR129" i="8" s="1"/>
  <c r="GR130" i="8" s="1"/>
  <c r="FL44" i="8"/>
  <c r="GQ129" i="8" s="1"/>
  <c r="GQ130" i="8" s="1"/>
  <c r="FP81" i="8"/>
  <c r="FO81" i="8"/>
  <c r="FH45" i="8"/>
  <c r="ES46" i="8"/>
  <c r="FP46" i="8" s="1"/>
  <c r="GU137" i="8" s="1"/>
  <c r="GU138" i="8" s="1"/>
  <c r="FE45" i="8"/>
  <c r="FF45" i="8"/>
  <c r="FK45" i="8"/>
  <c r="GP133" i="8" s="1"/>
  <c r="GP134" i="8" s="1"/>
  <c r="FJ45" i="8"/>
  <c r="GO133" i="8" s="1"/>
  <c r="GO134" i="8" s="1"/>
  <c r="FI45" i="8"/>
  <c r="EL47" i="8"/>
  <c r="FL79" i="8"/>
  <c r="FM79" i="8"/>
  <c r="DU119" i="8"/>
  <c r="DV119" i="8"/>
  <c r="DT119" i="8"/>
  <c r="DV118" i="8"/>
  <c r="DU118" i="8"/>
  <c r="DV120" i="8"/>
  <c r="DT118" i="8"/>
  <c r="DB118" i="8" a="1"/>
  <c r="DU120" i="8"/>
  <c r="DT120" i="8"/>
  <c r="FS146" i="8"/>
  <c r="FW146" i="8"/>
  <c r="FT147" i="8"/>
  <c r="FV147" i="8" s="1"/>
  <c r="FX147" i="8" s="1"/>
  <c r="FV146" i="8"/>
  <c r="FX146" i="8" s="1"/>
  <c r="GA146" i="8"/>
  <c r="GH146" i="8"/>
  <c r="FS142" i="8"/>
  <c r="GG142" i="8" s="1"/>
  <c r="GJ140" i="8"/>
  <c r="GN140" i="8"/>
  <c r="GL140" i="8"/>
  <c r="GH141" i="8"/>
  <c r="EK47" i="8"/>
  <c r="GG141" i="8"/>
  <c r="EP47" i="8"/>
  <c r="GK142" i="8"/>
  <c r="GP130" i="8"/>
  <c r="FK80" i="8"/>
  <c r="ER46" i="8"/>
  <c r="DZ113" i="8"/>
  <c r="EH48" i="8" s="1"/>
  <c r="GB146" i="8" s="1"/>
  <c r="DZ114" i="8"/>
  <c r="EJ48" i="8" s="1"/>
  <c r="GD146" i="8" s="1"/>
  <c r="DZ112" i="8"/>
  <c r="EF48" i="8" s="1"/>
  <c r="FZ146" i="8" s="1"/>
  <c r="DX114" i="8"/>
  <c r="EI48" i="8" s="1"/>
  <c r="GD145" i="8" s="1"/>
  <c r="DX112" i="8"/>
  <c r="EE48" i="8" s="1"/>
  <c r="FZ145" i="8" s="1"/>
  <c r="DX113" i="8"/>
  <c r="EG48" i="8" s="1"/>
  <c r="GB145" i="8" s="1"/>
  <c r="DB117" i="8"/>
  <c r="ED49" i="8" s="1"/>
  <c r="FW149" i="8" s="1"/>
  <c r="DB115" i="8"/>
  <c r="EB49" i="8" s="1"/>
  <c r="FS149" i="8" s="1"/>
  <c r="DB116" i="8"/>
  <c r="EC49" i="8" s="1"/>
  <c r="FU149" i="8" s="1"/>
  <c r="GC142" i="8"/>
  <c r="GE142" i="8" s="1"/>
  <c r="GA143" i="8"/>
  <c r="GC143" i="8" s="1"/>
  <c r="GE143" i="8" s="1"/>
  <c r="DZ115" i="8" a="1"/>
  <c r="DX115" i="8" a="1"/>
  <c r="GL142" i="8"/>
  <c r="GN142" i="8"/>
  <c r="GH143" i="8"/>
  <c r="GJ142" i="8"/>
  <c r="GJ137" i="8"/>
  <c r="GN137" i="8"/>
  <c r="GL137" i="8"/>
  <c r="EQ46" i="8"/>
  <c r="GH144" i="8"/>
  <c r="FV144" i="8"/>
  <c r="FX144" i="8" s="1"/>
  <c r="FT145" i="8"/>
  <c r="FV145" i="8" s="1"/>
  <c r="FX145" i="8" s="1"/>
  <c r="GA144" i="8"/>
  <c r="EM47" i="8"/>
  <c r="GI141" i="8"/>
  <c r="GJ139" i="8"/>
  <c r="GN139" i="8"/>
  <c r="GL139" i="8"/>
  <c r="EN47" i="8"/>
  <c r="GI142" i="8"/>
  <c r="FJ80" i="8"/>
  <c r="GO130" i="8"/>
  <c r="GF152" i="8"/>
  <c r="GA141" i="8"/>
  <c r="GC141" i="8" s="1"/>
  <c r="GE141" i="8" s="1"/>
  <c r="GC140" i="8"/>
  <c r="GE140" i="8" s="1"/>
  <c r="EO47" i="8"/>
  <c r="GK141" i="8"/>
  <c r="FN81" i="8"/>
  <c r="GS134" i="8"/>
  <c r="EQ47" i="8" l="1"/>
  <c r="FN47" i="8" s="1"/>
  <c r="GS141" i="8" s="1"/>
  <c r="FT154" i="8"/>
  <c r="FT152" i="8"/>
  <c r="FL80" i="8"/>
  <c r="FM80" i="8"/>
  <c r="FL45" i="8"/>
  <c r="GQ133" i="8" s="1"/>
  <c r="GQ134" i="8" s="1"/>
  <c r="FJ81" i="8"/>
  <c r="FP82" i="8"/>
  <c r="FM45" i="8"/>
  <c r="GR133" i="8" s="1"/>
  <c r="GR134" i="8" s="1"/>
  <c r="FK81" i="8"/>
  <c r="ES47" i="8"/>
  <c r="FP47" i="8" s="1"/>
  <c r="GU141" i="8" s="1"/>
  <c r="GU142" i="8" s="1"/>
  <c r="ER47" i="8"/>
  <c r="GH150" i="8"/>
  <c r="FV150" i="8"/>
  <c r="FX150" i="8" s="1"/>
  <c r="GA150" i="8"/>
  <c r="FT151" i="8"/>
  <c r="FV151" i="8" s="1"/>
  <c r="FX151" i="8" s="1"/>
  <c r="DZ115" i="8"/>
  <c r="EF49" i="8" s="1"/>
  <c r="FZ150" i="8" s="1"/>
  <c r="DZ117" i="8"/>
  <c r="EJ49" i="8" s="1"/>
  <c r="GD150" i="8" s="1"/>
  <c r="DZ116" i="8"/>
  <c r="EH49" i="8" s="1"/>
  <c r="GB150" i="8" s="1"/>
  <c r="DB118" i="8"/>
  <c r="EB50" i="8" s="1"/>
  <c r="FS153" i="8" s="1"/>
  <c r="DB119" i="8"/>
  <c r="EC50" i="8" s="1"/>
  <c r="FU153" i="8" s="1"/>
  <c r="DB120" i="8"/>
  <c r="ED50" i="8" s="1"/>
  <c r="FW153" i="8" s="1"/>
  <c r="EL48" i="8"/>
  <c r="GG146" i="8"/>
  <c r="DX118" i="8" a="1"/>
  <c r="DZ118" i="8" a="1"/>
  <c r="FS150" i="8"/>
  <c r="FW150" i="8"/>
  <c r="GA145" i="8"/>
  <c r="GC145" i="8" s="1"/>
  <c r="GE145" i="8" s="1"/>
  <c r="GC144" i="8"/>
  <c r="GE144" i="8" s="1"/>
  <c r="EP48" i="8"/>
  <c r="GK146" i="8"/>
  <c r="GL143" i="8"/>
  <c r="GJ143" i="8"/>
  <c r="GN143" i="8"/>
  <c r="EM48" i="8"/>
  <c r="GI145" i="8"/>
  <c r="FU150" i="8"/>
  <c r="GJ144" i="8"/>
  <c r="GN144" i="8"/>
  <c r="GL144" i="8"/>
  <c r="GH145" i="8"/>
  <c r="EK48" i="8"/>
  <c r="GG145" i="8"/>
  <c r="GH148" i="8"/>
  <c r="FV148" i="8"/>
  <c r="FX148" i="8" s="1"/>
  <c r="FT149" i="8"/>
  <c r="FV149" i="8" s="1"/>
  <c r="FX149" i="8" s="1"/>
  <c r="GA148" i="8"/>
  <c r="FU146" i="8"/>
  <c r="GI146" i="8" s="1"/>
  <c r="EO48" i="8"/>
  <c r="GK145" i="8"/>
  <c r="EN48" i="8"/>
  <c r="GN141" i="8"/>
  <c r="GJ141" i="8"/>
  <c r="GL141" i="8"/>
  <c r="GN146" i="8"/>
  <c r="GL146" i="8"/>
  <c r="GH147" i="8"/>
  <c r="GJ146" i="8"/>
  <c r="FN46" i="8"/>
  <c r="GS137" i="8" s="1"/>
  <c r="FH46" i="8"/>
  <c r="FK46" i="8"/>
  <c r="GP137" i="8" s="1"/>
  <c r="FJ46" i="8"/>
  <c r="GO137" i="8" s="1"/>
  <c r="FE46" i="8"/>
  <c r="FI46" i="8"/>
  <c r="DX116" i="8"/>
  <c r="EG49" i="8" s="1"/>
  <c r="GB149" i="8" s="1"/>
  <c r="DX115" i="8"/>
  <c r="EE49" i="8" s="1"/>
  <c r="FZ149" i="8" s="1"/>
  <c r="DX117" i="8"/>
  <c r="EI49" i="8" s="1"/>
  <c r="GD149" i="8" s="1"/>
  <c r="FF46" i="8"/>
  <c r="FO46" i="8"/>
  <c r="GT137" i="8" s="1"/>
  <c r="GA147" i="8"/>
  <c r="GC147" i="8" s="1"/>
  <c r="GE147" i="8" s="1"/>
  <c r="GC146" i="8"/>
  <c r="GE146" i="8" s="1"/>
  <c r="FI47" i="8" l="1"/>
  <c r="FM81" i="8"/>
  <c r="FL81" i="8"/>
  <c r="FP83" i="8"/>
  <c r="FK47" i="8"/>
  <c r="GP141" i="8" s="1"/>
  <c r="GP142" i="8" s="1"/>
  <c r="FH47" i="8"/>
  <c r="EQ48" i="8"/>
  <c r="FN48" i="8" s="1"/>
  <c r="GS145" i="8" s="1"/>
  <c r="FF47" i="8"/>
  <c r="FJ47" i="8"/>
  <c r="GO141" i="8" s="1"/>
  <c r="GO142" i="8" s="1"/>
  <c r="FL46" i="8"/>
  <c r="GQ137" i="8" s="1"/>
  <c r="GQ138" i="8" s="1"/>
  <c r="FE47" i="8"/>
  <c r="FO47" i="8"/>
  <c r="FO83" i="8" s="1"/>
  <c r="FJ82" i="8"/>
  <c r="GO138" i="8"/>
  <c r="FK82" i="8"/>
  <c r="GP138" i="8"/>
  <c r="EN49" i="8"/>
  <c r="GI150" i="8"/>
  <c r="GC148" i="8"/>
  <c r="GE148" i="8" s="1"/>
  <c r="GA149" i="8"/>
  <c r="GC149" i="8" s="1"/>
  <c r="GE149" i="8" s="1"/>
  <c r="FU154" i="8"/>
  <c r="EP49" i="8"/>
  <c r="EO49" i="8"/>
  <c r="GK149" i="8"/>
  <c r="FN83" i="8"/>
  <c r="GS142" i="8"/>
  <c r="DZ120" i="8"/>
  <c r="EJ50" i="8" s="1"/>
  <c r="GD154" i="8" s="1"/>
  <c r="DZ118" i="8"/>
  <c r="EF50" i="8" s="1"/>
  <c r="FZ154" i="8" s="1"/>
  <c r="DZ119" i="8"/>
  <c r="EH50" i="8" s="1"/>
  <c r="GB154" i="8" s="1"/>
  <c r="FS154" i="8"/>
  <c r="EL49" i="8"/>
  <c r="GG150" i="8"/>
  <c r="DX119" i="8"/>
  <c r="EG50" i="8" s="1"/>
  <c r="GB153" i="8" s="1"/>
  <c r="DX118" i="8"/>
  <c r="EE50" i="8" s="1"/>
  <c r="FZ153" i="8" s="1"/>
  <c r="DX120" i="8"/>
  <c r="EI50" i="8" s="1"/>
  <c r="GD153" i="8" s="1"/>
  <c r="EM49" i="8"/>
  <c r="GI149" i="8"/>
  <c r="GN148" i="8"/>
  <c r="GL148" i="8"/>
  <c r="GH149" i="8"/>
  <c r="GJ148" i="8"/>
  <c r="GC150" i="8"/>
  <c r="GE150" i="8" s="1"/>
  <c r="GA151" i="8"/>
  <c r="GC151" i="8" s="1"/>
  <c r="GE151" i="8" s="1"/>
  <c r="EK49" i="8"/>
  <c r="GG149" i="8"/>
  <c r="FM46" i="8"/>
  <c r="GR137" i="8" s="1"/>
  <c r="GJ145" i="8"/>
  <c r="GN145" i="8"/>
  <c r="GL145" i="8"/>
  <c r="ER48" i="8"/>
  <c r="FO48" i="8" s="1"/>
  <c r="GT145" i="8" s="1"/>
  <c r="FT153" i="8"/>
  <c r="FV153" i="8" s="1"/>
  <c r="FX153" i="8" s="1"/>
  <c r="GH152" i="8"/>
  <c r="FV152" i="8"/>
  <c r="FX152" i="8" s="1"/>
  <c r="GA152" i="8"/>
  <c r="GT138" i="8"/>
  <c r="FO82" i="8"/>
  <c r="GS138" i="8"/>
  <c r="FN82" i="8"/>
  <c r="GL147" i="8"/>
  <c r="GJ147" i="8"/>
  <c r="GN147" i="8"/>
  <c r="ES48" i="8"/>
  <c r="FP48" i="8" s="1"/>
  <c r="GU145" i="8" s="1"/>
  <c r="GK150" i="8"/>
  <c r="GH154" i="8"/>
  <c r="FV154" i="8"/>
  <c r="FX154" i="8" s="1"/>
  <c r="GA154" i="8"/>
  <c r="FT155" i="8"/>
  <c r="FV155" i="8" s="1"/>
  <c r="FX155" i="8" s="1"/>
  <c r="GL150" i="8"/>
  <c r="GJ150" i="8"/>
  <c r="GN150" i="8"/>
  <c r="GH151" i="8"/>
  <c r="FM47" i="8" l="1"/>
  <c r="GR141" i="8" s="1"/>
  <c r="GR142" i="8" s="1"/>
  <c r="FK83" i="8"/>
  <c r="FL47" i="8"/>
  <c r="FL83" i="8" s="1"/>
  <c r="FJ83" i="8"/>
  <c r="ER49" i="8"/>
  <c r="FO49" i="8" s="1"/>
  <c r="GT149" i="8" s="1"/>
  <c r="GT150" i="8" s="1"/>
  <c r="EN50" i="8"/>
  <c r="EQ49" i="8"/>
  <c r="FN49" i="8" s="1"/>
  <c r="GS149" i="8" s="1"/>
  <c r="FL82" i="8"/>
  <c r="GT141" i="8"/>
  <c r="GT142" i="8" s="1"/>
  <c r="EP50" i="8"/>
  <c r="GG154" i="8"/>
  <c r="ES49" i="8"/>
  <c r="FP49" i="8" s="1"/>
  <c r="GU149" i="8" s="1"/>
  <c r="GU150" i="8" s="1"/>
  <c r="EL50" i="8"/>
  <c r="FW154" i="8"/>
  <c r="GK154" i="8" s="1"/>
  <c r="EK50" i="8"/>
  <c r="GG153" i="8"/>
  <c r="GA153" i="8"/>
  <c r="GC153" i="8" s="1"/>
  <c r="GE153" i="8" s="1"/>
  <c r="GC152" i="8"/>
  <c r="GE152" i="8" s="1"/>
  <c r="GN154" i="8"/>
  <c r="GL154" i="8"/>
  <c r="GH155" i="8"/>
  <c r="GJ154" i="8"/>
  <c r="FN84" i="8"/>
  <c r="GS146" i="8"/>
  <c r="GL149" i="8"/>
  <c r="GJ149" i="8"/>
  <c r="GN149" i="8"/>
  <c r="EM50" i="8"/>
  <c r="GI153" i="8"/>
  <c r="GI154" i="8"/>
  <c r="GL151" i="8"/>
  <c r="GJ151" i="8"/>
  <c r="GN151" i="8"/>
  <c r="GJ152" i="8"/>
  <c r="GN152" i="8"/>
  <c r="GL152" i="8"/>
  <c r="GH153" i="8"/>
  <c r="FM82" i="8"/>
  <c r="GR138" i="8"/>
  <c r="FK48" i="8"/>
  <c r="GP145" i="8" s="1"/>
  <c r="FH48" i="8"/>
  <c r="GT146" i="8"/>
  <c r="FO84" i="8"/>
  <c r="FE48" i="8"/>
  <c r="FJ48" i="8"/>
  <c r="GO145" i="8" s="1"/>
  <c r="FI48" i="8"/>
  <c r="GC154" i="8"/>
  <c r="GE154" i="8" s="1"/>
  <c r="GA155" i="8"/>
  <c r="GC155" i="8" s="1"/>
  <c r="GE155" i="8" s="1"/>
  <c r="GU146" i="8"/>
  <c r="FP84" i="8"/>
  <c r="FF48" i="8"/>
  <c r="EO50" i="8"/>
  <c r="GK153" i="8"/>
  <c r="FM83" i="8" l="1"/>
  <c r="GQ141" i="8"/>
  <c r="GQ142" i="8" s="1"/>
  <c r="ER50" i="8"/>
  <c r="FO50" i="8" s="1"/>
  <c r="GT153" i="8" s="1"/>
  <c r="GT154" i="8" s="1"/>
  <c r="FF49" i="8"/>
  <c r="FI49" i="8"/>
  <c r="FO85" i="8"/>
  <c r="ES50" i="8"/>
  <c r="FP50" i="8" s="1"/>
  <c r="GU153" i="8" s="1"/>
  <c r="GU154" i="8" s="1"/>
  <c r="FH49" i="8"/>
  <c r="FJ49" i="8"/>
  <c r="GO149" i="8" s="1"/>
  <c r="GO150" i="8" s="1"/>
  <c r="FP85" i="8"/>
  <c r="FK49" i="8"/>
  <c r="GP149" i="8" s="1"/>
  <c r="GP150" i="8" s="1"/>
  <c r="EQ50" i="8"/>
  <c r="FE49" i="8"/>
  <c r="FM48" i="8"/>
  <c r="FJ84" i="8"/>
  <c r="GO146" i="8"/>
  <c r="FL48" i="8"/>
  <c r="GQ145" i="8" s="1"/>
  <c r="GP146" i="8"/>
  <c r="FK84" i="8"/>
  <c r="FN85" i="8"/>
  <c r="GS150" i="8"/>
  <c r="GJ153" i="8"/>
  <c r="GN153" i="8"/>
  <c r="GL153" i="8"/>
  <c r="GL155" i="8"/>
  <c r="GJ155" i="8"/>
  <c r="GN155" i="8"/>
  <c r="FI50" i="8" l="1"/>
  <c r="FO86" i="8"/>
  <c r="FM49" i="8"/>
  <c r="GR149" i="8" s="1"/>
  <c r="GR150" i="8" s="1"/>
  <c r="FH50" i="8"/>
  <c r="FL49" i="8"/>
  <c r="GQ149" i="8" s="1"/>
  <c r="GQ150" i="8" s="1"/>
  <c r="FK50" i="8"/>
  <c r="GP153" i="8" s="1"/>
  <c r="GP154" i="8" s="1"/>
  <c r="FN50" i="8"/>
  <c r="GS153" i="8" s="1"/>
  <c r="GS154" i="8" s="1"/>
  <c r="FF50" i="8"/>
  <c r="FP86" i="8"/>
  <c r="FJ85" i="8"/>
  <c r="FK85" i="8"/>
  <c r="FE50" i="8"/>
  <c r="FJ50" i="8"/>
  <c r="GO153" i="8" s="1"/>
  <c r="GO154" i="8" s="1"/>
  <c r="FM84" i="8"/>
  <c r="GR145" i="8"/>
  <c r="GR146" i="8" s="1"/>
  <c r="GQ146" i="8"/>
  <c r="FL84" i="8"/>
  <c r="FM85" i="8" l="1"/>
  <c r="FM50" i="8"/>
  <c r="GR153" i="8" s="1"/>
  <c r="GR154" i="8" s="1"/>
  <c r="FK86" i="8"/>
  <c r="FK88" i="8" s="1"/>
  <c r="FK89" i="8" s="1"/>
  <c r="AC192" i="8" s="1"/>
  <c r="K73" i="8" s="1"/>
  <c r="FL85" i="8"/>
  <c r="FL50" i="8"/>
  <c r="GQ153" i="8" s="1"/>
  <c r="GQ154" i="8" s="1"/>
  <c r="FN86" i="8"/>
  <c r="FN88" i="8" s="1"/>
  <c r="FN89" i="8" s="1"/>
  <c r="FJ86" i="8"/>
  <c r="FJ88" i="8" s="1"/>
  <c r="FJ89" i="8" s="1"/>
  <c r="AC191" i="8" s="1"/>
  <c r="K72" i="8" s="1"/>
  <c r="FM86" i="8" l="1"/>
  <c r="FM88" i="8" s="1"/>
  <c r="FM89" i="8" s="1"/>
  <c r="AC194" i="8" s="1"/>
  <c r="K75" i="8" s="1"/>
  <c r="FL86" i="8"/>
  <c r="FL88" i="8" s="1"/>
  <c r="FL89" i="8" s="1"/>
  <c r="AC193" i="8" s="1"/>
  <c r="K74" i="8" s="1"/>
  <c r="J73" i="8"/>
  <c r="J72" i="8"/>
  <c r="J75" i="8" l="1"/>
  <c r="J74" i="8"/>
  <c r="J77" i="8" l="1"/>
  <c r="AC196" i="8" s="1"/>
  <c r="K77" i="8" l="1"/>
</calcChain>
</file>

<file path=xl/sharedStrings.xml><?xml version="1.0" encoding="utf-8"?>
<sst xmlns="http://schemas.openxmlformats.org/spreadsheetml/2006/main" count="990" uniqueCount="279">
  <si>
    <t>Equivalent Stiffnesses</t>
  </si>
  <si>
    <t>Mpa</t>
  </si>
  <si>
    <t>Orientation</t>
  </si>
  <si>
    <t>Thickness</t>
  </si>
  <si>
    <t>z</t>
  </si>
  <si>
    <t>z bar</t>
  </si>
  <si>
    <t>(degree)</t>
  </si>
  <si>
    <t>x</t>
  </si>
  <si>
    <t>y</t>
  </si>
  <si>
    <t>Radians</t>
  </si>
  <si>
    <t>Rotation Tensor</t>
  </si>
  <si>
    <t>Panel Dimensions</t>
  </si>
  <si>
    <t>(Mpa)</t>
  </si>
  <si>
    <t>Membrane Tensor</t>
  </si>
  <si>
    <t>A</t>
  </si>
  <si>
    <t>Compression Modulus, 1 - axis</t>
  </si>
  <si>
    <t>Compression Modulus, 2 - axis</t>
  </si>
  <si>
    <t>ILS</t>
  </si>
  <si>
    <t>MINIMUM</t>
  </si>
  <si>
    <t>ROOM TEMP (75F)</t>
  </si>
  <si>
    <t>COLD (-65F)</t>
  </si>
  <si>
    <t>Condition:</t>
  </si>
  <si>
    <t>Total Laminate Thickness:</t>
  </si>
  <si>
    <r>
      <t>Ftu</t>
    </r>
    <r>
      <rPr>
        <vertAlign val="subscript"/>
        <sz val="8"/>
        <rFont val="Arial"/>
        <family val="2"/>
      </rPr>
      <t>1</t>
    </r>
    <r>
      <rPr>
        <sz val="8"/>
        <rFont val="Arial"/>
        <family val="2"/>
      </rPr>
      <t xml:space="preserve"> =</t>
    </r>
  </si>
  <si>
    <r>
      <t>E</t>
    </r>
    <r>
      <rPr>
        <vertAlign val="subscript"/>
        <sz val="8"/>
        <rFont val="Arial"/>
        <family val="2"/>
      </rPr>
      <t>11</t>
    </r>
    <r>
      <rPr>
        <sz val="8"/>
        <rFont val="Arial"/>
        <family val="2"/>
      </rPr>
      <t xml:space="preserve"> =</t>
    </r>
  </si>
  <si>
    <r>
      <t>Ftu</t>
    </r>
    <r>
      <rPr>
        <vertAlign val="subscript"/>
        <sz val="8"/>
        <rFont val="Arial"/>
        <family val="2"/>
      </rPr>
      <t>2</t>
    </r>
    <r>
      <rPr>
        <sz val="8"/>
        <rFont val="Arial"/>
        <family val="2"/>
      </rPr>
      <t xml:space="preserve"> =</t>
    </r>
  </si>
  <si>
    <r>
      <t>E</t>
    </r>
    <r>
      <rPr>
        <vertAlign val="subscript"/>
        <sz val="8"/>
        <rFont val="Arial"/>
        <family val="2"/>
      </rPr>
      <t>22</t>
    </r>
    <r>
      <rPr>
        <sz val="8"/>
        <rFont val="Arial"/>
        <family val="2"/>
      </rPr>
      <t xml:space="preserve"> =</t>
    </r>
  </si>
  <si>
    <r>
      <t>v</t>
    </r>
    <r>
      <rPr>
        <vertAlign val="subscript"/>
        <sz val="8"/>
        <rFont val="Arial"/>
        <family val="2"/>
      </rPr>
      <t>12</t>
    </r>
    <r>
      <rPr>
        <sz val="8"/>
        <rFont val="Arial"/>
        <family val="2"/>
      </rPr>
      <t xml:space="preserve"> =</t>
    </r>
  </si>
  <si>
    <r>
      <t>Fcu</t>
    </r>
    <r>
      <rPr>
        <vertAlign val="subscript"/>
        <sz val="8"/>
        <rFont val="Arial"/>
        <family val="2"/>
      </rPr>
      <t>1</t>
    </r>
    <r>
      <rPr>
        <sz val="8"/>
        <rFont val="Arial"/>
        <family val="2"/>
      </rPr>
      <t xml:space="preserve"> =</t>
    </r>
  </si>
  <si>
    <r>
      <t>Fcu</t>
    </r>
    <r>
      <rPr>
        <vertAlign val="subscript"/>
        <sz val="8"/>
        <rFont val="Arial"/>
        <family val="2"/>
      </rPr>
      <t>2</t>
    </r>
    <r>
      <rPr>
        <sz val="8"/>
        <rFont val="Arial"/>
        <family val="2"/>
      </rPr>
      <t xml:space="preserve"> =</t>
    </r>
  </si>
  <si>
    <r>
      <t>Fsu</t>
    </r>
    <r>
      <rPr>
        <vertAlign val="subscript"/>
        <sz val="8"/>
        <rFont val="Arial"/>
        <family val="2"/>
      </rPr>
      <t>12</t>
    </r>
    <r>
      <rPr>
        <sz val="8"/>
        <rFont val="Arial"/>
        <family val="2"/>
      </rPr>
      <t xml:space="preserve"> =</t>
    </r>
  </si>
  <si>
    <r>
      <t>G</t>
    </r>
    <r>
      <rPr>
        <vertAlign val="subscript"/>
        <sz val="8"/>
        <rFont val="Arial"/>
        <family val="2"/>
      </rPr>
      <t>12</t>
    </r>
    <r>
      <rPr>
        <sz val="8"/>
        <rFont val="Arial"/>
        <family val="2"/>
      </rPr>
      <t xml:space="preserve"> =</t>
    </r>
  </si>
  <si>
    <t>HOT (160F)</t>
  </si>
  <si>
    <t>HOT WET (160F, 95%RH)</t>
  </si>
  <si>
    <t>-</t>
  </si>
  <si>
    <t>Strain x =</t>
  </si>
  <si>
    <t>Strain y =</t>
  </si>
  <si>
    <t>Strain xy =</t>
  </si>
  <si>
    <t>Mid surface</t>
  </si>
  <si>
    <t>Upper Surface</t>
  </si>
  <si>
    <t>Lower Surface</t>
  </si>
  <si>
    <t>Derived</t>
  </si>
  <si>
    <t>principal</t>
  </si>
  <si>
    <t>Max =</t>
  </si>
  <si>
    <t>Min =</t>
  </si>
  <si>
    <t>Shear =</t>
  </si>
  <si>
    <t>Strain</t>
  </si>
  <si>
    <t>Micro-</t>
  </si>
  <si>
    <t>Prelminary Laminate Strain Limitation</t>
  </si>
  <si>
    <t>Compression</t>
  </si>
  <si>
    <t>Shear</t>
  </si>
  <si>
    <t>Mid thickness</t>
  </si>
  <si>
    <t>m</t>
  </si>
  <si>
    <t>c</t>
  </si>
  <si>
    <t xml:space="preserve">Lower Surface point </t>
  </si>
  <si>
    <t>intersections</t>
  </si>
  <si>
    <t>intersection with curve</t>
  </si>
  <si>
    <t>r =</t>
  </si>
  <si>
    <t>m =</t>
  </si>
  <si>
    <t>c =</t>
  </si>
  <si>
    <t>Line through</t>
  </si>
  <si>
    <t>applied strains</t>
  </si>
  <si>
    <t>Lines that create</t>
  </si>
  <si>
    <t>boundary</t>
  </si>
  <si>
    <t>Intersection points</t>
  </si>
  <si>
    <t>Revision:</t>
  </si>
  <si>
    <t>Date:</t>
  </si>
  <si>
    <t>Title:</t>
  </si>
  <si>
    <t>Material Specification</t>
  </si>
  <si>
    <t>Laminate Properties</t>
  </si>
  <si>
    <t>Panel Geometry and Applied Loads</t>
  </si>
  <si>
    <t xml:space="preserve">(xy load assumed to be a load applied </t>
  </si>
  <si>
    <t>R. Abbott</t>
  </si>
  <si>
    <t>Matl!K16</t>
  </si>
  <si>
    <t>Matl!K34</t>
  </si>
  <si>
    <t>Matl!K51</t>
  </si>
  <si>
    <t>Matl!K68</t>
  </si>
  <si>
    <t>Matl!K85</t>
  </si>
  <si>
    <r>
      <t>E</t>
    </r>
    <r>
      <rPr>
        <vertAlign val="subscript"/>
        <sz val="8"/>
        <rFont val="Arial"/>
        <family val="2"/>
      </rPr>
      <t>av11</t>
    </r>
    <r>
      <rPr>
        <sz val="8"/>
        <rFont val="Arial"/>
        <family val="2"/>
      </rPr>
      <t xml:space="preserve"> =</t>
    </r>
  </si>
  <si>
    <r>
      <t>E</t>
    </r>
    <r>
      <rPr>
        <vertAlign val="subscript"/>
        <sz val="8"/>
        <rFont val="Arial"/>
        <family val="2"/>
      </rPr>
      <t>av22</t>
    </r>
    <r>
      <rPr>
        <sz val="8"/>
        <rFont val="Arial"/>
        <family val="2"/>
      </rPr>
      <t xml:space="preserve"> =</t>
    </r>
  </si>
  <si>
    <t>Reference:</t>
  </si>
  <si>
    <t>ASM Handbook, Vol 21 - Composites (2002)</t>
  </si>
  <si>
    <t>Number of ±45° Plies =</t>
  </si>
  <si>
    <t>Curve2</t>
  </si>
  <si>
    <t>Curve1</t>
  </si>
  <si>
    <t>Number of 0° Plies =</t>
  </si>
  <si>
    <t>on the minimum of the x or y dimension of the plate)</t>
  </si>
  <si>
    <t>CAI Compression Strain =</t>
  </si>
  <si>
    <t>Filled Hole Tensions Strain =</t>
  </si>
  <si>
    <t>Double Shear Bearing</t>
  </si>
  <si>
    <t>25/50/25</t>
  </si>
  <si>
    <t>Open Hole Tension Stress</t>
  </si>
  <si>
    <t>Open Hole Compression Stress</t>
  </si>
  <si>
    <t>Filled Hole Tensions Stress</t>
  </si>
  <si>
    <t>Filled Hole Compression Stress</t>
  </si>
  <si>
    <t>50% Bypass Tension Stress</t>
  </si>
  <si>
    <t>50% Bypass Compression Stress</t>
  </si>
  <si>
    <t>25% Bypass Tension Stress</t>
  </si>
  <si>
    <t>25% Bypass Compression Stress</t>
  </si>
  <si>
    <t>Single Shear Bearing Stress</t>
  </si>
  <si>
    <t>Matl!D3:K29</t>
  </si>
  <si>
    <t>Matl!D32:K58</t>
  </si>
  <si>
    <t>Matl!D61:K87</t>
  </si>
  <si>
    <t>Matl!D90:K116</t>
  </si>
  <si>
    <t>Matl!D119:K145</t>
  </si>
  <si>
    <t>Wet Laminate Carbon Cloth</t>
  </si>
  <si>
    <t>Wet Laminate Carbon Tape</t>
  </si>
  <si>
    <t>Wet Laminate Glass Cloth</t>
  </si>
  <si>
    <t>Pre-Preg Carbon Tape</t>
  </si>
  <si>
    <t>Pre-Preg Carbon Cloth</t>
  </si>
  <si>
    <t>Foam Core</t>
  </si>
  <si>
    <t>Laminate Fiber Pattern for Efficient Bolted Joint</t>
  </si>
  <si>
    <t>Axial Stress</t>
  </si>
  <si>
    <t>Bending Stresses</t>
  </si>
  <si>
    <t>Total Stresses</t>
  </si>
  <si>
    <t>xy</t>
  </si>
  <si>
    <t>Allowables</t>
  </si>
  <si>
    <t>Allowable parameters - Hoffman</t>
  </si>
  <si>
    <t>Applied Stresses</t>
  </si>
  <si>
    <t>Extended</t>
  </si>
  <si>
    <t>Allowable parameters - Tsai Wu</t>
  </si>
  <si>
    <t>Max Stress</t>
  </si>
  <si>
    <t>B</t>
  </si>
  <si>
    <t>Hill</t>
  </si>
  <si>
    <t>Hoffman</t>
  </si>
  <si>
    <t>Tsai Wu</t>
  </si>
  <si>
    <t>Axial Strains</t>
  </si>
  <si>
    <t>Criterion</t>
  </si>
  <si>
    <t>Stiffness Matrix</t>
  </si>
  <si>
    <t>XX Strain at top of strip:</t>
  </si>
  <si>
    <t>XX Strain at bottom of strip:</t>
  </si>
  <si>
    <t>YY Strain at top of strip:</t>
  </si>
  <si>
    <t>YY Strain at bottom of strip:</t>
  </si>
  <si>
    <t>XY Strain at top of strip:</t>
  </si>
  <si>
    <t>XY Strain at bottom of strip:</t>
  </si>
  <si>
    <t>Failure Indexes</t>
  </si>
  <si>
    <t>Failure Criteria</t>
  </si>
  <si>
    <t>Axial</t>
  </si>
  <si>
    <t>Bending</t>
  </si>
  <si>
    <t>Total</t>
  </si>
  <si>
    <t>Minimum Margins of Safety:</t>
  </si>
  <si>
    <t>Hill Criteria</t>
  </si>
  <si>
    <t>Extended Hill Criteria</t>
  </si>
  <si>
    <t>Hoffman Criteria</t>
  </si>
  <si>
    <t>Tsai-Wu Criteria</t>
  </si>
  <si>
    <t>Minimum MS =</t>
  </si>
  <si>
    <r>
      <t>A</t>
    </r>
    <r>
      <rPr>
        <vertAlign val="subscript"/>
        <sz val="10"/>
        <rFont val="Calibri"/>
        <family val="2"/>
        <scheme val="minor"/>
      </rPr>
      <t>11</t>
    </r>
    <r>
      <rPr>
        <sz val="10"/>
        <rFont val="Calibri"/>
        <family val="2"/>
        <scheme val="minor"/>
      </rPr>
      <t xml:space="preserve"> =</t>
    </r>
  </si>
  <si>
    <r>
      <t>A</t>
    </r>
    <r>
      <rPr>
        <vertAlign val="subscript"/>
        <sz val="10"/>
        <rFont val="Calibri"/>
        <family val="2"/>
        <scheme val="minor"/>
      </rPr>
      <t>22</t>
    </r>
    <r>
      <rPr>
        <sz val="10"/>
        <rFont val="Calibri"/>
        <family val="2"/>
        <scheme val="minor"/>
      </rPr>
      <t xml:space="preserve"> =</t>
    </r>
  </si>
  <si>
    <r>
      <t>A</t>
    </r>
    <r>
      <rPr>
        <vertAlign val="subscript"/>
        <sz val="10"/>
        <rFont val="Calibri"/>
        <family val="2"/>
        <scheme val="minor"/>
      </rPr>
      <t>12</t>
    </r>
    <r>
      <rPr>
        <sz val="10"/>
        <rFont val="Calibri"/>
        <family val="2"/>
        <scheme val="minor"/>
      </rPr>
      <t xml:space="preserve"> =</t>
    </r>
  </si>
  <si>
    <r>
      <t>A</t>
    </r>
    <r>
      <rPr>
        <vertAlign val="subscript"/>
        <sz val="10"/>
        <rFont val="Calibri"/>
        <family val="2"/>
        <scheme val="minor"/>
      </rPr>
      <t>21</t>
    </r>
    <r>
      <rPr>
        <sz val="10"/>
        <rFont val="Calibri"/>
        <family val="2"/>
        <scheme val="minor"/>
      </rPr>
      <t xml:space="preserve"> =</t>
    </r>
  </si>
  <si>
    <r>
      <t>A</t>
    </r>
    <r>
      <rPr>
        <vertAlign val="subscript"/>
        <sz val="10"/>
        <rFont val="Calibri"/>
        <family val="2"/>
        <scheme val="minor"/>
      </rPr>
      <t>13</t>
    </r>
    <r>
      <rPr>
        <sz val="10"/>
        <rFont val="Calibri"/>
        <family val="2"/>
        <scheme val="minor"/>
      </rPr>
      <t xml:space="preserve"> =</t>
    </r>
  </si>
  <si>
    <r>
      <t>A</t>
    </r>
    <r>
      <rPr>
        <vertAlign val="subscript"/>
        <sz val="10"/>
        <rFont val="Calibri"/>
        <family val="2"/>
        <scheme val="minor"/>
      </rPr>
      <t>31</t>
    </r>
    <r>
      <rPr>
        <sz val="10"/>
        <rFont val="Calibri"/>
        <family val="2"/>
        <scheme val="minor"/>
      </rPr>
      <t xml:space="preserve"> =</t>
    </r>
  </si>
  <si>
    <r>
      <t>A</t>
    </r>
    <r>
      <rPr>
        <vertAlign val="subscript"/>
        <sz val="10"/>
        <rFont val="Calibri"/>
        <family val="2"/>
        <scheme val="minor"/>
      </rPr>
      <t>32</t>
    </r>
    <r>
      <rPr>
        <sz val="10"/>
        <rFont val="Calibri"/>
        <family val="2"/>
        <scheme val="minor"/>
      </rPr>
      <t xml:space="preserve"> =</t>
    </r>
  </si>
  <si>
    <r>
      <t>A</t>
    </r>
    <r>
      <rPr>
        <vertAlign val="subscript"/>
        <sz val="10"/>
        <rFont val="Calibri"/>
        <family val="2"/>
        <scheme val="minor"/>
      </rPr>
      <t>23</t>
    </r>
    <r>
      <rPr>
        <sz val="10"/>
        <rFont val="Calibri"/>
        <family val="2"/>
        <scheme val="minor"/>
      </rPr>
      <t xml:space="preserve"> =</t>
    </r>
  </si>
  <si>
    <r>
      <t>A</t>
    </r>
    <r>
      <rPr>
        <vertAlign val="subscript"/>
        <sz val="10"/>
        <rFont val="Calibri"/>
        <family val="2"/>
        <scheme val="minor"/>
      </rPr>
      <t>33</t>
    </r>
    <r>
      <rPr>
        <sz val="10"/>
        <rFont val="Calibri"/>
        <family val="2"/>
        <scheme val="minor"/>
      </rPr>
      <t xml:space="preserve"> =</t>
    </r>
  </si>
  <si>
    <r>
      <t>B</t>
    </r>
    <r>
      <rPr>
        <vertAlign val="subscript"/>
        <sz val="10"/>
        <rFont val="Calibri"/>
        <family val="2"/>
        <scheme val="minor"/>
      </rPr>
      <t>11</t>
    </r>
    <r>
      <rPr>
        <sz val="10"/>
        <rFont val="Calibri"/>
        <family val="2"/>
        <scheme val="minor"/>
      </rPr>
      <t xml:space="preserve"> =</t>
    </r>
  </si>
  <si>
    <r>
      <t>B</t>
    </r>
    <r>
      <rPr>
        <vertAlign val="subscript"/>
        <sz val="10"/>
        <rFont val="Calibri"/>
        <family val="2"/>
        <scheme val="minor"/>
      </rPr>
      <t>22</t>
    </r>
    <r>
      <rPr>
        <sz val="10"/>
        <rFont val="Calibri"/>
        <family val="2"/>
        <scheme val="minor"/>
      </rPr>
      <t xml:space="preserve"> =</t>
    </r>
  </si>
  <si>
    <r>
      <t>B</t>
    </r>
    <r>
      <rPr>
        <vertAlign val="subscript"/>
        <sz val="10"/>
        <rFont val="Calibri"/>
        <family val="2"/>
        <scheme val="minor"/>
      </rPr>
      <t>12</t>
    </r>
    <r>
      <rPr>
        <sz val="10"/>
        <rFont val="Calibri"/>
        <family val="2"/>
        <scheme val="minor"/>
      </rPr>
      <t xml:space="preserve"> =</t>
    </r>
  </si>
  <si>
    <r>
      <t>B</t>
    </r>
    <r>
      <rPr>
        <vertAlign val="subscript"/>
        <sz val="10"/>
        <rFont val="Calibri"/>
        <family val="2"/>
        <scheme val="minor"/>
      </rPr>
      <t>21</t>
    </r>
    <r>
      <rPr>
        <sz val="10"/>
        <rFont val="Calibri"/>
        <family val="2"/>
        <scheme val="minor"/>
      </rPr>
      <t xml:space="preserve"> =</t>
    </r>
  </si>
  <si>
    <r>
      <t>B</t>
    </r>
    <r>
      <rPr>
        <vertAlign val="subscript"/>
        <sz val="10"/>
        <rFont val="Calibri"/>
        <family val="2"/>
        <scheme val="minor"/>
      </rPr>
      <t>13</t>
    </r>
    <r>
      <rPr>
        <sz val="10"/>
        <rFont val="Calibri"/>
        <family val="2"/>
        <scheme val="minor"/>
      </rPr>
      <t xml:space="preserve"> =</t>
    </r>
  </si>
  <si>
    <r>
      <t>B</t>
    </r>
    <r>
      <rPr>
        <vertAlign val="subscript"/>
        <sz val="10"/>
        <rFont val="Calibri"/>
        <family val="2"/>
        <scheme val="minor"/>
      </rPr>
      <t>31</t>
    </r>
    <r>
      <rPr>
        <sz val="10"/>
        <rFont val="Calibri"/>
        <family val="2"/>
        <scheme val="minor"/>
      </rPr>
      <t xml:space="preserve"> =</t>
    </r>
  </si>
  <si>
    <r>
      <t>B</t>
    </r>
    <r>
      <rPr>
        <vertAlign val="subscript"/>
        <sz val="10"/>
        <rFont val="Calibri"/>
        <family val="2"/>
        <scheme val="minor"/>
      </rPr>
      <t>32</t>
    </r>
    <r>
      <rPr>
        <sz val="10"/>
        <rFont val="Calibri"/>
        <family val="2"/>
        <scheme val="minor"/>
      </rPr>
      <t xml:space="preserve"> =</t>
    </r>
  </si>
  <si>
    <r>
      <t>B</t>
    </r>
    <r>
      <rPr>
        <vertAlign val="subscript"/>
        <sz val="10"/>
        <rFont val="Calibri"/>
        <family val="2"/>
        <scheme val="minor"/>
      </rPr>
      <t>23</t>
    </r>
    <r>
      <rPr>
        <sz val="10"/>
        <rFont val="Calibri"/>
        <family val="2"/>
        <scheme val="minor"/>
      </rPr>
      <t xml:space="preserve"> =</t>
    </r>
  </si>
  <si>
    <r>
      <t>B</t>
    </r>
    <r>
      <rPr>
        <vertAlign val="subscript"/>
        <sz val="10"/>
        <rFont val="Calibri"/>
        <family val="2"/>
        <scheme val="minor"/>
      </rPr>
      <t>33</t>
    </r>
    <r>
      <rPr>
        <sz val="10"/>
        <rFont val="Calibri"/>
        <family val="2"/>
        <scheme val="minor"/>
      </rPr>
      <t xml:space="preserve"> =</t>
    </r>
  </si>
  <si>
    <r>
      <t>D</t>
    </r>
    <r>
      <rPr>
        <vertAlign val="subscript"/>
        <sz val="10"/>
        <rFont val="Calibri"/>
        <family val="2"/>
        <scheme val="minor"/>
      </rPr>
      <t>11</t>
    </r>
    <r>
      <rPr>
        <sz val="10"/>
        <rFont val="Calibri"/>
        <family val="2"/>
        <scheme val="minor"/>
      </rPr>
      <t xml:space="preserve"> =</t>
    </r>
  </si>
  <si>
    <r>
      <t>D</t>
    </r>
    <r>
      <rPr>
        <vertAlign val="subscript"/>
        <sz val="10"/>
        <rFont val="Calibri"/>
        <family val="2"/>
        <scheme val="minor"/>
      </rPr>
      <t>22</t>
    </r>
    <r>
      <rPr>
        <sz val="10"/>
        <rFont val="Calibri"/>
        <family val="2"/>
        <scheme val="minor"/>
      </rPr>
      <t xml:space="preserve"> =</t>
    </r>
  </si>
  <si>
    <r>
      <t>D</t>
    </r>
    <r>
      <rPr>
        <vertAlign val="subscript"/>
        <sz val="10"/>
        <rFont val="Calibri"/>
        <family val="2"/>
        <scheme val="minor"/>
      </rPr>
      <t>12</t>
    </r>
    <r>
      <rPr>
        <sz val="10"/>
        <rFont val="Calibri"/>
        <family val="2"/>
        <scheme val="minor"/>
      </rPr>
      <t xml:space="preserve"> =</t>
    </r>
  </si>
  <si>
    <r>
      <t>D</t>
    </r>
    <r>
      <rPr>
        <vertAlign val="subscript"/>
        <sz val="10"/>
        <rFont val="Calibri"/>
        <family val="2"/>
        <scheme val="minor"/>
      </rPr>
      <t>21</t>
    </r>
    <r>
      <rPr>
        <sz val="10"/>
        <rFont val="Calibri"/>
        <family val="2"/>
        <scheme val="minor"/>
      </rPr>
      <t xml:space="preserve"> =</t>
    </r>
  </si>
  <si>
    <r>
      <t>D</t>
    </r>
    <r>
      <rPr>
        <vertAlign val="subscript"/>
        <sz val="10"/>
        <rFont val="Calibri"/>
        <family val="2"/>
        <scheme val="minor"/>
      </rPr>
      <t>13</t>
    </r>
    <r>
      <rPr>
        <sz val="10"/>
        <rFont val="Calibri"/>
        <family val="2"/>
        <scheme val="minor"/>
      </rPr>
      <t xml:space="preserve"> =</t>
    </r>
  </si>
  <si>
    <r>
      <t>D</t>
    </r>
    <r>
      <rPr>
        <vertAlign val="subscript"/>
        <sz val="10"/>
        <rFont val="Calibri"/>
        <family val="2"/>
        <scheme val="minor"/>
      </rPr>
      <t>31</t>
    </r>
    <r>
      <rPr>
        <sz val="10"/>
        <rFont val="Calibri"/>
        <family val="2"/>
        <scheme val="minor"/>
      </rPr>
      <t xml:space="preserve"> =</t>
    </r>
  </si>
  <si>
    <r>
      <t>D</t>
    </r>
    <r>
      <rPr>
        <vertAlign val="subscript"/>
        <sz val="10"/>
        <rFont val="Calibri"/>
        <family val="2"/>
        <scheme val="minor"/>
      </rPr>
      <t>32</t>
    </r>
    <r>
      <rPr>
        <sz val="10"/>
        <rFont val="Calibri"/>
        <family val="2"/>
        <scheme val="minor"/>
      </rPr>
      <t xml:space="preserve"> =</t>
    </r>
  </si>
  <si>
    <r>
      <t>D</t>
    </r>
    <r>
      <rPr>
        <vertAlign val="subscript"/>
        <sz val="10"/>
        <rFont val="Calibri"/>
        <family val="2"/>
        <scheme val="minor"/>
      </rPr>
      <t>23</t>
    </r>
    <r>
      <rPr>
        <sz val="10"/>
        <rFont val="Calibri"/>
        <family val="2"/>
        <scheme val="minor"/>
      </rPr>
      <t xml:space="preserve"> =</t>
    </r>
  </si>
  <si>
    <r>
      <t>D</t>
    </r>
    <r>
      <rPr>
        <vertAlign val="subscript"/>
        <sz val="10"/>
        <rFont val="Calibri"/>
        <family val="2"/>
        <scheme val="minor"/>
      </rPr>
      <t>33</t>
    </r>
    <r>
      <rPr>
        <sz val="10"/>
        <rFont val="Calibri"/>
        <family val="2"/>
        <scheme val="minor"/>
      </rPr>
      <t xml:space="preserve"> =</t>
    </r>
  </si>
  <si>
    <r>
      <t>Load</t>
    </r>
    <r>
      <rPr>
        <b/>
        <vertAlign val="subscript"/>
        <sz val="10"/>
        <rFont val="Calibri"/>
        <family val="2"/>
        <scheme val="minor"/>
      </rPr>
      <t>xx</t>
    </r>
  </si>
  <si>
    <r>
      <t>Flow</t>
    </r>
    <r>
      <rPr>
        <b/>
        <vertAlign val="subscript"/>
        <sz val="10"/>
        <rFont val="Calibri"/>
        <family val="2"/>
        <scheme val="minor"/>
      </rPr>
      <t>xx</t>
    </r>
  </si>
  <si>
    <r>
      <t>Load</t>
    </r>
    <r>
      <rPr>
        <b/>
        <vertAlign val="subscript"/>
        <sz val="10"/>
        <rFont val="Calibri"/>
        <family val="2"/>
        <scheme val="minor"/>
      </rPr>
      <t>yy</t>
    </r>
  </si>
  <si>
    <r>
      <t>Flow</t>
    </r>
    <r>
      <rPr>
        <b/>
        <vertAlign val="subscript"/>
        <sz val="10"/>
        <rFont val="Calibri"/>
        <family val="2"/>
        <scheme val="minor"/>
      </rPr>
      <t>yy</t>
    </r>
  </si>
  <si>
    <r>
      <t>Load</t>
    </r>
    <r>
      <rPr>
        <b/>
        <vertAlign val="subscript"/>
        <sz val="10"/>
        <rFont val="Calibri"/>
        <family val="2"/>
        <scheme val="minor"/>
      </rPr>
      <t>xy</t>
    </r>
  </si>
  <si>
    <r>
      <t>Flow</t>
    </r>
    <r>
      <rPr>
        <b/>
        <vertAlign val="subscript"/>
        <sz val="10"/>
        <rFont val="Calibri"/>
        <family val="2"/>
        <scheme val="minor"/>
      </rPr>
      <t>xy</t>
    </r>
  </si>
  <si>
    <r>
      <t>Moment</t>
    </r>
    <r>
      <rPr>
        <b/>
        <vertAlign val="subscript"/>
        <sz val="10"/>
        <rFont val="Calibri"/>
        <family val="2"/>
        <scheme val="minor"/>
      </rPr>
      <t>XX</t>
    </r>
  </si>
  <si>
    <r>
      <t>Moment</t>
    </r>
    <r>
      <rPr>
        <b/>
        <vertAlign val="subscript"/>
        <sz val="10"/>
        <rFont val="Calibri"/>
        <family val="2"/>
        <scheme val="minor"/>
      </rPr>
      <t>xx</t>
    </r>
  </si>
  <si>
    <r>
      <t>Moment</t>
    </r>
    <r>
      <rPr>
        <b/>
        <vertAlign val="subscript"/>
        <sz val="10"/>
        <rFont val="Calibri"/>
        <family val="2"/>
        <scheme val="minor"/>
      </rPr>
      <t>YY</t>
    </r>
  </si>
  <si>
    <r>
      <t>Moment</t>
    </r>
    <r>
      <rPr>
        <b/>
        <vertAlign val="subscript"/>
        <sz val="10"/>
        <rFont val="Calibri"/>
        <family val="2"/>
        <scheme val="minor"/>
      </rPr>
      <t>yy</t>
    </r>
  </si>
  <si>
    <r>
      <t>Moment</t>
    </r>
    <r>
      <rPr>
        <b/>
        <vertAlign val="subscript"/>
        <sz val="10"/>
        <rFont val="Calibri"/>
        <family val="2"/>
        <scheme val="minor"/>
      </rPr>
      <t>xy</t>
    </r>
  </si>
  <si>
    <r>
      <t>E</t>
    </r>
    <r>
      <rPr>
        <vertAlign val="subscript"/>
        <sz val="10"/>
        <rFont val="Calibri"/>
        <family val="2"/>
        <scheme val="minor"/>
      </rPr>
      <t>xx</t>
    </r>
    <r>
      <rPr>
        <sz val="10"/>
        <rFont val="Calibri"/>
        <family val="2"/>
        <scheme val="minor"/>
      </rPr>
      <t xml:space="preserve"> =</t>
    </r>
  </si>
  <si>
    <r>
      <t>E</t>
    </r>
    <r>
      <rPr>
        <vertAlign val="subscript"/>
        <sz val="10"/>
        <rFont val="Calibri"/>
        <family val="2"/>
        <scheme val="minor"/>
      </rPr>
      <t>yy</t>
    </r>
    <r>
      <rPr>
        <sz val="10"/>
        <rFont val="Calibri"/>
        <family val="2"/>
        <scheme val="minor"/>
      </rPr>
      <t xml:space="preserve"> =</t>
    </r>
  </si>
  <si>
    <r>
      <t>G</t>
    </r>
    <r>
      <rPr>
        <vertAlign val="subscript"/>
        <sz val="10"/>
        <rFont val="Calibri"/>
        <family val="2"/>
        <scheme val="minor"/>
      </rPr>
      <t>xy</t>
    </r>
    <r>
      <rPr>
        <sz val="10"/>
        <rFont val="Calibri"/>
        <family val="2"/>
        <scheme val="minor"/>
      </rPr>
      <t xml:space="preserve"> =</t>
    </r>
  </si>
  <si>
    <r>
      <t>v</t>
    </r>
    <r>
      <rPr>
        <vertAlign val="subscript"/>
        <sz val="10"/>
        <rFont val="Calibri"/>
        <family val="2"/>
        <scheme val="minor"/>
      </rPr>
      <t>xy</t>
    </r>
    <r>
      <rPr>
        <sz val="10"/>
        <rFont val="Calibri"/>
        <family val="2"/>
        <scheme val="minor"/>
      </rPr>
      <t xml:space="preserve"> =</t>
    </r>
  </si>
  <si>
    <r>
      <t>v</t>
    </r>
    <r>
      <rPr>
        <vertAlign val="subscript"/>
        <sz val="10"/>
        <rFont val="Calibri"/>
        <family val="2"/>
        <scheme val="minor"/>
      </rPr>
      <t>yx</t>
    </r>
    <r>
      <rPr>
        <sz val="10"/>
        <rFont val="Calibri"/>
        <family val="2"/>
        <scheme val="minor"/>
      </rPr>
      <t xml:space="preserve"> =</t>
    </r>
  </si>
  <si>
    <t>D</t>
  </si>
  <si>
    <t>Ply</t>
  </si>
  <si>
    <t>Number</t>
  </si>
  <si>
    <t>(in)</t>
  </si>
  <si>
    <t>test</t>
  </si>
  <si>
    <t>Pre-Preg S-Glass Cloth</t>
  </si>
  <si>
    <t>Blank</t>
  </si>
  <si>
    <t xml:space="preserve"> </t>
  </si>
  <si>
    <t>Number of Plies</t>
  </si>
  <si>
    <t>Number of Zeros</t>
  </si>
  <si>
    <t>Author:</t>
  </si>
  <si>
    <t>Total Pages:</t>
  </si>
  <si>
    <t>Check:</t>
  </si>
  <si>
    <t>Report:</t>
  </si>
  <si>
    <t>Section Number:</t>
  </si>
  <si>
    <t>Sheet Name</t>
  </si>
  <si>
    <t>Report Title:</t>
  </si>
  <si>
    <t>STANDARD SPREADSHEET METHOD</t>
  </si>
  <si>
    <t>Section:</t>
  </si>
  <si>
    <t>AA-SM-101-108</t>
  </si>
  <si>
    <t>LAMINATE STRESS ANALYSIS</t>
  </si>
  <si>
    <t>Document Number:</t>
  </si>
  <si>
    <t>Revision Level :</t>
  </si>
  <si>
    <t>Page:</t>
  </si>
  <si>
    <t>in</t>
  </si>
  <si>
    <t>lb</t>
  </si>
  <si>
    <t>inlb</t>
  </si>
  <si>
    <t>lb/in</t>
  </si>
  <si>
    <t>inlb/in</t>
  </si>
  <si>
    <t>If you see errors on this spreadsheet it is because you do not have the XL-Viking Plugin, to find out more:</t>
  </si>
  <si>
    <t>www.XL-Viking.com</t>
  </si>
  <si>
    <t>Total Report Pages:</t>
  </si>
  <si>
    <t>IMPORTANT INFORMATION</t>
  </si>
  <si>
    <t>About us:</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</si>
  <si>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</si>
  <si>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</si>
  <si>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</si>
  <si>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</si>
  <si>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</si>
  <si>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 xml:space="preserve"> spreadsheets@abbottaerospace.com</t>
  </si>
  <si>
    <t>Proprietary information:</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</si>
  <si>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</si>
  <si>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</si>
  <si>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</si>
  <si>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</si>
  <si>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</si>
  <si>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</si>
  <si>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</si>
  <si>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</si>
  <si>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</si>
  <si>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</si>
  <si>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(Abbott, Richard. Analysis and Design of Composite and Metallic Flight Vehicle Structures 1st Edition, 2016)</t>
  </si>
  <si>
    <r>
      <t>E</t>
    </r>
    <r>
      <rPr>
        <vertAlign val="subscript"/>
        <sz val="8"/>
        <rFont val="Calibri"/>
        <family val="2"/>
        <scheme val="minor"/>
      </rPr>
      <t>av11</t>
    </r>
    <r>
      <rPr>
        <sz val="8"/>
        <rFont val="Calibri"/>
        <family val="2"/>
        <scheme val="minor"/>
      </rPr>
      <t xml:space="preserve"> =</t>
    </r>
  </si>
  <si>
    <r>
      <t>E</t>
    </r>
    <r>
      <rPr>
        <vertAlign val="subscript"/>
        <sz val="8"/>
        <rFont val="Calibri"/>
        <family val="2"/>
        <scheme val="minor"/>
      </rPr>
      <t>av22</t>
    </r>
    <r>
      <rPr>
        <sz val="8"/>
        <rFont val="Calibri"/>
        <family val="2"/>
        <scheme val="minor"/>
      </rPr>
      <t xml:space="preserve"> =</t>
    </r>
  </si>
  <si>
    <r>
      <t>v</t>
    </r>
    <r>
      <rPr>
        <vertAlign val="subscript"/>
        <sz val="8"/>
        <rFont val="Calibri"/>
        <family val="2"/>
        <scheme val="minor"/>
      </rPr>
      <t>12</t>
    </r>
    <r>
      <rPr>
        <sz val="8"/>
        <rFont val="Calibri"/>
        <family val="2"/>
        <scheme val="minor"/>
      </rPr>
      <t xml:space="preserve"> =</t>
    </r>
  </si>
  <si>
    <r>
      <t>v</t>
    </r>
    <r>
      <rPr>
        <vertAlign val="subscript"/>
        <sz val="8"/>
        <rFont val="Calibri"/>
        <family val="2"/>
        <scheme val="minor"/>
      </rPr>
      <t>21</t>
    </r>
    <r>
      <rPr>
        <sz val="8"/>
        <rFont val="Calibri"/>
        <family val="2"/>
        <scheme val="minor"/>
      </rPr>
      <t xml:space="preserve"> =</t>
    </r>
  </si>
  <si>
    <r>
      <t>G</t>
    </r>
    <r>
      <rPr>
        <vertAlign val="subscript"/>
        <sz val="8"/>
        <rFont val="Calibri"/>
        <family val="2"/>
        <scheme val="minor"/>
      </rPr>
      <t>12</t>
    </r>
    <r>
      <rPr>
        <sz val="8"/>
        <rFont val="Calibri"/>
        <family val="2"/>
        <scheme val="minor"/>
      </rPr>
      <t xml:space="preserve"> =</t>
    </r>
  </si>
  <si>
    <r>
      <t>Ftu</t>
    </r>
    <r>
      <rPr>
        <vertAlign val="subscript"/>
        <sz val="8"/>
        <rFont val="Calibri"/>
        <family val="2"/>
        <scheme val="minor"/>
      </rPr>
      <t>1</t>
    </r>
    <r>
      <rPr>
        <sz val="8"/>
        <rFont val="Calibri"/>
        <family val="2"/>
        <scheme val="minor"/>
      </rPr>
      <t xml:space="preserve"> =</t>
    </r>
  </si>
  <si>
    <r>
      <t>Ftu</t>
    </r>
    <r>
      <rPr>
        <vertAlign val="subscript"/>
        <sz val="8"/>
        <rFont val="Calibri"/>
        <family val="2"/>
        <scheme val="minor"/>
      </rPr>
      <t>2</t>
    </r>
    <r>
      <rPr>
        <sz val="8"/>
        <rFont val="Calibri"/>
        <family val="2"/>
        <scheme val="minor"/>
      </rPr>
      <t xml:space="preserve"> =</t>
    </r>
  </si>
  <si>
    <r>
      <t>Fcu</t>
    </r>
    <r>
      <rPr>
        <vertAlign val="subscript"/>
        <sz val="8"/>
        <rFont val="Calibri"/>
        <family val="2"/>
        <scheme val="minor"/>
      </rPr>
      <t>1</t>
    </r>
    <r>
      <rPr>
        <sz val="8"/>
        <rFont val="Calibri"/>
        <family val="2"/>
        <scheme val="minor"/>
      </rPr>
      <t xml:space="preserve"> =</t>
    </r>
  </si>
  <si>
    <r>
      <t>Fcu</t>
    </r>
    <r>
      <rPr>
        <vertAlign val="subscript"/>
        <sz val="8"/>
        <rFont val="Calibri"/>
        <family val="2"/>
        <scheme val="minor"/>
      </rPr>
      <t>2</t>
    </r>
    <r>
      <rPr>
        <sz val="8"/>
        <rFont val="Calibri"/>
        <family val="2"/>
        <scheme val="minor"/>
      </rPr>
      <t xml:space="preserve"> =</t>
    </r>
  </si>
  <si>
    <r>
      <t>Fsu</t>
    </r>
    <r>
      <rPr>
        <vertAlign val="subscript"/>
        <sz val="8"/>
        <rFont val="Calibri"/>
        <family val="2"/>
        <scheme val="minor"/>
      </rPr>
      <t>12</t>
    </r>
    <r>
      <rPr>
        <sz val="8"/>
        <rFont val="Calibri"/>
        <family val="2"/>
        <scheme val="minor"/>
      </rPr>
      <t xml:space="preserve"> =</t>
    </r>
  </si>
  <si>
    <r>
      <t>F</t>
    </r>
    <r>
      <rPr>
        <vertAlign val="subscript"/>
        <sz val="8"/>
        <rFont val="Calibri"/>
        <family val="2"/>
        <scheme val="minor"/>
      </rPr>
      <t>x</t>
    </r>
  </si>
  <si>
    <r>
      <t>F</t>
    </r>
    <r>
      <rPr>
        <vertAlign val="subscript"/>
        <sz val="8"/>
        <rFont val="Calibri"/>
        <family val="2"/>
        <scheme val="minor"/>
      </rPr>
      <t>y</t>
    </r>
  </si>
  <si>
    <r>
      <t>F</t>
    </r>
    <r>
      <rPr>
        <vertAlign val="subscript"/>
        <sz val="8"/>
        <rFont val="Calibri"/>
        <family val="2"/>
        <scheme val="minor"/>
      </rPr>
      <t>xy</t>
    </r>
  </si>
  <si>
    <r>
      <t>F</t>
    </r>
    <r>
      <rPr>
        <vertAlign val="subscript"/>
        <sz val="8"/>
        <rFont val="Calibri"/>
        <family val="2"/>
        <scheme val="minor"/>
      </rPr>
      <t>1tu</t>
    </r>
  </si>
  <si>
    <r>
      <t>F</t>
    </r>
    <r>
      <rPr>
        <vertAlign val="subscript"/>
        <sz val="8"/>
        <rFont val="Calibri"/>
        <family val="2"/>
        <scheme val="minor"/>
      </rPr>
      <t>1cu</t>
    </r>
  </si>
  <si>
    <r>
      <t>F</t>
    </r>
    <r>
      <rPr>
        <vertAlign val="subscript"/>
        <sz val="8"/>
        <rFont val="Calibri"/>
        <family val="2"/>
        <scheme val="minor"/>
      </rPr>
      <t>2tu</t>
    </r>
  </si>
  <si>
    <r>
      <t>F</t>
    </r>
    <r>
      <rPr>
        <vertAlign val="subscript"/>
        <sz val="8"/>
        <rFont val="Calibri"/>
        <family val="2"/>
        <scheme val="minor"/>
      </rPr>
      <t>2cu</t>
    </r>
  </si>
  <si>
    <r>
      <t>F</t>
    </r>
    <r>
      <rPr>
        <vertAlign val="subscript"/>
        <sz val="8"/>
        <rFont val="Calibri"/>
        <family val="2"/>
        <scheme val="minor"/>
      </rPr>
      <t>12su</t>
    </r>
  </si>
  <si>
    <r>
      <t>F</t>
    </r>
    <r>
      <rPr>
        <vertAlign val="subscript"/>
        <sz val="8"/>
        <rFont val="Calibri"/>
        <family val="2"/>
        <scheme val="minor"/>
      </rPr>
      <t>11</t>
    </r>
  </si>
  <si>
    <r>
      <t>F</t>
    </r>
    <r>
      <rPr>
        <vertAlign val="subscript"/>
        <sz val="8"/>
        <rFont val="Calibri"/>
        <family val="2"/>
        <scheme val="minor"/>
      </rPr>
      <t>22</t>
    </r>
  </si>
  <si>
    <r>
      <t>F</t>
    </r>
    <r>
      <rPr>
        <vertAlign val="subscript"/>
        <sz val="8"/>
        <rFont val="Calibri"/>
        <family val="2"/>
        <scheme val="minor"/>
      </rPr>
      <t>66</t>
    </r>
  </si>
  <si>
    <r>
      <t>F</t>
    </r>
    <r>
      <rPr>
        <vertAlign val="subscript"/>
        <sz val="8"/>
        <rFont val="Calibri"/>
        <family val="2"/>
        <scheme val="minor"/>
      </rPr>
      <t>12</t>
    </r>
  </si>
  <si>
    <r>
      <t>F</t>
    </r>
    <r>
      <rPr>
        <vertAlign val="subscript"/>
        <sz val="8"/>
        <rFont val="Calibri"/>
        <family val="2"/>
        <scheme val="minor"/>
      </rPr>
      <t>1</t>
    </r>
  </si>
  <si>
    <r>
      <t>F</t>
    </r>
    <r>
      <rPr>
        <vertAlign val="subscript"/>
        <sz val="8"/>
        <rFont val="Calibri"/>
        <family val="2"/>
        <scheme val="minor"/>
      </rPr>
      <t>2</t>
    </r>
  </si>
  <si>
    <r>
      <t>F</t>
    </r>
    <r>
      <rPr>
        <vertAlign val="subscript"/>
        <sz val="8"/>
        <rFont val="Calibri"/>
        <family val="2"/>
        <scheme val="minor"/>
      </rPr>
      <t>12</t>
    </r>
    <r>
      <rPr>
        <sz val="8"/>
        <rFont val="Calibri"/>
        <family val="2"/>
        <scheme val="minor"/>
      </rPr>
      <t>*</t>
    </r>
  </si>
  <si>
    <r>
      <t>F</t>
    </r>
    <r>
      <rPr>
        <vertAlign val="subscript"/>
        <sz val="8"/>
        <rFont val="Calibri"/>
        <family val="2"/>
        <scheme val="minor"/>
      </rPr>
      <t>tu2</t>
    </r>
  </si>
  <si>
    <r>
      <t>Q</t>
    </r>
    <r>
      <rPr>
        <vertAlign val="subscript"/>
        <sz val="8"/>
        <rFont val="Calibri"/>
        <family val="2"/>
        <scheme val="minor"/>
      </rPr>
      <t>11</t>
    </r>
    <r>
      <rPr>
        <sz val="8"/>
        <rFont val="Calibri"/>
        <family val="2"/>
        <scheme val="minor"/>
      </rPr>
      <t xml:space="preserve"> =</t>
    </r>
  </si>
  <si>
    <r>
      <t>Q</t>
    </r>
    <r>
      <rPr>
        <vertAlign val="subscript"/>
        <sz val="8"/>
        <rFont val="Calibri"/>
        <family val="2"/>
        <scheme val="minor"/>
      </rPr>
      <t>22</t>
    </r>
    <r>
      <rPr>
        <sz val="8"/>
        <rFont val="Calibri"/>
        <family val="2"/>
        <scheme val="minor"/>
      </rPr>
      <t xml:space="preserve"> =</t>
    </r>
  </si>
  <si>
    <r>
      <t>Q</t>
    </r>
    <r>
      <rPr>
        <vertAlign val="subscript"/>
        <sz val="8"/>
        <rFont val="Calibri"/>
        <family val="2"/>
        <scheme val="minor"/>
      </rPr>
      <t>12</t>
    </r>
    <r>
      <rPr>
        <sz val="8"/>
        <rFont val="Calibri"/>
        <family val="2"/>
        <scheme val="minor"/>
      </rPr>
      <t xml:space="preserve"> =</t>
    </r>
  </si>
  <si>
    <r>
      <t>Q</t>
    </r>
    <r>
      <rPr>
        <vertAlign val="subscript"/>
        <sz val="8"/>
        <rFont val="Calibri"/>
        <family val="2"/>
        <scheme val="minor"/>
      </rPr>
      <t>21</t>
    </r>
    <r>
      <rPr>
        <sz val="8"/>
        <rFont val="Calibri"/>
        <family val="2"/>
        <scheme val="minor"/>
      </rPr>
      <t xml:space="preserve"> =</t>
    </r>
  </si>
  <si>
    <r>
      <t>Q</t>
    </r>
    <r>
      <rPr>
        <vertAlign val="subscript"/>
        <sz val="8"/>
        <rFont val="Calibri"/>
        <family val="2"/>
        <scheme val="minor"/>
      </rPr>
      <t>13</t>
    </r>
    <r>
      <rPr>
        <sz val="8"/>
        <rFont val="Calibri"/>
        <family val="2"/>
        <scheme val="minor"/>
      </rPr>
      <t xml:space="preserve"> =</t>
    </r>
  </si>
  <si>
    <r>
      <t>Q</t>
    </r>
    <r>
      <rPr>
        <vertAlign val="subscript"/>
        <sz val="8"/>
        <rFont val="Calibri"/>
        <family val="2"/>
        <scheme val="minor"/>
      </rPr>
      <t>31</t>
    </r>
    <r>
      <rPr>
        <sz val="8"/>
        <rFont val="Calibri"/>
        <family val="2"/>
        <scheme val="minor"/>
      </rPr>
      <t xml:space="preserve"> =</t>
    </r>
  </si>
  <si>
    <r>
      <t>Q</t>
    </r>
    <r>
      <rPr>
        <vertAlign val="subscript"/>
        <sz val="8"/>
        <rFont val="Calibri"/>
        <family val="2"/>
        <scheme val="minor"/>
      </rPr>
      <t>32</t>
    </r>
    <r>
      <rPr>
        <sz val="8"/>
        <rFont val="Calibri"/>
        <family val="2"/>
        <scheme val="minor"/>
      </rPr>
      <t xml:space="preserve"> =</t>
    </r>
  </si>
  <si>
    <r>
      <t>Q</t>
    </r>
    <r>
      <rPr>
        <vertAlign val="subscript"/>
        <sz val="8"/>
        <rFont val="Calibri"/>
        <family val="2"/>
        <scheme val="minor"/>
      </rPr>
      <t>23</t>
    </r>
    <r>
      <rPr>
        <sz val="8"/>
        <rFont val="Calibri"/>
        <family val="2"/>
        <scheme val="minor"/>
      </rPr>
      <t xml:space="preserve"> =</t>
    </r>
  </si>
  <si>
    <r>
      <t>Q</t>
    </r>
    <r>
      <rPr>
        <vertAlign val="subscript"/>
        <sz val="8"/>
        <rFont val="Calibri"/>
        <family val="2"/>
        <scheme val="minor"/>
      </rPr>
      <t>33</t>
    </r>
    <r>
      <rPr>
        <sz val="8"/>
        <rFont val="Calibri"/>
        <family val="2"/>
        <scheme val="minor"/>
      </rPr>
      <t xml:space="preserve"> =</t>
    </r>
  </si>
  <si>
    <r>
      <t>e</t>
    </r>
    <r>
      <rPr>
        <vertAlign val="subscript"/>
        <sz val="9"/>
        <rFont val="Calibri"/>
        <family val="2"/>
        <scheme val="minor"/>
      </rPr>
      <t>x</t>
    </r>
  </si>
  <si>
    <r>
      <t>e</t>
    </r>
    <r>
      <rPr>
        <vertAlign val="subscript"/>
        <sz val="9"/>
        <rFont val="Calibri"/>
        <family val="2"/>
        <scheme val="minor"/>
      </rPr>
      <t>y</t>
    </r>
  </si>
  <si>
    <r>
      <t>g</t>
    </r>
    <r>
      <rPr>
        <vertAlign val="subscript"/>
        <sz val="9"/>
        <rFont val="Calibri"/>
        <family val="2"/>
        <scheme val="minor"/>
      </rPr>
      <t>xy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</si>
</sst>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0.000"/>
    <numFmt numFmtId="165" formatCode="0.0"/>
    <numFmt numFmtId="166" formatCode="0.0000"/>
    <numFmt numFmtId="167" formatCode="0.00000"/>
    <numFmt numFmtId="168" formatCode="0.000000"/>
    <numFmt numFmtId="169" formatCode="0.000E+00"/>
    <numFmt numFmtId="170" formatCode="0.0E+00"/>
    <numFmt numFmtId="171" formatCode="0.0%"/>
    <numFmt numFmtId="172" formatCode="0&quot;*&quot;"/>
  </numFmts>
  <fonts count="34" x14ac:knownFonts="1">
    <font>
      <sz val="10"/>
      <name val="Arial"/>
    </font>
    <font>
      <sz val="10"/>
      <name val="Arial"/>
      <family val="2"/>
    </font>
    <font>
      <sz val="10"/>
      <name val="Arial"/>
      <family val="2"/>
    </font>
    <font>
      <sz val="8"/>
      <name val="Arial"/>
      <family val="2"/>
    </font>
    <font>
      <b/>
      <sz val="10"/>
      <name val="Arial"/>
      <family val="2"/>
    </font>
    <font>
      <b/>
      <sz val="8"/>
      <name val="Arial"/>
      <family val="2"/>
    </font>
    <font>
      <vertAlign val="subscript"/>
      <sz val="8"/>
      <name val="Arial"/>
      <family val="2"/>
    </font>
    <font>
      <sz val="10"/>
      <color indexed="14"/>
      <name val="Arial"/>
      <family val="2"/>
    </font>
    <font>
      <sz val="12"/>
      <name val="Calibri"/>
      <family val="2"/>
      <scheme val="minor"/>
    </font>
    <font>
      <b/>
      <sz val="12"/>
      <name val="Calibri"/>
      <family val="2"/>
      <scheme val="minor"/>
    </font>
    <font>
      <sz val="10"/>
      <name val="Calibri"/>
      <family val="2"/>
      <scheme val="minor"/>
    </font>
    <font>
      <b/>
      <i/>
      <sz val="10"/>
      <name val="Calibri"/>
      <family val="2"/>
      <scheme val="minor"/>
    </font>
    <font>
      <b/>
      <sz val="10"/>
      <name val="Calibri"/>
      <family val="2"/>
      <scheme val="minor"/>
    </font>
    <font>
      <vertAlign val="subscript"/>
      <sz val="10"/>
      <name val="Calibri"/>
      <family val="2"/>
      <scheme val="minor"/>
    </font>
    <font>
      <b/>
      <sz val="10"/>
      <color indexed="12"/>
      <name val="Calibri"/>
      <family val="2"/>
      <scheme val="minor"/>
    </font>
    <font>
      <sz val="10"/>
      <color indexed="12"/>
      <name val="Calibri"/>
      <family val="2"/>
      <scheme val="minor"/>
    </font>
    <font>
      <b/>
      <vertAlign val="subscript"/>
      <sz val="10"/>
      <name val="Calibri"/>
      <family val="2"/>
      <scheme val="minor"/>
    </font>
    <font>
      <sz val="10"/>
      <color indexed="8"/>
      <name val="Calibri"/>
      <family val="2"/>
      <scheme val="minor"/>
    </font>
    <font>
      <b/>
      <u/>
      <sz val="10"/>
      <name val="Calibri"/>
      <family val="2"/>
      <scheme val="minor"/>
    </font>
    <font>
      <b/>
      <sz val="8"/>
      <name val="Calibri"/>
      <family val="2"/>
      <scheme val="minor"/>
    </font>
    <font>
      <b/>
      <sz val="10"/>
      <color rgb="FFFF0000"/>
      <name val="Calibri"/>
      <family val="2"/>
      <scheme val="minor"/>
    </font>
    <font>
      <b/>
      <sz val="10"/>
      <color rgb="FF0000FF"/>
      <name val="Calibri"/>
      <family val="2"/>
      <scheme val="minor"/>
    </font>
    <font>
      <u/>
      <sz val="10"/>
      <color theme="10"/>
      <name val="Calibri"/>
      <family val="2"/>
    </font>
    <font>
      <b/>
      <i/>
      <u/>
      <sz val="10"/>
      <color theme="10"/>
      <name val="Calibri"/>
      <family val="2"/>
    </font>
    <font>
      <u/>
      <sz val="10"/>
      <color theme="10"/>
      <name val="Arial"/>
      <family val="2"/>
    </font>
    <font>
      <u/>
      <sz val="10"/>
      <color theme="10"/>
      <name val="Calibri"/>
      <family val="2"/>
      <scheme val="minor"/>
    </font>
    <font>
      <sz val="8"/>
      <name val="Calibri"/>
      <family val="2"/>
      <scheme val="minor"/>
    </font>
    <font>
      <vertAlign val="subscript"/>
      <sz val="8"/>
      <name val="Calibri"/>
      <family val="2"/>
      <scheme val="minor"/>
    </font>
    <font>
      <sz val="9"/>
      <name val="Calibri"/>
      <family val="2"/>
      <scheme val="minor"/>
    </font>
    <font>
      <b/>
      <sz val="9"/>
      <color indexed="12"/>
      <name val="Calibri"/>
      <family val="2"/>
      <scheme val="minor"/>
    </font>
    <font>
      <sz val="9"/>
      <color rgb="FF0000FF"/>
      <name val="Calibri"/>
      <family val="2"/>
      <scheme val="minor"/>
    </font>
    <font>
      <b/>
      <sz val="9"/>
      <name val="Calibri"/>
      <family val="2"/>
      <scheme val="minor"/>
    </font>
    <font>
      <vertAlign val="subscript"/>
      <sz val="9"/>
      <name val="Calibri"/>
      <family val="2"/>
      <scheme val="minor"/>
    </font>
    <font>
      <sz val="9"/>
      <color indexed="12"/>
      <name val="Calibri"/>
      <family val="2"/>
      <scheme val="minor"/>
    </font>
  </fonts>
  <fills count="3">
    <fill>
      <patternFill patternType="none"/>
    </fill>
    <fill>
      <patternFill patternType="gray125"/>
    </fill>
    <fill>
      <patternFill patternType="solid">
        <fgColor indexed="43"/>
        <bgColor indexed="64"/>
      </patternFill>
    </fill>
  </fills>
  <borders count="24">
    <border>
      <left/>
      <right/>
      <top/>
      <bottom/>
      <diagonal/>
    </border>
    <border>
      <left/>
      <right style="thin">
        <color indexed="64"/>
      </right>
      <top style="thick">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style="thin">
        <color indexed="55"/>
      </left>
      <right style="thin">
        <color indexed="55"/>
      </right>
      <top/>
      <bottom style="thin">
        <color indexed="55"/>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22" fillId="0" borderId="0" applyNumberFormat="0" applyFill="0" applyBorder="0" applyAlignment="0" applyProtection="0">
      <alignment vertical="top"/>
      <protection locked="0"/>
    </xf>
    <xf numFmtId="0" fontId="1" fillId="0" borderId="0"/>
    <xf numFmtId="0" fontId="24" fillId="0" borderId="0" applyNumberFormat="0" applyFill="0" applyBorder="0" applyAlignment="0" applyProtection="0"/>
    <xf numFmtId="0" fontId="22" fillId="0" borderId="0" applyNumberFormat="0" applyFill="0" applyBorder="0" applyAlignment="0" applyProtection="0">
      <alignment vertical="top"/>
      <protection locked="0"/>
    </xf>
  </cellStyleXfs>
  <cellXfs count="383">
    <xf numFmtId="0" fontId="0" fillId="0" borderId="0" xfId="0"/>
    <xf numFmtId="0" fontId="0" fillId="0" borderId="1" xfId="0" applyBorder="1" applyAlignment="1">
      <alignment horizontal="center"/>
    </xf>
    <xf numFmtId="2" fontId="0" fillId="0" borderId="0" xfId="0" applyNumberFormat="1" applyFill="1" applyAlignment="1">
      <alignment horizontal="center"/>
    </xf>
    <xf numFmtId="0" fontId="0" fillId="0" borderId="0" xfId="0" applyAlignment="1">
      <alignment horizontal="center"/>
    </xf>
    <xf numFmtId="0" fontId="4" fillId="0" borderId="0" xfId="0" applyFont="1"/>
    <xf numFmtId="166" fontId="0" fillId="0" borderId="0" xfId="0" applyNumberFormat="1" applyAlignment="1">
      <alignment horizontal="center"/>
    </xf>
    <xf numFmtId="0" fontId="2" fillId="0" borderId="0" xfId="0" applyFont="1" applyFill="1" applyAlignment="1">
      <alignment horizontal="center"/>
    </xf>
    <xf numFmtId="0" fontId="2" fillId="0" borderId="0" xfId="0" applyFont="1" applyFill="1"/>
    <xf numFmtId="165" fontId="0" fillId="0" borderId="0" xfId="0" applyNumberFormat="1" applyAlignment="1">
      <alignment horizontal="center"/>
    </xf>
    <xf numFmtId="0" fontId="3" fillId="0" borderId="0" xfId="0" applyFont="1" applyFill="1" applyBorder="1" applyProtection="1"/>
    <xf numFmtId="0" fontId="5" fillId="0" borderId="0" xfId="0" applyFont="1" applyFill="1" applyBorder="1" applyProtection="1"/>
    <xf numFmtId="165" fontId="0" fillId="0" borderId="0" xfId="0" applyNumberFormat="1" applyFill="1" applyAlignment="1">
      <alignment horizontal="center"/>
    </xf>
    <xf numFmtId="0" fontId="3" fillId="0" borderId="0" xfId="0" applyFont="1" applyBorder="1" applyAlignment="1" applyProtection="1">
      <alignment horizontal="left"/>
    </xf>
    <xf numFmtId="0" fontId="3" fillId="0" borderId="0" xfId="0" applyFont="1" applyBorder="1" applyAlignment="1">
      <alignment horizontal="left"/>
    </xf>
    <xf numFmtId="165" fontId="7" fillId="0" borderId="0" xfId="0" applyNumberFormat="1" applyFont="1" applyFill="1" applyAlignment="1">
      <alignment horizontal="center"/>
    </xf>
    <xf numFmtId="2" fontId="7" fillId="0" borderId="0" xfId="0" applyNumberFormat="1" applyFont="1" applyFill="1" applyAlignment="1">
      <alignment horizontal="center"/>
    </xf>
    <xf numFmtId="0" fontId="7" fillId="0" borderId="0" xfId="0" applyFont="1" applyAlignment="1">
      <alignment horizontal="center"/>
    </xf>
    <xf numFmtId="165" fontId="7" fillId="0" borderId="0" xfId="0" applyNumberFormat="1" applyFont="1" applyAlignment="1">
      <alignment horizontal="center"/>
    </xf>
    <xf numFmtId="2" fontId="7" fillId="0" borderId="0" xfId="0" applyNumberFormat="1" applyFont="1" applyAlignment="1">
      <alignment horizontal="center"/>
    </xf>
    <xf numFmtId="0" fontId="7" fillId="0" borderId="0" xfId="0" applyFont="1"/>
    <xf numFmtId="2" fontId="1" fillId="0" borderId="0" xfId="0" applyNumberFormat="1" applyFont="1" applyFill="1" applyAlignment="1">
      <alignment horizontal="center"/>
    </xf>
    <xf numFmtId="0" fontId="1" fillId="0" borderId="1" xfId="0" applyFont="1" applyBorder="1" applyAlignment="1">
      <alignment horizontal="center"/>
    </xf>
    <xf numFmtId="165" fontId="1" fillId="0" borderId="0" xfId="0" applyNumberFormat="1" applyFont="1" applyAlignment="1">
      <alignment horizontal="center"/>
    </xf>
    <xf numFmtId="2" fontId="1" fillId="0" borderId="0" xfId="0" applyNumberFormat="1" applyFont="1" applyFill="1" applyBorder="1" applyAlignment="1">
      <alignment horizontal="center"/>
    </xf>
    <xf numFmtId="2" fontId="1" fillId="0" borderId="0" xfId="0" applyNumberFormat="1" applyFont="1" applyAlignment="1">
      <alignment horizontal="center"/>
    </xf>
    <xf numFmtId="0" fontId="1" fillId="0" borderId="0" xfId="0" applyFont="1"/>
    <xf numFmtId="165" fontId="1" fillId="0" borderId="0" xfId="0" applyNumberFormat="1" applyFont="1" applyFill="1" applyAlignment="1">
      <alignment horizontal="center"/>
    </xf>
    <xf numFmtId="164" fontId="1" fillId="0" borderId="0" xfId="0" applyNumberFormat="1" applyFont="1" applyFill="1" applyAlignment="1">
      <alignment horizontal="center"/>
    </xf>
    <xf numFmtId="164" fontId="1" fillId="0" borderId="0" xfId="0" applyNumberFormat="1" applyFont="1" applyAlignment="1">
      <alignment horizontal="center"/>
    </xf>
    <xf numFmtId="165" fontId="0" fillId="0" borderId="0" xfId="0" applyNumberFormat="1"/>
    <xf numFmtId="166" fontId="0" fillId="0" borderId="0" xfId="0" applyNumberFormat="1" applyFill="1" applyAlignment="1">
      <alignment horizontal="center"/>
    </xf>
    <xf numFmtId="167" fontId="0" fillId="0" borderId="0" xfId="0" applyNumberFormat="1" applyFill="1" applyAlignment="1">
      <alignment horizontal="center"/>
    </xf>
    <xf numFmtId="167" fontId="1" fillId="0" borderId="0" xfId="0" applyNumberFormat="1" applyFont="1" applyFill="1" applyAlignment="1">
      <alignment horizontal="center"/>
    </xf>
    <xf numFmtId="0" fontId="3" fillId="0" borderId="0" xfId="0" applyFont="1" applyFill="1" applyBorder="1" applyAlignment="1">
      <alignment horizontal="left"/>
    </xf>
    <xf numFmtId="164" fontId="7" fillId="0" borderId="0" xfId="0" applyNumberFormat="1" applyFont="1" applyFill="1" applyAlignment="1">
      <alignment horizontal="center"/>
    </xf>
    <xf numFmtId="0" fontId="8" fillId="0" borderId="0" xfId="0" applyFont="1" applyProtection="1"/>
    <xf numFmtId="0" fontId="10" fillId="0" borderId="0" xfId="0" applyFont="1" applyBorder="1" applyProtection="1"/>
    <xf numFmtId="0" fontId="10" fillId="0" borderId="7" xfId="0" applyFont="1" applyBorder="1" applyProtection="1"/>
    <xf numFmtId="0" fontId="10" fillId="0" borderId="4" xfId="0" applyFont="1" applyBorder="1" applyProtection="1"/>
    <xf numFmtId="0" fontId="10" fillId="0" borderId="0" xfId="0" applyFont="1" applyProtection="1"/>
    <xf numFmtId="0" fontId="10" fillId="0" borderId="6" xfId="0" applyFont="1" applyBorder="1" applyProtection="1"/>
    <xf numFmtId="0" fontId="10" fillId="0" borderId="2" xfId="0" applyFont="1" applyBorder="1" applyProtection="1"/>
    <xf numFmtId="0" fontId="8" fillId="0" borderId="0" xfId="0" applyFont="1" applyBorder="1" applyProtection="1"/>
    <xf numFmtId="0" fontId="11" fillId="0" borderId="0" xfId="0" applyFont="1" applyBorder="1" applyAlignment="1">
      <alignment horizontal="left" indent="5"/>
    </xf>
    <xf numFmtId="0" fontId="10" fillId="0" borderId="0" xfId="0" applyFont="1" applyBorder="1"/>
    <xf numFmtId="0" fontId="10" fillId="0" borderId="0" xfId="0" applyFont="1" applyBorder="1" applyAlignment="1">
      <alignment horizontal="right" vertical="center"/>
    </xf>
    <xf numFmtId="0" fontId="11" fillId="0" borderId="0" xfId="0" applyFont="1" applyBorder="1" applyAlignment="1" applyProtection="1">
      <alignment horizontal="left" vertical="center" indent="5"/>
      <protection locked="0"/>
    </xf>
    <xf numFmtId="0" fontId="10" fillId="0" borderId="0" xfId="0" applyFont="1" applyBorder="1" applyAlignment="1"/>
    <xf numFmtId="0" fontId="10" fillId="0" borderId="0" xfId="0" applyFont="1" applyBorder="1" applyAlignment="1">
      <alignment horizontal="right"/>
    </xf>
    <xf numFmtId="0" fontId="10" fillId="0" borderId="0" xfId="0" applyFont="1" applyBorder="1" applyAlignment="1">
      <alignment horizontal="right" vertical="top"/>
    </xf>
    <xf numFmtId="0" fontId="10" fillId="0" borderId="0" xfId="0" applyFont="1" applyBorder="1" applyAlignment="1" applyProtection="1"/>
    <xf numFmtId="0" fontId="10" fillId="0" borderId="6" xfId="0" applyFont="1" applyBorder="1" applyAlignment="1" applyProtection="1"/>
    <xf numFmtId="0" fontId="10" fillId="0" borderId="2" xfId="0" applyFont="1" applyBorder="1" applyAlignment="1" applyProtection="1"/>
    <xf numFmtId="0" fontId="10" fillId="0" borderId="0" xfId="0" applyFont="1" applyAlignment="1" applyProtection="1"/>
    <xf numFmtId="0" fontId="11" fillId="0" borderId="0" xfId="0" applyFont="1" applyBorder="1" applyAlignment="1">
      <alignment horizontal="left" vertical="top" indent="5"/>
    </xf>
    <xf numFmtId="0" fontId="10" fillId="0" borderId="0" xfId="0" applyFont="1" applyBorder="1" applyAlignment="1">
      <alignment vertical="top"/>
    </xf>
    <xf numFmtId="0" fontId="12" fillId="0" borderId="0" xfId="0" applyFont="1"/>
    <xf numFmtId="0" fontId="10" fillId="0" borderId="0" xfId="0" applyFont="1"/>
    <xf numFmtId="0" fontId="10" fillId="0" borderId="0" xfId="0" applyFont="1" applyAlignment="1">
      <alignment horizontal="center"/>
    </xf>
    <xf numFmtId="0" fontId="12" fillId="0" borderId="0" xfId="0" applyFont="1" applyBorder="1"/>
    <xf numFmtId="0" fontId="10" fillId="0" borderId="2" xfId="0" applyFont="1" applyBorder="1" applyAlignment="1">
      <alignment horizontal="center"/>
    </xf>
    <xf numFmtId="0" fontId="10" fillId="0" borderId="0" xfId="0" applyFont="1" applyBorder="1" applyAlignment="1">
      <alignment horizontal="center"/>
    </xf>
    <xf numFmtId="0" fontId="10" fillId="0" borderId="3" xfId="0" applyFont="1" applyBorder="1" applyAlignment="1">
      <alignment horizontal="center"/>
    </xf>
    <xf numFmtId="0" fontId="10" fillId="0" borderId="6" xfId="0" applyFont="1" applyBorder="1" applyAlignment="1">
      <alignment horizontal="center"/>
    </xf>
    <xf numFmtId="0" fontId="12" fillId="0" borderId="2" xfId="0" applyFont="1" applyFill="1" applyBorder="1" applyAlignment="1">
      <alignment horizontal="left"/>
    </xf>
    <xf numFmtId="0" fontId="10" fillId="0" borderId="0" xfId="0" applyFont="1" applyBorder="1" applyAlignment="1">
      <alignment horizontal="left"/>
    </xf>
    <xf numFmtId="0" fontId="10" fillId="0" borderId="3" xfId="0" applyFont="1" applyBorder="1" applyAlignment="1">
      <alignment horizontal="left"/>
    </xf>
    <xf numFmtId="0" fontId="12" fillId="0" borderId="2" xfId="0" applyFont="1" applyBorder="1" applyAlignment="1">
      <alignment horizontal="left"/>
    </xf>
    <xf numFmtId="2" fontId="12" fillId="0" borderId="2" xfId="0" applyNumberFormat="1" applyFont="1" applyBorder="1" applyAlignment="1">
      <alignment horizontal="left"/>
    </xf>
    <xf numFmtId="2" fontId="10" fillId="0" borderId="0" xfId="0" applyNumberFormat="1" applyFont="1" applyBorder="1" applyAlignment="1">
      <alignment horizontal="center"/>
    </xf>
    <xf numFmtId="2" fontId="10" fillId="0" borderId="3" xfId="0" applyNumberFormat="1" applyFont="1" applyBorder="1" applyAlignment="1">
      <alignment horizontal="center"/>
    </xf>
    <xf numFmtId="0" fontId="12" fillId="0" borderId="0" xfId="0" applyFont="1" applyAlignment="1">
      <alignment horizontal="left"/>
    </xf>
    <xf numFmtId="0" fontId="12" fillId="0" borderId="0" xfId="0" applyFont="1" applyBorder="1" applyAlignment="1">
      <alignment horizontal="left"/>
    </xf>
    <xf numFmtId="0" fontId="10" fillId="0" borderId="0" xfId="0" applyFont="1" applyBorder="1" applyAlignment="1" applyProtection="1">
      <alignment horizontal="right"/>
      <protection locked="0"/>
    </xf>
    <xf numFmtId="0" fontId="10" fillId="0" borderId="0" xfId="0" applyFont="1" applyBorder="1" applyAlignment="1" applyProtection="1">
      <alignment horizontal="center"/>
      <protection locked="0"/>
    </xf>
    <xf numFmtId="0" fontId="10" fillId="0" borderId="3" xfId="0" applyFont="1" applyBorder="1"/>
    <xf numFmtId="0" fontId="10" fillId="0" borderId="6" xfId="0" applyFont="1" applyBorder="1"/>
    <xf numFmtId="0" fontId="10" fillId="0" borderId="2" xfId="0" applyFont="1" applyBorder="1"/>
    <xf numFmtId="164" fontId="10" fillId="0" borderId="0" xfId="0" applyNumberFormat="1" applyFont="1"/>
    <xf numFmtId="167" fontId="10" fillId="0" borderId="0" xfId="0" applyNumberFormat="1" applyFont="1"/>
    <xf numFmtId="166" fontId="10" fillId="0" borderId="0" xfId="0" applyNumberFormat="1" applyFont="1"/>
    <xf numFmtId="0" fontId="12" fillId="0" borderId="0" xfId="0" applyFont="1" applyBorder="1" applyAlignment="1">
      <alignment horizontal="center"/>
    </xf>
    <xf numFmtId="1" fontId="10" fillId="0" borderId="2" xfId="0" applyNumberFormat="1" applyFont="1" applyBorder="1"/>
    <xf numFmtId="1" fontId="10" fillId="0" borderId="0" xfId="0" applyNumberFormat="1" applyFont="1" applyBorder="1" applyAlignment="1">
      <alignment horizontal="center"/>
    </xf>
    <xf numFmtId="1" fontId="10" fillId="0" borderId="0" xfId="0" applyNumberFormat="1" applyFont="1"/>
    <xf numFmtId="2" fontId="10" fillId="0" borderId="0" xfId="0" applyNumberFormat="1" applyFont="1" applyAlignment="1">
      <alignment horizontal="center"/>
    </xf>
    <xf numFmtId="0" fontId="10" fillId="0" borderId="0" xfId="0" applyFont="1" applyBorder="1" applyProtection="1">
      <protection locked="0"/>
    </xf>
    <xf numFmtId="0" fontId="10" fillId="0" borderId="0" xfId="0" applyFont="1" applyAlignment="1">
      <alignment horizontal="right"/>
    </xf>
    <xf numFmtId="165" fontId="10" fillId="0" borderId="0" xfId="0" applyNumberFormat="1" applyFont="1"/>
    <xf numFmtId="1" fontId="10" fillId="0" borderId="0" xfId="0" applyNumberFormat="1" applyFont="1" applyAlignment="1">
      <alignment horizontal="center"/>
    </xf>
    <xf numFmtId="1" fontId="10" fillId="0" borderId="2" xfId="0" applyNumberFormat="1" applyFont="1" applyBorder="1" applyAlignment="1">
      <alignment horizontal="center"/>
    </xf>
    <xf numFmtId="1" fontId="10" fillId="0" borderId="3" xfId="0" applyNumberFormat="1" applyFont="1" applyBorder="1" applyAlignment="1">
      <alignment horizontal="center"/>
    </xf>
    <xf numFmtId="167" fontId="10" fillId="0" borderId="3" xfId="0" applyNumberFormat="1" applyFont="1" applyBorder="1" applyAlignment="1">
      <alignment horizontal="left"/>
    </xf>
    <xf numFmtId="1" fontId="10" fillId="0" borderId="4" xfId="0" applyNumberFormat="1" applyFont="1" applyBorder="1" applyAlignment="1">
      <alignment horizontal="center"/>
    </xf>
    <xf numFmtId="1" fontId="10" fillId="0" borderId="5" xfId="0" applyNumberFormat="1" applyFont="1" applyBorder="1" applyAlignment="1">
      <alignment horizontal="center"/>
    </xf>
    <xf numFmtId="1" fontId="10" fillId="0" borderId="8" xfId="0" applyNumberFormat="1" applyFont="1" applyBorder="1" applyAlignment="1">
      <alignment horizontal="center"/>
    </xf>
    <xf numFmtId="166" fontId="10" fillId="0" borderId="2" xfId="0" applyNumberFormat="1" applyFont="1" applyBorder="1" applyAlignment="1">
      <alignment horizontal="center"/>
    </xf>
    <xf numFmtId="166" fontId="10" fillId="0" borderId="0" xfId="0" applyNumberFormat="1" applyFont="1" applyBorder="1" applyAlignment="1">
      <alignment horizontal="center"/>
    </xf>
    <xf numFmtId="166" fontId="10" fillId="0" borderId="3" xfId="0" applyNumberFormat="1" applyFont="1" applyBorder="1" applyAlignment="1">
      <alignment horizontal="center"/>
    </xf>
    <xf numFmtId="167" fontId="10" fillId="0" borderId="0" xfId="0" applyNumberFormat="1" applyFont="1" applyAlignment="1">
      <alignment horizontal="left"/>
    </xf>
    <xf numFmtId="165" fontId="10" fillId="0" borderId="2" xfId="0" applyNumberFormat="1" applyFont="1" applyBorder="1" applyAlignment="1">
      <alignment horizontal="center"/>
    </xf>
    <xf numFmtId="165" fontId="10" fillId="0" borderId="0" xfId="0" applyNumberFormat="1" applyFont="1" applyBorder="1" applyAlignment="1">
      <alignment horizontal="center"/>
    </xf>
    <xf numFmtId="165" fontId="10" fillId="0" borderId="3" xfId="0" applyNumberFormat="1" applyFont="1" applyBorder="1" applyAlignment="1">
      <alignment horizontal="center"/>
    </xf>
    <xf numFmtId="170" fontId="10" fillId="0" borderId="0" xfId="0" applyNumberFormat="1" applyFont="1" applyAlignment="1">
      <alignment horizontal="center"/>
    </xf>
    <xf numFmtId="11" fontId="10" fillId="0" borderId="0" xfId="0" applyNumberFormat="1" applyFont="1" applyAlignment="1">
      <alignment horizontal="center"/>
    </xf>
    <xf numFmtId="170" fontId="10" fillId="0" borderId="0" xfId="0" applyNumberFormat="1" applyFont="1"/>
    <xf numFmtId="170" fontId="10" fillId="0" borderId="0" xfId="0" applyNumberFormat="1" applyFont="1" applyBorder="1"/>
    <xf numFmtId="9" fontId="12" fillId="0" borderId="0" xfId="1" applyFont="1" applyBorder="1" applyAlignment="1">
      <alignment horizontal="center"/>
    </xf>
    <xf numFmtId="2" fontId="10" fillId="0" borderId="0" xfId="0" applyNumberFormat="1" applyFont="1" applyFill="1" applyBorder="1" applyAlignment="1">
      <alignment horizontal="center"/>
    </xf>
    <xf numFmtId="2" fontId="10" fillId="0" borderId="0" xfId="0" applyNumberFormat="1" applyFont="1" applyBorder="1"/>
    <xf numFmtId="2" fontId="10" fillId="0" borderId="3" xfId="0" applyNumberFormat="1" applyFont="1" applyBorder="1"/>
    <xf numFmtId="165" fontId="10" fillId="0" borderId="0" xfId="0" applyNumberFormat="1" applyFont="1" applyAlignment="1">
      <alignment horizontal="center"/>
    </xf>
    <xf numFmtId="2" fontId="10" fillId="0" borderId="0" xfId="0" applyNumberFormat="1" applyFont="1"/>
    <xf numFmtId="9" fontId="10" fillId="0" borderId="0" xfId="1" applyFont="1" applyBorder="1" applyAlignment="1">
      <alignment horizontal="center"/>
    </xf>
    <xf numFmtId="1" fontId="10" fillId="0" borderId="9" xfId="0" applyNumberFormat="1" applyFont="1" applyBorder="1" applyAlignment="1">
      <alignment horizontal="center"/>
    </xf>
    <xf numFmtId="1" fontId="10" fillId="0" borderId="11" xfId="0" applyNumberFormat="1" applyFont="1" applyBorder="1" applyAlignment="1">
      <alignment horizontal="center"/>
    </xf>
    <xf numFmtId="1" fontId="10" fillId="0" borderId="10" xfId="0" applyNumberFormat="1" applyFont="1" applyBorder="1" applyAlignment="1">
      <alignment horizontal="center"/>
    </xf>
    <xf numFmtId="1" fontId="10" fillId="0" borderId="0" xfId="0" applyNumberFormat="1" applyFont="1" applyProtection="1"/>
    <xf numFmtId="0" fontId="10" fillId="0" borderId="0" xfId="0" quotePrefix="1" applyFont="1"/>
    <xf numFmtId="2" fontId="12" fillId="0" borderId="0" xfId="0" applyNumberFormat="1" applyFont="1" applyBorder="1" applyAlignment="1" applyProtection="1">
      <alignment horizontal="left"/>
      <protection locked="0"/>
    </xf>
    <xf numFmtId="9" fontId="10" fillId="0" borderId="0" xfId="1" applyFont="1" applyProtection="1"/>
    <xf numFmtId="0" fontId="10" fillId="0" borderId="0" xfId="0" applyFont="1" applyFill="1" applyBorder="1" applyAlignment="1">
      <alignment horizontal="left"/>
    </xf>
    <xf numFmtId="0" fontId="10" fillId="0" borderId="0" xfId="0" applyFont="1" applyBorder="1" applyAlignment="1" applyProtection="1">
      <alignment horizontal="center"/>
    </xf>
    <xf numFmtId="1" fontId="10" fillId="0" borderId="0" xfId="0" applyNumberFormat="1" applyFont="1" applyBorder="1" applyAlignment="1" applyProtection="1">
      <alignment horizontal="center"/>
    </xf>
    <xf numFmtId="169" fontId="10" fillId="0" borderId="0" xfId="0" applyNumberFormat="1" applyFont="1" applyProtection="1"/>
    <xf numFmtId="165" fontId="10" fillId="0" borderId="0" xfId="0" applyNumberFormat="1" applyFont="1" applyProtection="1"/>
    <xf numFmtId="168" fontId="10" fillId="0" borderId="7" xfId="0" applyNumberFormat="1" applyFont="1" applyBorder="1" applyProtection="1"/>
    <xf numFmtId="168" fontId="10" fillId="0" borderId="6" xfId="0" applyNumberFormat="1" applyFont="1" applyBorder="1" applyProtection="1"/>
    <xf numFmtId="168" fontId="10" fillId="0" borderId="12" xfId="0" applyNumberFormat="1" applyFont="1" applyBorder="1" applyProtection="1"/>
    <xf numFmtId="1" fontId="12" fillId="0" borderId="0" xfId="1" applyNumberFormat="1" applyFont="1" applyBorder="1" applyAlignment="1">
      <alignment horizontal="center"/>
    </xf>
    <xf numFmtId="0" fontId="12" fillId="0" borderId="0" xfId="0" applyFont="1" applyAlignment="1">
      <alignment horizontal="center"/>
    </xf>
    <xf numFmtId="0" fontId="10" fillId="0" borderId="0" xfId="0" applyFont="1" applyAlignment="1" applyProtection="1">
      <alignment horizontal="center"/>
    </xf>
    <xf numFmtId="0" fontId="10" fillId="0" borderId="0" xfId="0" applyFont="1" applyFill="1" applyAlignment="1">
      <alignment horizontal="center"/>
    </xf>
    <xf numFmtId="0" fontId="10" fillId="0" borderId="0" xfId="0" applyFont="1" applyFill="1"/>
    <xf numFmtId="0" fontId="12" fillId="0" borderId="0" xfId="0" applyFont="1" applyProtection="1"/>
    <xf numFmtId="1" fontId="10" fillId="0" borderId="0" xfId="0" applyNumberFormat="1" applyFont="1" applyBorder="1"/>
    <xf numFmtId="0" fontId="10" fillId="2" borderId="0" xfId="0" applyFont="1" applyFill="1" applyBorder="1" applyAlignment="1">
      <alignment horizontal="center"/>
    </xf>
    <xf numFmtId="0" fontId="12" fillId="0" borderId="0" xfId="0" applyFont="1" applyAlignment="1" applyProtection="1">
      <alignment horizontal="right"/>
      <protection locked="0"/>
    </xf>
    <xf numFmtId="165" fontId="14" fillId="0" borderId="0" xfId="0" applyNumberFormat="1" applyFont="1" applyProtection="1">
      <protection locked="0"/>
    </xf>
    <xf numFmtId="0" fontId="10" fillId="0" borderId="0" xfId="0" applyFont="1" applyProtection="1">
      <protection locked="0"/>
    </xf>
    <xf numFmtId="165" fontId="10" fillId="0" borderId="0" xfId="0" applyNumberFormat="1" applyFont="1" applyProtection="1">
      <protection locked="0"/>
    </xf>
    <xf numFmtId="0" fontId="10" fillId="2" borderId="0" xfId="0" applyFont="1" applyFill="1" applyBorder="1"/>
    <xf numFmtId="167" fontId="10" fillId="0" borderId="0" xfId="0" applyNumberFormat="1" applyFont="1" applyBorder="1" applyAlignment="1">
      <alignment horizontal="left"/>
    </xf>
    <xf numFmtId="164" fontId="10" fillId="0" borderId="0" xfId="0" applyNumberFormat="1" applyFont="1" applyBorder="1"/>
    <xf numFmtId="166" fontId="10" fillId="0" borderId="0" xfId="0" applyNumberFormat="1" applyFont="1" applyBorder="1"/>
    <xf numFmtId="0" fontId="10" fillId="0" borderId="0" xfId="0" applyFont="1" applyAlignment="1" applyProtection="1">
      <alignment horizontal="right"/>
      <protection locked="0"/>
    </xf>
    <xf numFmtId="1" fontId="10" fillId="0" borderId="0" xfId="0" applyNumberFormat="1" applyFont="1" applyAlignment="1" applyProtection="1">
      <alignment horizontal="right"/>
      <protection locked="0"/>
    </xf>
    <xf numFmtId="172" fontId="10" fillId="0" borderId="0" xfId="0" applyNumberFormat="1" applyFont="1" applyAlignment="1" applyProtection="1">
      <alignment horizontal="right"/>
      <protection locked="0"/>
    </xf>
    <xf numFmtId="0" fontId="12" fillId="0" borderId="0" xfId="0" applyFont="1" applyProtection="1">
      <protection locked="0"/>
    </xf>
    <xf numFmtId="9" fontId="10" fillId="0" borderId="0" xfId="0" applyNumberFormat="1" applyFont="1" applyAlignment="1" applyProtection="1">
      <alignment horizontal="center"/>
      <protection locked="0"/>
    </xf>
    <xf numFmtId="0" fontId="10" fillId="0" borderId="0" xfId="0" applyFont="1" applyAlignment="1"/>
    <xf numFmtId="9" fontId="12" fillId="0" borderId="0" xfId="0" applyNumberFormat="1" applyFont="1"/>
    <xf numFmtId="0" fontId="10" fillId="0" borderId="0" xfId="0" applyFont="1" applyBorder="1" applyAlignment="1" applyProtection="1">
      <alignment vertical="center"/>
      <protection locked="0"/>
    </xf>
    <xf numFmtId="0" fontId="10" fillId="0" borderId="0" xfId="0" applyFont="1" applyFill="1" applyAlignment="1" applyProtection="1">
      <alignment vertical="center"/>
      <protection locked="0"/>
    </xf>
    <xf numFmtId="0" fontId="10" fillId="0" borderId="0" xfId="0" applyFont="1" applyAlignment="1" applyProtection="1">
      <alignment vertical="center"/>
      <protection locked="0"/>
    </xf>
    <xf numFmtId="166" fontId="10" fillId="0" borderId="0" xfId="0" applyNumberFormat="1" applyFont="1" applyFill="1" applyAlignment="1" applyProtection="1">
      <alignment vertical="center"/>
      <protection locked="0"/>
    </xf>
    <xf numFmtId="0" fontId="10" fillId="0" borderId="0" xfId="0" applyFont="1" applyAlignment="1" applyProtection="1">
      <alignment horizontal="left" vertical="center"/>
      <protection locked="0"/>
    </xf>
    <xf numFmtId="0" fontId="10" fillId="0" borderId="0" xfId="0" applyFont="1" applyAlignment="1" applyProtection="1">
      <alignment horizontal="right" vertical="center"/>
      <protection locked="0"/>
    </xf>
    <xf numFmtId="171" fontId="17" fillId="0" borderId="0" xfId="0" applyNumberFormat="1" applyFont="1" applyAlignment="1" applyProtection="1">
      <alignment horizontal="center" vertical="center"/>
      <protection locked="0"/>
    </xf>
    <xf numFmtId="0" fontId="15" fillId="0" borderId="0" xfId="0" applyFont="1" applyFill="1" applyAlignment="1" applyProtection="1">
      <alignment horizontal="center" vertical="center"/>
      <protection locked="0"/>
    </xf>
    <xf numFmtId="171" fontId="10" fillId="0" borderId="0" xfId="0" applyNumberFormat="1" applyFont="1" applyAlignment="1" applyProtection="1">
      <alignment horizontal="center" vertical="center"/>
      <protection locked="0"/>
    </xf>
    <xf numFmtId="171" fontId="10" fillId="0" borderId="0" xfId="0" applyNumberFormat="1" applyFont="1" applyAlignment="1" applyProtection="1">
      <alignment vertical="center"/>
      <protection locked="0"/>
    </xf>
    <xf numFmtId="9" fontId="10" fillId="0" borderId="0" xfId="0" applyNumberFormat="1" applyFont="1" applyAlignment="1">
      <alignment horizontal="center"/>
    </xf>
    <xf numFmtId="0" fontId="10" fillId="0" borderId="0" xfId="0" applyFont="1" applyAlignment="1" applyProtection="1">
      <alignment horizontal="centerContinuous" vertical="center"/>
      <protection locked="0"/>
    </xf>
    <xf numFmtId="0" fontId="10" fillId="0" borderId="0" xfId="0" applyFont="1" applyAlignment="1" applyProtection="1">
      <alignment horizontal="center"/>
      <protection locked="0"/>
    </xf>
    <xf numFmtId="0" fontId="12" fillId="0" borderId="0" xfId="0" applyFont="1" applyAlignment="1" applyProtection="1">
      <alignment horizontal="center"/>
      <protection locked="0"/>
    </xf>
    <xf numFmtId="0" fontId="12" fillId="0" borderId="0" xfId="0" applyFont="1" applyFill="1" applyProtection="1"/>
    <xf numFmtId="0" fontId="12" fillId="0" borderId="0" xfId="0" quotePrefix="1" applyFont="1" applyFill="1" applyProtection="1"/>
    <xf numFmtId="0" fontId="18" fillId="0" borderId="0" xfId="0" applyFont="1" applyAlignment="1" applyProtection="1">
      <protection locked="0"/>
    </xf>
    <xf numFmtId="0" fontId="10" fillId="0" borderId="0" xfId="0" applyFont="1" applyAlignment="1" applyProtection="1">
      <protection locked="0"/>
    </xf>
    <xf numFmtId="0" fontId="10" fillId="0" borderId="0" xfId="0" applyFont="1" applyBorder="1" applyAlignment="1" applyProtection="1">
      <protection locked="0"/>
    </xf>
    <xf numFmtId="0" fontId="10" fillId="0" borderId="0" xfId="0" applyFont="1" applyBorder="1" applyAlignment="1" applyProtection="1">
      <alignment horizontal="right"/>
    </xf>
    <xf numFmtId="1" fontId="10" fillId="0" borderId="0" xfId="0" applyNumberFormat="1" applyFont="1" applyProtection="1">
      <protection locked="0"/>
    </xf>
    <xf numFmtId="164" fontId="10" fillId="0" borderId="0" xfId="0" applyNumberFormat="1" applyFont="1" applyProtection="1">
      <protection locked="0"/>
    </xf>
    <xf numFmtId="1" fontId="10" fillId="0" borderId="13" xfId="0" applyNumberFormat="1" applyFont="1" applyBorder="1" applyAlignment="1" applyProtection="1">
      <alignment horizontal="center"/>
      <protection locked="0"/>
    </xf>
    <xf numFmtId="1" fontId="10" fillId="0" borderId="14" xfId="0" applyNumberFormat="1" applyFont="1" applyBorder="1" applyAlignment="1" applyProtection="1">
      <alignment horizontal="center"/>
      <protection locked="0"/>
    </xf>
    <xf numFmtId="1" fontId="10" fillId="0" borderId="15" xfId="0" applyNumberFormat="1" applyFont="1" applyBorder="1" applyAlignment="1" applyProtection="1">
      <alignment horizontal="center"/>
      <protection locked="0"/>
    </xf>
    <xf numFmtId="167" fontId="10" fillId="0" borderId="16" xfId="0" applyNumberFormat="1" applyFont="1" applyBorder="1" applyAlignment="1" applyProtection="1">
      <alignment horizontal="center"/>
      <protection locked="0"/>
    </xf>
    <xf numFmtId="1" fontId="10" fillId="0" borderId="17" xfId="0" applyNumberFormat="1" applyFont="1" applyBorder="1" applyAlignment="1" applyProtection="1">
      <alignment horizontal="center"/>
      <protection locked="0"/>
    </xf>
    <xf numFmtId="1" fontId="10" fillId="0" borderId="0" xfId="0" applyNumberFormat="1" applyFont="1" applyBorder="1" applyAlignment="1" applyProtection="1">
      <alignment horizontal="center"/>
      <protection locked="0"/>
    </xf>
    <xf numFmtId="1" fontId="10" fillId="0" borderId="18" xfId="0" applyNumberFormat="1" applyFont="1" applyBorder="1" applyAlignment="1" applyProtection="1">
      <alignment horizontal="center"/>
      <protection locked="0"/>
    </xf>
    <xf numFmtId="167" fontId="10" fillId="0" borderId="19" xfId="0" applyNumberFormat="1" applyFont="1" applyBorder="1" applyAlignment="1" applyProtection="1">
      <alignment horizontal="center"/>
      <protection locked="0"/>
    </xf>
    <xf numFmtId="1" fontId="10" fillId="0" borderId="20" xfId="0" applyNumberFormat="1" applyFont="1" applyBorder="1" applyAlignment="1" applyProtection="1">
      <alignment horizontal="center"/>
      <protection locked="0"/>
    </xf>
    <xf numFmtId="1" fontId="10" fillId="0" borderId="21" xfId="0" applyNumberFormat="1" applyFont="1" applyBorder="1" applyAlignment="1" applyProtection="1">
      <alignment horizontal="center"/>
      <protection locked="0"/>
    </xf>
    <xf numFmtId="1" fontId="10" fillId="0" borderId="22" xfId="0" applyNumberFormat="1" applyFont="1" applyBorder="1" applyAlignment="1" applyProtection="1">
      <alignment horizontal="center"/>
      <protection locked="0"/>
    </xf>
    <xf numFmtId="167" fontId="10" fillId="0" borderId="23" xfId="0" applyNumberFormat="1" applyFont="1" applyBorder="1" applyAlignment="1" applyProtection="1">
      <alignment horizontal="center"/>
      <protection locked="0"/>
    </xf>
    <xf numFmtId="0" fontId="10" fillId="0" borderId="0" xfId="0" quotePrefix="1" applyFont="1" applyAlignment="1" applyProtection="1">
      <protection locked="0"/>
    </xf>
    <xf numFmtId="0" fontId="12" fillId="0" borderId="0" xfId="0" applyFont="1" applyAlignment="1" applyProtection="1">
      <alignment horizontal="left"/>
      <protection locked="0"/>
    </xf>
    <xf numFmtId="0" fontId="14" fillId="0" borderId="0" xfId="0" applyFont="1" applyProtection="1">
      <protection locked="0"/>
    </xf>
    <xf numFmtId="0" fontId="10" fillId="0" borderId="0" xfId="0" applyFont="1" applyAlignment="1" applyProtection="1">
      <alignment horizontal="left"/>
      <protection locked="0"/>
    </xf>
    <xf numFmtId="2" fontId="14" fillId="0" borderId="0" xfId="0" applyNumberFormat="1" applyFont="1" applyProtection="1">
      <protection locked="0"/>
    </xf>
    <xf numFmtId="9" fontId="12" fillId="0" borderId="0" xfId="0" applyNumberFormat="1" applyFont="1" applyAlignment="1" applyProtection="1">
      <alignment horizontal="center"/>
      <protection locked="0"/>
    </xf>
    <xf numFmtId="0" fontId="18" fillId="0" borderId="0" xfId="0" applyFont="1" applyFill="1" applyAlignment="1" applyProtection="1">
      <alignment vertical="center"/>
      <protection locked="0"/>
    </xf>
    <xf numFmtId="0" fontId="10" fillId="0" borderId="0" xfId="0" quotePrefix="1" applyFont="1" applyAlignment="1"/>
    <xf numFmtId="0" fontId="12" fillId="0" borderId="0" xfId="0" applyFont="1" applyBorder="1" applyAlignment="1"/>
    <xf numFmtId="0" fontId="12" fillId="0" borderId="0" xfId="0" applyFont="1" applyAlignment="1" applyProtection="1">
      <protection locked="0"/>
    </xf>
    <xf numFmtId="0" fontId="10" fillId="0" borderId="0" xfId="0" applyFont="1" applyBorder="1" applyAlignment="1" applyProtection="1">
      <alignment horizontal="right" indent="1"/>
    </xf>
    <xf numFmtId="0" fontId="10" fillId="0" borderId="0" xfId="0" applyFont="1" applyAlignment="1" applyProtection="1">
      <alignment horizontal="left" indent="1"/>
    </xf>
    <xf numFmtId="0" fontId="19" fillId="0" borderId="0" xfId="0" applyFont="1" applyBorder="1" applyProtection="1">
      <protection locked="0"/>
    </xf>
    <xf numFmtId="0" fontId="1" fillId="0" borderId="0" xfId="0" applyFont="1" applyFill="1" applyAlignment="1">
      <alignment horizontal="center"/>
    </xf>
    <xf numFmtId="166" fontId="1" fillId="0" borderId="0" xfId="0" applyNumberFormat="1" applyFont="1" applyFill="1" applyAlignment="1">
      <alignment horizontal="center"/>
    </xf>
    <xf numFmtId="164" fontId="7" fillId="0" borderId="0" xfId="0" applyNumberFormat="1" applyFont="1" applyAlignment="1">
      <alignment horizontal="center"/>
    </xf>
    <xf numFmtId="0" fontId="14" fillId="0" borderId="0" xfId="0" applyFont="1" applyBorder="1" applyAlignment="1" applyProtection="1">
      <protection locked="0"/>
    </xf>
    <xf numFmtId="165" fontId="10" fillId="0" borderId="2" xfId="0" applyNumberFormat="1" applyFont="1" applyBorder="1" applyProtection="1"/>
    <xf numFmtId="165" fontId="10" fillId="0" borderId="6" xfId="0" applyNumberFormat="1" applyFont="1" applyBorder="1" applyProtection="1"/>
    <xf numFmtId="0" fontId="10" fillId="0" borderId="6" xfId="2" applyFont="1" applyBorder="1" applyAlignment="1">
      <alignment horizontal="center"/>
    </xf>
    <xf numFmtId="0" fontId="10" fillId="0" borderId="0" xfId="2" applyFont="1" applyProtection="1"/>
    <xf numFmtId="0" fontId="10" fillId="0" borderId="0" xfId="2" applyFont="1" applyBorder="1" applyProtection="1"/>
    <xf numFmtId="0" fontId="10" fillId="0" borderId="0" xfId="2" applyFont="1" applyAlignment="1" applyProtection="1">
      <alignment horizontal="right"/>
    </xf>
    <xf numFmtId="0" fontId="10" fillId="0" borderId="0" xfId="2" applyFont="1" applyFill="1" applyBorder="1" applyAlignment="1" applyProtection="1">
      <protection locked="0"/>
    </xf>
    <xf numFmtId="0" fontId="12" fillId="0" borderId="0" xfId="2" applyFont="1" applyProtection="1"/>
    <xf numFmtId="0" fontId="12" fillId="0" borderId="0" xfId="0" applyFont="1" applyBorder="1" applyProtection="1">
      <protection locked="0"/>
    </xf>
    <xf numFmtId="0" fontId="10" fillId="0" borderId="0" xfId="0" quotePrefix="1" applyFont="1" applyBorder="1" applyAlignment="1" applyProtection="1">
      <protection locked="0"/>
    </xf>
    <xf numFmtId="0" fontId="10" fillId="0" borderId="0" xfId="2" applyFont="1" applyAlignment="1">
      <alignment horizontal="right"/>
    </xf>
    <xf numFmtId="0" fontId="12" fillId="0" borderId="0" xfId="2" applyFont="1"/>
    <xf numFmtId="0" fontId="10" fillId="0" borderId="0" xfId="2" applyFont="1"/>
    <xf numFmtId="17" fontId="12" fillId="0" borderId="0" xfId="2" applyNumberFormat="1" applyFont="1"/>
    <xf numFmtId="0" fontId="10" fillId="0" borderId="0" xfId="3" applyFont="1"/>
    <xf numFmtId="0" fontId="10" fillId="0" borderId="0" xfId="3" applyFont="1" applyAlignment="1">
      <alignment horizontal="right"/>
    </xf>
    <xf numFmtId="0" fontId="12" fillId="0" borderId="0" xfId="3" applyFont="1" applyAlignment="1">
      <alignment horizontal="left"/>
    </xf>
    <xf numFmtId="0" fontId="20" fillId="0" borderId="0" xfId="3" applyFont="1"/>
    <xf numFmtId="0" fontId="12" fillId="0" borderId="0" xfId="3" applyFont="1"/>
    <xf numFmtId="0" fontId="21" fillId="0" borderId="0" xfId="3" applyFont="1" applyAlignment="1">
      <alignment horizontal="left"/>
    </xf>
    <xf numFmtId="0" fontId="12" fillId="0" borderId="0" xfId="2" applyFont="1" applyAlignment="1">
      <alignment horizontal="left"/>
    </xf>
    <xf numFmtId="0" fontId="12" fillId="0" borderId="0" xfId="3" applyFont="1" applyAlignment="1">
      <alignment horizontal="right"/>
    </xf>
    <xf numFmtId="0" fontId="9" fillId="0" borderId="0" xfId="0" applyFont="1" applyProtection="1"/>
    <xf numFmtId="0" fontId="12" fillId="0" borderId="0" xfId="2" applyFont="1" applyAlignment="1">
      <alignment horizontal="right"/>
    </xf>
    <xf numFmtId="0" fontId="8" fillId="0" borderId="0" xfId="2" applyFont="1"/>
    <xf numFmtId="0" fontId="9" fillId="0" borderId="0" xfId="2" applyFont="1" applyAlignment="1">
      <alignment horizontal="right"/>
    </xf>
    <xf numFmtId="0" fontId="9" fillId="0" borderId="0" xfId="2" applyFont="1" applyAlignment="1">
      <alignment horizontal="left"/>
    </xf>
    <xf numFmtId="0" fontId="8" fillId="0" borderId="6" xfId="0" applyFont="1" applyBorder="1"/>
    <xf numFmtId="0" fontId="8" fillId="0" borderId="6" xfId="2" applyFont="1" applyBorder="1" applyAlignment="1">
      <alignment horizontal="center"/>
    </xf>
    <xf numFmtId="0" fontId="8" fillId="0" borderId="2" xfId="0" applyFont="1" applyBorder="1" applyProtection="1"/>
    <xf numFmtId="0" fontId="8" fillId="0" borderId="6" xfId="0" applyFont="1" applyBorder="1" applyProtection="1"/>
    <xf numFmtId="0" fontId="9" fillId="0" borderId="0" xfId="0" applyFont="1"/>
    <xf numFmtId="0" fontId="8" fillId="0" borderId="0" xfId="0" applyFont="1"/>
    <xf numFmtId="0" fontId="8" fillId="0" borderId="0" xfId="0" applyFont="1" applyAlignment="1">
      <alignment horizontal="center"/>
    </xf>
    <xf numFmtId="0" fontId="9" fillId="0" borderId="0" xfId="0" applyFont="1" applyBorder="1"/>
    <xf numFmtId="0" fontId="8" fillId="0" borderId="0" xfId="0" applyFont="1" applyBorder="1"/>
    <xf numFmtId="1" fontId="12" fillId="0" borderId="0" xfId="0" applyNumberFormat="1" applyFont="1" applyBorder="1" applyAlignment="1" applyProtection="1">
      <alignment horizontal="right"/>
      <protection locked="0"/>
    </xf>
    <xf numFmtId="0" fontId="11" fillId="0" borderId="0" xfId="0" applyFont="1" applyAlignment="1">
      <alignment horizontal="center"/>
    </xf>
    <xf numFmtId="0" fontId="23" fillId="0" borderId="0" xfId="4" applyFont="1" applyBorder="1" applyAlignment="1" applyProtection="1">
      <alignment horizontal="center"/>
      <protection locked="0"/>
    </xf>
    <xf numFmtId="0" fontId="10" fillId="0" borderId="0" xfId="3" applyFont="1" applyProtection="1">
      <protection locked="0"/>
    </xf>
    <xf numFmtId="0" fontId="10" fillId="0" borderId="0" xfId="3" applyFont="1" applyAlignment="1" applyProtection="1">
      <alignment horizontal="right"/>
      <protection locked="0"/>
    </xf>
    <xf numFmtId="0" fontId="20" fillId="0" borderId="0" xfId="3" applyFont="1" applyProtection="1">
      <protection locked="0"/>
    </xf>
    <xf numFmtId="0" fontId="20" fillId="0" borderId="0" xfId="3" applyFont="1" applyAlignment="1" applyProtection="1">
      <alignment horizontal="left"/>
      <protection locked="0"/>
    </xf>
    <xf numFmtId="0" fontId="10" fillId="0" borderId="0" xfId="3" applyFont="1" applyBorder="1" applyAlignment="1">
      <alignment horizontal="center"/>
    </xf>
    <xf numFmtId="0" fontId="10" fillId="0" borderId="0" xfId="3" applyFont="1" applyBorder="1"/>
    <xf numFmtId="0" fontId="10" fillId="0" borderId="0" xfId="3" applyFont="1" applyBorder="1" applyAlignment="1">
      <alignment horizontal="right"/>
    </xf>
    <xf numFmtId="0" fontId="12" fillId="0" borderId="0" xfId="3" applyFont="1" applyBorder="1" applyAlignment="1">
      <alignment horizontal="left"/>
    </xf>
    <xf numFmtId="14" fontId="20" fillId="0" borderId="0" xfId="3" quotePrefix="1" applyNumberFormat="1" applyFont="1" applyProtection="1">
      <protection locked="0"/>
    </xf>
    <xf numFmtId="0" fontId="10" fillId="0" borderId="0" xfId="5" applyFont="1" applyBorder="1" applyAlignment="1">
      <alignment horizontal="center"/>
    </xf>
    <xf numFmtId="1" fontId="10" fillId="0" borderId="0" xfId="5" applyNumberFormat="1" applyFont="1" applyBorder="1" applyAlignment="1">
      <alignment horizontal="center"/>
    </xf>
    <xf numFmtId="0" fontId="21" fillId="0" borderId="0" xfId="3" applyFont="1" applyAlignment="1" applyProtection="1">
      <alignment horizontal="left"/>
      <protection locked="0"/>
    </xf>
    <xf numFmtId="0" fontId="10" fillId="0" borderId="0" xfId="5" applyFont="1"/>
    <xf numFmtId="0" fontId="12" fillId="0" borderId="0" xfId="3" quotePrefix="1" applyFont="1" applyAlignment="1">
      <alignment vertical="center"/>
    </xf>
    <xf numFmtId="0" fontId="12" fillId="0" borderId="0" xfId="3" applyFont="1" applyAlignment="1">
      <alignment vertical="center"/>
    </xf>
    <xf numFmtId="0" fontId="10" fillId="0" borderId="0" xfId="3" applyFont="1" applyAlignment="1">
      <alignment horizontal="center"/>
    </xf>
    <xf numFmtId="0" fontId="8" fillId="0" borderId="0" xfId="3" applyFont="1"/>
    <xf numFmtId="0" fontId="9" fillId="0" borderId="0" xfId="3" applyFont="1"/>
    <xf numFmtId="0" fontId="8" fillId="0" borderId="0" xfId="3" applyFont="1" applyBorder="1" applyAlignment="1">
      <alignment horizontal="center"/>
    </xf>
    <xf numFmtId="0" fontId="8" fillId="0" borderId="0" xfId="3" applyFont="1" applyBorder="1"/>
    <xf numFmtId="0" fontId="18" fillId="0" borderId="0" xfId="3" applyFont="1"/>
    <xf numFmtId="0" fontId="10" fillId="0" borderId="0" xfId="3" applyFont="1" applyBorder="1" applyAlignment="1"/>
    <xf numFmtId="0" fontId="18" fillId="0" borderId="0" xfId="3" applyFont="1" applyBorder="1" applyAlignment="1"/>
    <xf numFmtId="165" fontId="10" fillId="0" borderId="0" xfId="5" applyNumberFormat="1" applyFont="1" applyBorder="1" applyAlignment="1">
      <alignment horizontal="center"/>
    </xf>
    <xf numFmtId="0" fontId="10" fillId="0" borderId="6" xfId="3" applyFont="1" applyBorder="1" applyAlignment="1">
      <alignment horizontal="center"/>
    </xf>
    <xf numFmtId="14" fontId="12" fillId="0" borderId="0" xfId="3" applyNumberFormat="1" applyFont="1"/>
    <xf numFmtId="0" fontId="10" fillId="0" borderId="0" xfId="3" applyFont="1" applyBorder="1" applyAlignment="1">
      <alignment horizontal="left" vertical="top" wrapText="1"/>
    </xf>
    <xf numFmtId="0" fontId="19" fillId="0" borderId="0" xfId="0" applyFont="1" applyBorder="1" applyAlignment="1" applyProtection="1">
      <alignment horizontal="center"/>
      <protection locked="0"/>
    </xf>
    <xf numFmtId="0" fontId="25" fillId="0" borderId="0" xfId="6" applyFont="1" applyBorder="1" applyAlignment="1" applyProtection="1">
      <alignment horizontal="center"/>
    </xf>
    <xf numFmtId="0" fontId="22" fillId="0" borderId="0" xfId="7" applyBorder="1" applyAlignment="1" applyProtection="1">
      <alignment horizontal="center"/>
    </xf>
    <xf numFmtId="0" fontId="24" fillId="0" borderId="0" xfId="6" applyBorder="1" applyAlignment="1">
      <alignment horizontal="center"/>
    </xf>
    <xf numFmtId="0" fontId="22" fillId="0" borderId="0" xfId="7" applyFont="1" applyBorder="1" applyAlignment="1" applyProtection="1">
      <alignment horizontal="center"/>
    </xf>
    <xf numFmtId="0" fontId="26" fillId="0" borderId="0" xfId="0" applyFont="1" applyBorder="1" applyProtection="1">
      <protection locked="0"/>
    </xf>
    <xf numFmtId="0" fontId="26" fillId="0" borderId="0" xfId="0" applyFont="1" applyBorder="1" applyProtection="1"/>
    <xf numFmtId="0" fontId="26" fillId="0" borderId="6" xfId="0" applyFont="1" applyBorder="1" applyProtection="1"/>
    <xf numFmtId="0" fontId="26" fillId="0" borderId="2" xfId="0" applyFont="1" applyBorder="1" applyProtection="1"/>
    <xf numFmtId="0" fontId="26" fillId="0" borderId="0" xfId="0" applyFont="1" applyProtection="1"/>
    <xf numFmtId="0" fontId="26" fillId="0" borderId="0" xfId="0" applyFont="1" applyAlignment="1">
      <alignment horizontal="center"/>
    </xf>
    <xf numFmtId="0" fontId="26" fillId="0" borderId="0" xfId="0" applyFont="1" applyBorder="1" applyAlignment="1">
      <alignment horizontal="left"/>
    </xf>
    <xf numFmtId="0" fontId="26" fillId="0" borderId="2" xfId="0" applyFont="1" applyBorder="1" applyAlignment="1">
      <alignment horizontal="center"/>
    </xf>
    <xf numFmtId="0" fontId="26" fillId="0" borderId="0" xfId="0" applyFont="1" applyBorder="1" applyAlignment="1">
      <alignment horizontal="center"/>
    </xf>
    <xf numFmtId="0" fontId="26" fillId="0" borderId="3" xfId="0" applyFont="1" applyBorder="1" applyAlignment="1">
      <alignment horizontal="center"/>
    </xf>
    <xf numFmtId="0" fontId="26" fillId="0" borderId="6" xfId="0" applyFont="1" applyBorder="1" applyAlignment="1">
      <alignment horizontal="center"/>
    </xf>
    <xf numFmtId="0" fontId="26" fillId="0" borderId="0" xfId="0" applyFont="1" applyBorder="1"/>
    <xf numFmtId="0" fontId="26" fillId="0" borderId="3" xfId="0" applyFont="1" applyBorder="1"/>
    <xf numFmtId="0" fontId="26" fillId="0" borderId="6" xfId="0" applyFont="1" applyBorder="1"/>
    <xf numFmtId="1" fontId="19" fillId="0" borderId="2" xfId="0" applyNumberFormat="1" applyFont="1" applyBorder="1" applyAlignment="1">
      <alignment horizontal="center"/>
    </xf>
    <xf numFmtId="1" fontId="19" fillId="0" borderId="0" xfId="0" applyNumberFormat="1" applyFont="1" applyBorder="1" applyAlignment="1">
      <alignment horizontal="center"/>
    </xf>
    <xf numFmtId="1" fontId="19" fillId="0" borderId="3" xfId="0" applyNumberFormat="1" applyFont="1" applyBorder="1" applyAlignment="1">
      <alignment horizontal="center"/>
    </xf>
    <xf numFmtId="1" fontId="19" fillId="0" borderId="6" xfId="0" applyNumberFormat="1" applyFont="1" applyBorder="1" applyAlignment="1">
      <alignment horizontal="center"/>
    </xf>
    <xf numFmtId="0" fontId="26" fillId="0" borderId="2" xfId="0" applyFont="1" applyBorder="1"/>
    <xf numFmtId="0" fontId="19" fillId="0" borderId="0" xfId="0" applyFont="1" applyBorder="1"/>
    <xf numFmtId="0" fontId="26" fillId="0" borderId="0" xfId="0" applyFont="1"/>
    <xf numFmtId="164" fontId="26" fillId="0" borderId="0" xfId="0" applyNumberFormat="1" applyFont="1"/>
    <xf numFmtId="167" fontId="26" fillId="0" borderId="0" xfId="0" applyNumberFormat="1" applyFont="1"/>
    <xf numFmtId="166" fontId="26" fillId="0" borderId="0" xfId="0" applyNumberFormat="1" applyFont="1"/>
    <xf numFmtId="0" fontId="19" fillId="0" borderId="2" xfId="0" applyFont="1" applyBorder="1" applyAlignment="1">
      <alignment horizontal="center"/>
    </xf>
    <xf numFmtId="0" fontId="19" fillId="0" borderId="0" xfId="0" applyFont="1" applyBorder="1" applyAlignment="1">
      <alignment horizontal="center"/>
    </xf>
    <xf numFmtId="0" fontId="19" fillId="0" borderId="3" xfId="0" applyFont="1" applyBorder="1" applyAlignment="1">
      <alignment horizontal="center"/>
    </xf>
    <xf numFmtId="0" fontId="26" fillId="0" borderId="0" xfId="0" applyFont="1" applyFill="1" applyBorder="1" applyAlignment="1">
      <alignment horizontal="center"/>
    </xf>
    <xf numFmtId="1" fontId="26" fillId="0" borderId="2" xfId="0" applyNumberFormat="1" applyFont="1" applyBorder="1"/>
    <xf numFmtId="1" fontId="26" fillId="0" borderId="0" xfId="0" applyNumberFormat="1" applyFont="1" applyBorder="1" applyAlignment="1">
      <alignment horizontal="center"/>
    </xf>
    <xf numFmtId="2" fontId="26" fillId="0" borderId="0" xfId="0" applyNumberFormat="1" applyFont="1" applyBorder="1" applyAlignment="1">
      <alignment horizontal="center"/>
    </xf>
    <xf numFmtId="2" fontId="26" fillId="0" borderId="3" xfId="0" applyNumberFormat="1" applyFont="1" applyBorder="1" applyAlignment="1">
      <alignment horizontal="center"/>
    </xf>
    <xf numFmtId="1" fontId="26" fillId="0" borderId="0" xfId="0" applyNumberFormat="1" applyFont="1"/>
    <xf numFmtId="2" fontId="26" fillId="0" borderId="0" xfId="0" applyNumberFormat="1" applyFont="1" applyAlignment="1">
      <alignment horizontal="center"/>
    </xf>
    <xf numFmtId="0" fontId="26" fillId="0" borderId="0" xfId="0" applyFont="1" applyAlignment="1">
      <alignment horizontal="right"/>
    </xf>
    <xf numFmtId="165" fontId="26" fillId="0" borderId="0" xfId="0" applyNumberFormat="1" applyFont="1"/>
    <xf numFmtId="0" fontId="28" fillId="0" borderId="0" xfId="0" applyFont="1" applyBorder="1" applyAlignment="1" applyProtection="1">
      <alignment horizontal="center"/>
      <protection locked="0"/>
    </xf>
    <xf numFmtId="0" fontId="29" fillId="0" borderId="0" xfId="0" applyFont="1" applyFill="1" applyBorder="1" applyAlignment="1" applyProtection="1">
      <alignment horizontal="center"/>
      <protection locked="0"/>
    </xf>
    <xf numFmtId="166" fontId="28" fillId="0" borderId="0" xfId="0" applyNumberFormat="1" applyFont="1" applyBorder="1" applyAlignment="1" applyProtection="1">
      <alignment horizontal="center"/>
      <protection locked="0"/>
    </xf>
    <xf numFmtId="0" fontId="28" fillId="0" borderId="0" xfId="0" applyFont="1" applyBorder="1" applyProtection="1">
      <protection locked="0"/>
    </xf>
    <xf numFmtId="0" fontId="28" fillId="0" borderId="0" xfId="0" applyFont="1" applyProtection="1"/>
    <xf numFmtId="0" fontId="28" fillId="0" borderId="6" xfId="0" applyFont="1" applyBorder="1" applyProtection="1"/>
    <xf numFmtId="0" fontId="28" fillId="0" borderId="2" xfId="0" applyFont="1" applyBorder="1" applyProtection="1"/>
    <xf numFmtId="0" fontId="28" fillId="0" borderId="0" xfId="0" applyFont="1" applyBorder="1" applyProtection="1"/>
    <xf numFmtId="165" fontId="28" fillId="0" borderId="2" xfId="0" applyNumberFormat="1" applyFont="1" applyBorder="1" applyProtection="1"/>
    <xf numFmtId="165" fontId="28" fillId="0" borderId="6" xfId="0" applyNumberFormat="1" applyFont="1" applyBorder="1" applyProtection="1"/>
    <xf numFmtId="2" fontId="28" fillId="0" borderId="0" xfId="0" applyNumberFormat="1" applyFont="1" applyAlignment="1">
      <alignment horizontal="center"/>
    </xf>
    <xf numFmtId="0" fontId="28" fillId="0" borderId="0" xfId="0" applyFont="1" applyAlignment="1">
      <alignment horizontal="center"/>
    </xf>
    <xf numFmtId="166" fontId="28" fillId="0" borderId="0" xfId="0" applyNumberFormat="1" applyFont="1" applyAlignment="1">
      <alignment horizontal="center"/>
    </xf>
    <xf numFmtId="1" fontId="28" fillId="0" borderId="0" xfId="0" applyNumberFormat="1" applyFont="1" applyAlignment="1">
      <alignment horizontal="center"/>
    </xf>
    <xf numFmtId="1" fontId="28" fillId="0" borderId="2" xfId="0" applyNumberFormat="1" applyFont="1" applyBorder="1" applyAlignment="1">
      <alignment horizontal="center"/>
    </xf>
    <xf numFmtId="1" fontId="28" fillId="0" borderId="0" xfId="0" applyNumberFormat="1" applyFont="1" applyBorder="1" applyAlignment="1">
      <alignment horizontal="center"/>
    </xf>
    <xf numFmtId="0" fontId="28" fillId="0" borderId="0" xfId="0" applyFont="1" applyBorder="1" applyAlignment="1">
      <alignment horizontal="center"/>
    </xf>
    <xf numFmtId="0" fontId="28" fillId="0" borderId="3" xfId="0" applyFont="1" applyBorder="1" applyAlignment="1">
      <alignment horizontal="center"/>
    </xf>
    <xf numFmtId="0" fontId="28" fillId="0" borderId="6" xfId="0" applyFont="1" applyBorder="1" applyAlignment="1">
      <alignment horizontal="center"/>
    </xf>
    <xf numFmtId="1" fontId="28" fillId="0" borderId="3" xfId="0" applyNumberFormat="1" applyFont="1" applyBorder="1" applyAlignment="1">
      <alignment horizontal="center"/>
    </xf>
    <xf numFmtId="1" fontId="28" fillId="0" borderId="6" xfId="0" applyNumberFormat="1" applyFont="1" applyBorder="1" applyAlignment="1">
      <alignment horizontal="center"/>
    </xf>
    <xf numFmtId="1" fontId="28" fillId="0" borderId="2" xfId="0" applyNumberFormat="1" applyFont="1" applyFill="1" applyBorder="1" applyAlignment="1">
      <alignment horizontal="center"/>
    </xf>
    <xf numFmtId="1" fontId="28" fillId="0" borderId="0" xfId="0" applyNumberFormat="1" applyFont="1" applyFill="1" applyBorder="1" applyAlignment="1">
      <alignment horizontal="center"/>
    </xf>
    <xf numFmtId="1" fontId="28" fillId="0" borderId="3" xfId="0" applyNumberFormat="1" applyFont="1" applyFill="1" applyBorder="1" applyAlignment="1">
      <alignment horizontal="center"/>
    </xf>
    <xf numFmtId="0" fontId="28" fillId="0" borderId="2" xfId="0" applyFont="1" applyBorder="1"/>
    <xf numFmtId="0" fontId="28" fillId="0" borderId="0" xfId="0" applyFont="1" applyBorder="1"/>
    <xf numFmtId="0" fontId="28" fillId="0" borderId="0" xfId="0" applyFont="1" applyBorder="1" applyAlignment="1">
      <alignment horizontal="right"/>
    </xf>
    <xf numFmtId="167" fontId="28" fillId="0" borderId="3" xfId="0" applyNumberFormat="1" applyFont="1" applyBorder="1" applyAlignment="1">
      <alignment horizontal="left"/>
    </xf>
    <xf numFmtId="0" fontId="28" fillId="0" borderId="0" xfId="0" applyFont="1"/>
    <xf numFmtId="1" fontId="28" fillId="0" borderId="4" xfId="0" applyNumberFormat="1" applyFont="1" applyBorder="1" applyAlignment="1">
      <alignment horizontal="center"/>
    </xf>
    <xf numFmtId="1" fontId="28" fillId="0" borderId="5" xfId="0" applyNumberFormat="1" applyFont="1" applyBorder="1" applyAlignment="1">
      <alignment horizontal="center"/>
    </xf>
    <xf numFmtId="1" fontId="28" fillId="0" borderId="8" xfId="0" applyNumberFormat="1" applyFont="1" applyBorder="1" applyAlignment="1">
      <alignment horizontal="center"/>
    </xf>
    <xf numFmtId="164" fontId="28" fillId="0" borderId="0" xfId="0" applyNumberFormat="1" applyFont="1"/>
    <xf numFmtId="166" fontId="28" fillId="0" borderId="2" xfId="0" applyNumberFormat="1" applyFont="1" applyBorder="1" applyAlignment="1">
      <alignment horizontal="center"/>
    </xf>
    <xf numFmtId="166" fontId="28" fillId="0" borderId="0" xfId="0" applyNumberFormat="1" applyFont="1" applyBorder="1" applyAlignment="1">
      <alignment horizontal="center"/>
    </xf>
    <xf numFmtId="166" fontId="28" fillId="0" borderId="3" xfId="0" applyNumberFormat="1" applyFont="1" applyBorder="1" applyAlignment="1">
      <alignment horizontal="center"/>
    </xf>
    <xf numFmtId="0" fontId="28" fillId="0" borderId="0" xfId="0" applyFont="1" applyAlignment="1">
      <alignment horizontal="right"/>
    </xf>
    <xf numFmtId="167" fontId="28" fillId="0" borderId="0" xfId="0" applyNumberFormat="1" applyFont="1" applyAlignment="1">
      <alignment horizontal="left"/>
    </xf>
    <xf numFmtId="167" fontId="28" fillId="0" borderId="0" xfId="0" applyNumberFormat="1" applyFont="1"/>
    <xf numFmtId="166" fontId="28" fillId="0" borderId="0" xfId="0" applyNumberFormat="1" applyFont="1"/>
    <xf numFmtId="165" fontId="28" fillId="0" borderId="2" xfId="0" applyNumberFormat="1" applyFont="1" applyBorder="1" applyAlignment="1">
      <alignment horizontal="center"/>
    </xf>
    <xf numFmtId="165" fontId="28" fillId="0" borderId="0" xfId="0" applyNumberFormat="1" applyFont="1" applyBorder="1" applyAlignment="1">
      <alignment horizontal="center"/>
    </xf>
    <xf numFmtId="165" fontId="28" fillId="0" borderId="3" xfId="0" applyNumberFormat="1" applyFont="1" applyBorder="1" applyAlignment="1">
      <alignment horizontal="center"/>
    </xf>
    <xf numFmtId="170" fontId="28" fillId="0" borderId="0" xfId="0" applyNumberFormat="1" applyFont="1" applyAlignment="1">
      <alignment horizontal="center"/>
    </xf>
    <xf numFmtId="11" fontId="28" fillId="0" borderId="0" xfId="0" applyNumberFormat="1" applyFont="1" applyAlignment="1">
      <alignment horizontal="center"/>
    </xf>
    <xf numFmtId="170" fontId="28" fillId="0" borderId="0" xfId="0" applyNumberFormat="1" applyFont="1"/>
    <xf numFmtId="170" fontId="28" fillId="0" borderId="0" xfId="0" applyNumberFormat="1" applyFont="1" applyBorder="1"/>
    <xf numFmtId="9" fontId="31" fillId="0" borderId="0" xfId="1" applyFont="1" applyBorder="1" applyAlignment="1">
      <alignment horizontal="center"/>
    </xf>
    <xf numFmtId="1" fontId="28" fillId="0" borderId="2" xfId="0" applyNumberFormat="1" applyFont="1" applyBorder="1"/>
    <xf numFmtId="2" fontId="28" fillId="0" borderId="0" xfId="0" applyNumberFormat="1" applyFont="1" applyBorder="1" applyAlignment="1">
      <alignment horizontal="center"/>
    </xf>
    <xf numFmtId="2" fontId="28" fillId="0" borderId="3" xfId="0" applyNumberFormat="1" applyFont="1" applyBorder="1" applyAlignment="1">
      <alignment horizontal="center"/>
    </xf>
    <xf numFmtId="2" fontId="28" fillId="0" borderId="0" xfId="0" applyNumberFormat="1" applyFont="1" applyFill="1" applyBorder="1" applyAlignment="1">
      <alignment horizontal="center"/>
    </xf>
    <xf numFmtId="2" fontId="28" fillId="0" borderId="0" xfId="0" applyNumberFormat="1" applyFont="1" applyBorder="1"/>
    <xf numFmtId="2" fontId="28" fillId="0" borderId="3" xfId="0" applyNumberFormat="1" applyFont="1" applyBorder="1"/>
    <xf numFmtId="1" fontId="28" fillId="0" borderId="0" xfId="0" applyNumberFormat="1" applyFont="1"/>
    <xf numFmtId="165" fontId="28" fillId="0" borderId="0" xfId="0" applyNumberFormat="1" applyFont="1" applyAlignment="1">
      <alignment horizontal="center"/>
    </xf>
    <xf numFmtId="2" fontId="28" fillId="0" borderId="0" xfId="0" applyNumberFormat="1" applyFont="1"/>
    <xf numFmtId="9" fontId="28" fillId="0" borderId="0" xfId="1" applyFont="1" applyBorder="1" applyAlignment="1">
      <alignment horizontal="center"/>
    </xf>
    <xf numFmtId="165" fontId="28" fillId="0" borderId="0" xfId="0" applyNumberFormat="1" applyFont="1"/>
    <xf numFmtId="1" fontId="28" fillId="0" borderId="9" xfId="0" applyNumberFormat="1" applyFont="1" applyBorder="1" applyAlignment="1">
      <alignment horizontal="center"/>
    </xf>
    <xf numFmtId="1" fontId="28" fillId="0" borderId="11" xfId="0" applyNumberFormat="1" applyFont="1" applyBorder="1" applyAlignment="1">
      <alignment horizontal="center"/>
    </xf>
    <xf numFmtId="1" fontId="28" fillId="0" borderId="10" xfId="0" applyNumberFormat="1" applyFont="1" applyBorder="1" applyAlignment="1">
      <alignment horizontal="center"/>
    </xf>
    <xf numFmtId="1" fontId="28" fillId="0" borderId="0" xfId="0" applyNumberFormat="1" applyFont="1" applyProtection="1"/>
    <xf numFmtId="0" fontId="28" fillId="0" borderId="0" xfId="0" quotePrefix="1" applyFont="1"/>
    <xf numFmtId="0" fontId="33" fillId="0" borderId="0" xfId="0" applyFont="1" applyFill="1" applyBorder="1" applyAlignment="1" applyProtection="1">
      <alignment horizontal="center"/>
      <protection locked="0"/>
    </xf>
    <xf numFmtId="0" fontId="10" fillId="0" borderId="0" xfId="3" applyFont="1" applyBorder="1" applyAlignment="1">
      <alignment horizontal="left" vertical="top" wrapText="1"/>
    </xf>
    <xf numFmtId="0" fontId="10" fillId="0" borderId="0" xfId="3" applyFont="1" applyBorder="1" applyAlignment="1">
      <alignment horizontal="left" wrapText="1"/>
    </xf>
    <xf numFmtId="0" fontId="22" fillId="0" borderId="0" xfId="7" applyBorder="1" applyAlignment="1" applyProtection="1">
      <alignment horizontal="center"/>
    </xf>
    <xf numFmtId="0" fontId="10" fillId="0" borderId="0" xfId="0" applyFont="1" applyBorder="1" applyAlignment="1">
      <alignment horizontal="center" vertical="top"/>
    </xf>
    <xf numFmtId="0" fontId="12" fillId="0" borderId="0" xfId="0" applyFont="1" applyBorder="1" applyAlignment="1">
      <alignment horizontal="center"/>
    </xf>
    <xf numFmtId="0" fontId="30" fillId="0" borderId="0" xfId="0" applyFont="1" applyFill="1" applyBorder="1" applyAlignment="1" applyProtection="1">
      <alignment horizontal="center" shrinkToFit="1"/>
      <protection locked="0"/>
    </xf>
    <xf numFmtId="0" fontId="19" fillId="0" borderId="0" xfId="0" applyFont="1" applyBorder="1" applyAlignment="1" applyProtection="1">
      <alignment horizontal="center"/>
      <protection locked="0"/>
    </xf>
    <xf numFmtId="0" fontId="22" fillId="0" borderId="0" xfId="4" applyAlignment="1" applyProtection="1">
      <alignment horizontal="left"/>
    </xf>
  </cellXfs>
  <cellStyles count="8">
    <cellStyle name="Hyperlink" xfId="4" builtinId="8"/>
    <cellStyle name="Hyperlink 2" xfId="6"/>
    <cellStyle name="Hyperlink 2 2" xfId="7"/>
    <cellStyle name="Normal" xfId="0" builtinId="0"/>
    <cellStyle name="Normal 2" xfId="2"/>
    <cellStyle name="Normal 2 2" xfId="3"/>
    <cellStyle name="Normal 4" xfId="5"/>
    <cellStyle name="Percent" xfId="1" builtinId="5"/>
  </cellStyles>
  <dxfs count="3">
    <dxf>
      <fill>
        <patternFill>
          <bgColor indexed="26"/>
        </patternFill>
      </fill>
    </dxf>
    <dxf>
      <fill>
        <patternFill>
          <bgColor indexed="47"/>
        </patternFill>
      </fill>
    </dxf>
    <dxf>
      <fill>
        <patternFill>
          <bgColor indexed="4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31918773659369"/>
          <c:y val="4.2389289779943773E-2"/>
          <c:w val="0.81899784910857953"/>
          <c:h val="0.863200082791582"/>
        </c:manualLayout>
      </c:layout>
      <c:scatterChart>
        <c:scatterStyle val="lineMarker"/>
        <c:varyColors val="0"/>
        <c:ser>
          <c:idx val="0"/>
          <c:order val="0"/>
          <c:tx>
            <c:strRef>
              <c:f>Report!$AC$216</c:f>
              <c:strCache>
                <c:ptCount val="1"/>
                <c:pt idx="0">
                  <c:v>Curve1</c:v>
                </c:pt>
              </c:strCache>
            </c:strRef>
          </c:tx>
          <c:spPr>
            <a:ln w="38100">
              <a:solidFill>
                <a:srgbClr val="0000FF"/>
              </a:solidFill>
              <a:prstDash val="solid"/>
            </a:ln>
          </c:spPr>
          <c:marker>
            <c:symbol val="none"/>
          </c:marker>
          <c:xVal>
            <c:numRef>
              <c:f>Report!$AB$217:$AB$222</c:f>
              <c:numCache>
                <c:formatCode>0.00</c:formatCode>
                <c:ptCount val="6"/>
                <c:pt idx="0">
                  <c:v>25</c:v>
                </c:pt>
                <c:pt idx="1">
                  <c:v>37.396299999999997</c:v>
                </c:pt>
                <c:pt idx="2">
                  <c:v>74.818100000000001</c:v>
                </c:pt>
                <c:pt idx="3">
                  <c:v>37.526000000000003</c:v>
                </c:pt>
                <c:pt idx="4">
                  <c:v>25</c:v>
                </c:pt>
              </c:numCache>
            </c:numRef>
          </c:xVal>
          <c:yVal>
            <c:numRef>
              <c:f>Report!$AC$217:$AC$222</c:f>
              <c:numCache>
                <c:formatCode>0.00</c:formatCode>
                <c:ptCount val="6"/>
                <c:pt idx="0">
                  <c:v>37.708300000000001</c:v>
                </c:pt>
                <c:pt idx="1">
                  <c:v>50</c:v>
                </c:pt>
                <c:pt idx="2">
                  <c:v>12.5</c:v>
                </c:pt>
                <c:pt idx="3">
                  <c:v>12.5</c:v>
                </c:pt>
                <c:pt idx="4">
                  <c:v>37.708300000000001</c:v>
                </c:pt>
              </c:numCache>
            </c:numRef>
          </c:yVal>
          <c:smooth val="0"/>
          <c:extLst>
            <c:ext xmlns:c16="http://schemas.microsoft.com/office/drawing/2014/chart" uri="{C3380CC4-5D6E-409C-BE32-E72D297353CC}">
              <c16:uniqueId val="{00000000-33C6-4A5E-8C77-C447310AD3BC}"/>
            </c:ext>
          </c:extLst>
        </c:ser>
        <c:ser>
          <c:idx val="1"/>
          <c:order val="1"/>
          <c:spPr>
            <a:ln w="38100">
              <a:solidFill>
                <a:srgbClr val="FF0000"/>
              </a:solidFill>
              <a:prstDash val="solid"/>
            </a:ln>
          </c:spPr>
          <c:marker>
            <c:symbol val="none"/>
          </c:marker>
          <c:xVal>
            <c:numRef>
              <c:f>Report!$AD$216:$AD$220</c:f>
              <c:numCache>
                <c:formatCode>General</c:formatCode>
                <c:ptCount val="5"/>
                <c:pt idx="0">
                  <c:v>0</c:v>
                </c:pt>
                <c:pt idx="1">
                  <c:v>50</c:v>
                </c:pt>
                <c:pt idx="2">
                  <c:v>100</c:v>
                </c:pt>
                <c:pt idx="3">
                  <c:v>50</c:v>
                </c:pt>
                <c:pt idx="4">
                  <c:v>0</c:v>
                </c:pt>
              </c:numCache>
            </c:numRef>
          </c:xVal>
          <c:yVal>
            <c:numRef>
              <c:f>Report!$AE$216:$AE$220</c:f>
              <c:numCache>
                <c:formatCode>General</c:formatCode>
                <c:ptCount val="5"/>
                <c:pt idx="0">
                  <c:v>50</c:v>
                </c:pt>
                <c:pt idx="1">
                  <c:v>0</c:v>
                </c:pt>
                <c:pt idx="2">
                  <c:v>0</c:v>
                </c:pt>
                <c:pt idx="3">
                  <c:v>50</c:v>
                </c:pt>
                <c:pt idx="4">
                  <c:v>50</c:v>
                </c:pt>
              </c:numCache>
            </c:numRef>
          </c:yVal>
          <c:smooth val="0"/>
          <c:extLst>
            <c:ext xmlns:c16="http://schemas.microsoft.com/office/drawing/2014/chart" uri="{C3380CC4-5D6E-409C-BE32-E72D297353CC}">
              <c16:uniqueId val="{00000001-33C6-4A5E-8C77-C447310AD3BC}"/>
            </c:ext>
          </c:extLst>
        </c:ser>
        <c:ser>
          <c:idx val="2"/>
          <c:order val="2"/>
          <c:tx>
            <c:strRef>
              <c:f>Report!$AD$221</c:f>
              <c:strCache>
                <c:ptCount val="1"/>
                <c:pt idx="0">
                  <c:v>0%</c:v>
                </c:pt>
              </c:strCache>
            </c:strRef>
          </c:tx>
          <c:spPr>
            <a:ln w="3175">
              <a:solidFill>
                <a:srgbClr val="000000"/>
              </a:solidFill>
              <a:prstDash val="solid"/>
            </a:ln>
          </c:spPr>
          <c:marker>
            <c:symbol val="none"/>
          </c:marker>
          <c:dLbls>
            <c:dLbl>
              <c:idx val="0"/>
              <c:layout>
                <c:manualLayout>
                  <c:x val="4.7790070572759774E-3"/>
                  <c:y val="1.5470349654834431E-2"/>
                </c:manualLayout>
              </c:layout>
              <c:tx>
                <c:rich>
                  <a:bodyPr/>
                  <a:lstStyle/>
                  <a:p>
                    <a:r>
                      <a:rPr lang="en-US"/>
                      <a:t>0%</a:t>
                    </a:r>
                  </a:p>
                </c:rich>
              </c:tx>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C6-4A5E-8C77-C447310AD3BC}"/>
                </c:ext>
              </c:extLst>
            </c:dLbl>
            <c:dLbl>
              <c:idx val="1"/>
              <c:layout>
                <c:manualLayout>
                  <c:x val="-6.8697895894594893E-2"/>
                  <c:y val="-6.352786628521045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Report!$AD$222:$AD$223</c:f>
              <c:numCache>
                <c:formatCode>General</c:formatCode>
                <c:ptCount val="2"/>
                <c:pt idx="0">
                  <c:v>0</c:v>
                </c:pt>
                <c:pt idx="1">
                  <c:v>100</c:v>
                </c:pt>
              </c:numCache>
            </c:numRef>
          </c:xVal>
          <c:yVal>
            <c:numRef>
              <c:f>Report!$AE$222:$AE$223</c:f>
              <c:numCache>
                <c:formatCode>General</c:formatCode>
                <c:ptCount val="2"/>
                <c:pt idx="0">
                  <c:v>100</c:v>
                </c:pt>
                <c:pt idx="1">
                  <c:v>0</c:v>
                </c:pt>
              </c:numCache>
            </c:numRef>
          </c:yVal>
          <c:smooth val="0"/>
          <c:extLst>
            <c:ext xmlns:c16="http://schemas.microsoft.com/office/drawing/2014/chart" uri="{C3380CC4-5D6E-409C-BE32-E72D297353CC}">
              <c16:uniqueId val="{00000004-33C6-4A5E-8C77-C447310AD3BC}"/>
            </c:ext>
          </c:extLst>
        </c:ser>
        <c:ser>
          <c:idx val="3"/>
          <c:order val="3"/>
          <c:tx>
            <c:v>10%</c:v>
          </c:tx>
          <c:spPr>
            <a:ln w="3175">
              <a:solidFill>
                <a:srgbClr val="000000"/>
              </a:solidFill>
              <a:prstDash val="solid"/>
            </a:ln>
          </c:spPr>
          <c:marker>
            <c:symbol val="none"/>
          </c:marker>
          <c:dLbls>
            <c:dLbl>
              <c:idx val="0"/>
              <c:layout>
                <c:manualLayout>
                  <c:x val="-2.3894642697137739E-3"/>
                  <c:y val="2.1824144189004489E-2"/>
                </c:manualLayout>
              </c:layout>
              <c:tx>
                <c:rich>
                  <a:bodyPr/>
                  <a:lstStyle/>
                  <a:p>
                    <a:r>
                      <a:rPr lang="en-US"/>
                      <a:t>10%</a:t>
                    </a:r>
                  </a:p>
                </c:rich>
              </c:tx>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C6-4A5E-8C77-C447310AD3BC}"/>
                </c:ext>
              </c:extLst>
            </c:dLbl>
            <c:dLbl>
              <c:idx val="1"/>
              <c:layout>
                <c:manualLayout>
                  <c:x val="-7.9988287494138527E-2"/>
                  <c:y val="-6.3339746763010366E-2"/>
                </c:manualLayout>
              </c:layout>
              <c:tx>
                <c:rich>
                  <a:bodyPr/>
                  <a:lstStyle/>
                  <a:p>
                    <a:r>
                      <a:rPr lang="en-US"/>
                      <a:t>10%</a:t>
                    </a:r>
                  </a:p>
                </c:rich>
              </c:tx>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Report!$AD$225:$AD$226</c:f>
              <c:numCache>
                <c:formatCode>General</c:formatCode>
                <c:ptCount val="2"/>
                <c:pt idx="0">
                  <c:v>0</c:v>
                </c:pt>
                <c:pt idx="1">
                  <c:v>90</c:v>
                </c:pt>
              </c:numCache>
            </c:numRef>
          </c:xVal>
          <c:yVal>
            <c:numRef>
              <c:f>Report!$AE$225:$AE$226</c:f>
              <c:numCache>
                <c:formatCode>General</c:formatCode>
                <c:ptCount val="2"/>
                <c:pt idx="0">
                  <c:v>90</c:v>
                </c:pt>
                <c:pt idx="1">
                  <c:v>0</c:v>
                </c:pt>
              </c:numCache>
            </c:numRef>
          </c:yVal>
          <c:smooth val="0"/>
          <c:extLst>
            <c:ext xmlns:c16="http://schemas.microsoft.com/office/drawing/2014/chart" uri="{C3380CC4-5D6E-409C-BE32-E72D297353CC}">
              <c16:uniqueId val="{00000007-33C6-4A5E-8C77-C447310AD3BC}"/>
            </c:ext>
          </c:extLst>
        </c:ser>
        <c:ser>
          <c:idx val="4"/>
          <c:order val="4"/>
          <c:tx>
            <c:v>20%</c:v>
          </c:tx>
          <c:spPr>
            <a:ln w="12700">
              <a:solidFill>
                <a:srgbClr val="000000"/>
              </a:solidFill>
              <a:prstDash val="solid"/>
            </a:ln>
          </c:spPr>
          <c:marker>
            <c:symbol val="none"/>
          </c:marker>
          <c:dLbls>
            <c:dLbl>
              <c:idx val="0"/>
              <c:layout>
                <c:manualLayout>
                  <c:x val="-7.7658177649560668E-3"/>
                  <c:y val="2.2209461503709355E-2"/>
                </c:manualLayout>
              </c:layout>
              <c:tx>
                <c:rich>
                  <a:bodyPr/>
                  <a:lstStyle/>
                  <a:p>
                    <a:r>
                      <a:rPr lang="en-US"/>
                      <a:t>20%</a:t>
                    </a:r>
                  </a:p>
                </c:rich>
              </c:tx>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3C6-4A5E-8C77-C447310AD3BC}"/>
                </c:ext>
              </c:extLst>
            </c:dLbl>
            <c:dLbl>
              <c:idx val="1"/>
              <c:layout>
                <c:manualLayout>
                  <c:x val="-8.0525783954673122E-2"/>
                  <c:y val="-5.9486174964833737E-2"/>
                </c:manualLayout>
              </c:layout>
              <c:tx>
                <c:rich>
                  <a:bodyPr/>
                  <a:lstStyle/>
                  <a:p>
                    <a:r>
                      <a:rPr lang="en-US"/>
                      <a:t>20%</a:t>
                    </a:r>
                  </a:p>
                </c:rich>
              </c:tx>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Report!$AD$228:$AD$229</c:f>
              <c:numCache>
                <c:formatCode>General</c:formatCode>
                <c:ptCount val="2"/>
                <c:pt idx="0">
                  <c:v>0</c:v>
                </c:pt>
                <c:pt idx="1">
                  <c:v>80</c:v>
                </c:pt>
              </c:numCache>
            </c:numRef>
          </c:xVal>
          <c:yVal>
            <c:numRef>
              <c:f>Report!$AE$228:$AE$229</c:f>
              <c:numCache>
                <c:formatCode>General</c:formatCode>
                <c:ptCount val="2"/>
                <c:pt idx="0">
                  <c:v>80</c:v>
                </c:pt>
                <c:pt idx="1">
                  <c:v>0</c:v>
                </c:pt>
              </c:numCache>
            </c:numRef>
          </c:yVal>
          <c:smooth val="0"/>
          <c:extLst>
            <c:ext xmlns:c16="http://schemas.microsoft.com/office/drawing/2014/chart" uri="{C3380CC4-5D6E-409C-BE32-E72D297353CC}">
              <c16:uniqueId val="{0000000A-33C6-4A5E-8C77-C447310AD3BC}"/>
            </c:ext>
          </c:extLst>
        </c:ser>
        <c:ser>
          <c:idx val="5"/>
          <c:order val="5"/>
          <c:tx>
            <c:v>30%</c:v>
          </c:tx>
          <c:spPr>
            <a:ln w="12700">
              <a:solidFill>
                <a:srgbClr val="000000"/>
              </a:solidFill>
              <a:prstDash val="solid"/>
            </a:ln>
          </c:spPr>
          <c:marker>
            <c:symbol val="none"/>
          </c:marker>
          <c:dLbls>
            <c:dLbl>
              <c:idx val="0"/>
              <c:layout>
                <c:manualLayout>
                  <c:x val="-9.5579355967035044E-3"/>
                  <c:y val="1.681462340800198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33C6-4A5E-8C77-C447310AD3BC}"/>
                </c:ext>
              </c:extLst>
            </c:dLbl>
            <c:dLbl>
              <c:idx val="1"/>
              <c:layout>
                <c:manualLayout>
                  <c:x val="-6.8518643741499949E-2"/>
                  <c:y val="-5.177903136848029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Report!$AD$231:$AD$232</c:f>
              <c:numCache>
                <c:formatCode>General</c:formatCode>
                <c:ptCount val="2"/>
                <c:pt idx="0">
                  <c:v>0</c:v>
                </c:pt>
                <c:pt idx="1">
                  <c:v>70</c:v>
                </c:pt>
              </c:numCache>
            </c:numRef>
          </c:xVal>
          <c:yVal>
            <c:numRef>
              <c:f>Report!$AE$231:$AE$232</c:f>
              <c:numCache>
                <c:formatCode>General</c:formatCode>
                <c:ptCount val="2"/>
                <c:pt idx="0">
                  <c:v>70</c:v>
                </c:pt>
                <c:pt idx="1">
                  <c:v>0</c:v>
                </c:pt>
              </c:numCache>
            </c:numRef>
          </c:yVal>
          <c:smooth val="0"/>
          <c:extLst>
            <c:ext xmlns:c16="http://schemas.microsoft.com/office/drawing/2014/chart" uri="{C3380CC4-5D6E-409C-BE32-E72D297353CC}">
              <c16:uniqueId val="{0000000D-33C6-4A5E-8C77-C447310AD3BC}"/>
            </c:ext>
          </c:extLst>
        </c:ser>
        <c:ser>
          <c:idx val="6"/>
          <c:order val="6"/>
          <c:tx>
            <c:v>40%</c:v>
          </c:tx>
          <c:spPr>
            <a:ln w="12700">
              <a:solidFill>
                <a:srgbClr val="000000"/>
              </a:solidFill>
              <a:prstDash val="solid"/>
            </a:ln>
          </c:spPr>
          <c:marker>
            <c:symbol val="none"/>
          </c:marker>
          <c:dLbls>
            <c:dLbl>
              <c:idx val="0"/>
              <c:layout>
                <c:manualLayout>
                  <c:x val="-5.973699933208643E-3"/>
                  <c:y val="1.3346368924530149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33C6-4A5E-8C77-C447310AD3BC}"/>
                </c:ext>
              </c:extLst>
            </c:dLbl>
            <c:dLbl>
              <c:idx val="1"/>
              <c:layout>
                <c:manualLayout>
                  <c:x val="-5.2927267864832039E-2"/>
                  <c:y val="-3.6364744175773442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Report!$AD$234:$AD$235</c:f>
              <c:numCache>
                <c:formatCode>General</c:formatCode>
                <c:ptCount val="2"/>
                <c:pt idx="0">
                  <c:v>0</c:v>
                </c:pt>
                <c:pt idx="1">
                  <c:v>60</c:v>
                </c:pt>
              </c:numCache>
            </c:numRef>
          </c:xVal>
          <c:yVal>
            <c:numRef>
              <c:f>Report!$AE$234:$AE$235</c:f>
              <c:numCache>
                <c:formatCode>General</c:formatCode>
                <c:ptCount val="2"/>
                <c:pt idx="0">
                  <c:v>60</c:v>
                </c:pt>
                <c:pt idx="1">
                  <c:v>0</c:v>
                </c:pt>
              </c:numCache>
            </c:numRef>
          </c:yVal>
          <c:smooth val="0"/>
          <c:extLst>
            <c:ext xmlns:c16="http://schemas.microsoft.com/office/drawing/2014/chart" uri="{C3380CC4-5D6E-409C-BE32-E72D297353CC}">
              <c16:uniqueId val="{00000010-33C6-4A5E-8C77-C447310AD3BC}"/>
            </c:ext>
          </c:extLst>
        </c:ser>
        <c:ser>
          <c:idx val="7"/>
          <c:order val="7"/>
          <c:tx>
            <c:v>60%</c:v>
          </c:tx>
          <c:spPr>
            <a:ln w="12700">
              <a:solidFill>
                <a:srgbClr val="000000"/>
              </a:solidFill>
              <a:prstDash val="solid"/>
            </a:ln>
          </c:spPr>
          <c:marker>
            <c:symbol val="none"/>
          </c:marker>
          <c:dLbls>
            <c:dLbl>
              <c:idx val="0"/>
              <c:layout>
                <c:manualLayout>
                  <c:x val="-9.5579355967035044E-3"/>
                  <c:y val="6.409859957586363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33C6-4A5E-8C77-C447310AD3BC}"/>
                </c:ext>
              </c:extLst>
            </c:dLbl>
            <c:dLbl>
              <c:idx val="1"/>
              <c:layout>
                <c:manualLayout>
                  <c:x val="-5.2210331102678018E-2"/>
                  <c:y val="-4.2145101873038472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2-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Report!$AD$240:$AD$241</c:f>
              <c:numCache>
                <c:formatCode>General</c:formatCode>
                <c:ptCount val="2"/>
                <c:pt idx="0">
                  <c:v>0</c:v>
                </c:pt>
                <c:pt idx="1">
                  <c:v>40</c:v>
                </c:pt>
              </c:numCache>
            </c:numRef>
          </c:xVal>
          <c:yVal>
            <c:numRef>
              <c:f>Report!$AE$240:$AE$241</c:f>
              <c:numCache>
                <c:formatCode>General</c:formatCode>
                <c:ptCount val="2"/>
                <c:pt idx="0">
                  <c:v>40</c:v>
                </c:pt>
                <c:pt idx="1">
                  <c:v>0</c:v>
                </c:pt>
              </c:numCache>
            </c:numRef>
          </c:yVal>
          <c:smooth val="0"/>
          <c:extLst>
            <c:ext xmlns:c16="http://schemas.microsoft.com/office/drawing/2014/chart" uri="{C3380CC4-5D6E-409C-BE32-E72D297353CC}">
              <c16:uniqueId val="{00000013-33C6-4A5E-8C77-C447310AD3BC}"/>
            </c:ext>
          </c:extLst>
        </c:ser>
        <c:ser>
          <c:idx val="8"/>
          <c:order val="8"/>
          <c:tx>
            <c:v>70%</c:v>
          </c:tx>
          <c:spPr>
            <a:ln w="12700">
              <a:solidFill>
                <a:srgbClr val="000000"/>
              </a:solidFill>
              <a:prstDash val="solid"/>
            </a:ln>
          </c:spPr>
          <c:marker>
            <c:symbol val="none"/>
          </c:marker>
          <c:dLbls>
            <c:dLbl>
              <c:idx val="0"/>
              <c:layout>
                <c:manualLayout>
                  <c:x val="-9.5579355967035044E-3"/>
                  <c:y val="1.0148195750261213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4-33C6-4A5E-8C77-C447310AD3BC}"/>
                </c:ext>
              </c:extLst>
            </c:dLbl>
            <c:dLbl>
              <c:idx val="1"/>
              <c:layout>
                <c:manualLayout>
                  <c:x val="-4.9163780048242123E-2"/>
                  <c:y val="-3.829153007486178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5-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Report!$AD$243:$AD$244</c:f>
              <c:numCache>
                <c:formatCode>General</c:formatCode>
                <c:ptCount val="2"/>
                <c:pt idx="0">
                  <c:v>0</c:v>
                </c:pt>
                <c:pt idx="1">
                  <c:v>30</c:v>
                </c:pt>
              </c:numCache>
            </c:numRef>
          </c:xVal>
          <c:yVal>
            <c:numRef>
              <c:f>Report!$AE$243:$AE$244</c:f>
              <c:numCache>
                <c:formatCode>General</c:formatCode>
                <c:ptCount val="2"/>
                <c:pt idx="0">
                  <c:v>30</c:v>
                </c:pt>
                <c:pt idx="1">
                  <c:v>0</c:v>
                </c:pt>
              </c:numCache>
            </c:numRef>
          </c:yVal>
          <c:smooth val="0"/>
          <c:extLst>
            <c:ext xmlns:c16="http://schemas.microsoft.com/office/drawing/2014/chart" uri="{C3380CC4-5D6E-409C-BE32-E72D297353CC}">
              <c16:uniqueId val="{00000016-33C6-4A5E-8C77-C447310AD3BC}"/>
            </c:ext>
          </c:extLst>
        </c:ser>
        <c:ser>
          <c:idx val="9"/>
          <c:order val="9"/>
          <c:tx>
            <c:v>80%</c:v>
          </c:tx>
          <c:spPr>
            <a:ln w="12700">
              <a:solidFill>
                <a:srgbClr val="000000"/>
              </a:solidFill>
              <a:prstDash val="solid"/>
            </a:ln>
          </c:spPr>
          <c:marker>
            <c:symbol val="none"/>
          </c:marker>
          <c:dLbls>
            <c:dLbl>
              <c:idx val="0"/>
              <c:layout>
                <c:manualLayout>
                  <c:x val="-1.3142171260198399E-2"/>
                  <c:y val="1.4003391765839009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33C6-4A5E-8C77-C447310AD3BC}"/>
                </c:ext>
              </c:extLst>
            </c:dLbl>
            <c:dLbl>
              <c:idx val="1"/>
              <c:layout>
                <c:manualLayout>
                  <c:x val="-4.7909346825553631E-2"/>
                  <c:y val="-4.021831597395008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Report!$AD$246:$AD$247</c:f>
              <c:numCache>
                <c:formatCode>General</c:formatCode>
                <c:ptCount val="2"/>
                <c:pt idx="0">
                  <c:v>0</c:v>
                </c:pt>
                <c:pt idx="1">
                  <c:v>20</c:v>
                </c:pt>
              </c:numCache>
            </c:numRef>
          </c:xVal>
          <c:yVal>
            <c:numRef>
              <c:f>Report!$AE$246:$AE$247</c:f>
              <c:numCache>
                <c:formatCode>General</c:formatCode>
                <c:ptCount val="2"/>
                <c:pt idx="0">
                  <c:v>20</c:v>
                </c:pt>
                <c:pt idx="1">
                  <c:v>0</c:v>
                </c:pt>
              </c:numCache>
            </c:numRef>
          </c:yVal>
          <c:smooth val="0"/>
          <c:extLst>
            <c:ext xmlns:c16="http://schemas.microsoft.com/office/drawing/2014/chart" uri="{C3380CC4-5D6E-409C-BE32-E72D297353CC}">
              <c16:uniqueId val="{00000019-33C6-4A5E-8C77-C447310AD3BC}"/>
            </c:ext>
          </c:extLst>
        </c:ser>
        <c:ser>
          <c:idx val="10"/>
          <c:order val="10"/>
          <c:tx>
            <c:v>90%</c:v>
          </c:tx>
          <c:spPr>
            <a:ln w="12700">
              <a:solidFill>
                <a:srgbClr val="000000"/>
              </a:solidFill>
              <a:prstDash val="solid"/>
            </a:ln>
          </c:spPr>
          <c:marker>
            <c:symbol val="none"/>
          </c:marker>
          <c:dLbls>
            <c:dLbl>
              <c:idx val="0"/>
              <c:layout>
                <c:manualLayout>
                  <c:x val="1.1947478384265745E-2"/>
                  <c:y val="2.683387317943733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33C6-4A5E-8C77-C447310AD3BC}"/>
                </c:ext>
              </c:extLst>
            </c:dLbl>
            <c:dLbl>
              <c:idx val="1"/>
              <c:delete val="1"/>
              <c:extLst>
                <c:ext xmlns:c15="http://schemas.microsoft.com/office/drawing/2012/chart" uri="{CE6537A1-D6FC-4f65-9D91-7224C49458BB}"/>
                <c:ext xmlns:c16="http://schemas.microsoft.com/office/drawing/2014/chart" uri="{C3380CC4-5D6E-409C-BE32-E72D297353CC}">
                  <c16:uniqueId val="{0000001B-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Report!$AD$249:$AD$250</c:f>
              <c:numCache>
                <c:formatCode>General</c:formatCode>
                <c:ptCount val="2"/>
                <c:pt idx="0">
                  <c:v>0</c:v>
                </c:pt>
                <c:pt idx="1">
                  <c:v>10</c:v>
                </c:pt>
              </c:numCache>
            </c:numRef>
          </c:xVal>
          <c:yVal>
            <c:numRef>
              <c:f>Report!$AE$249:$AE$250</c:f>
              <c:numCache>
                <c:formatCode>General</c:formatCode>
                <c:ptCount val="2"/>
                <c:pt idx="0">
                  <c:v>10</c:v>
                </c:pt>
                <c:pt idx="1">
                  <c:v>0</c:v>
                </c:pt>
              </c:numCache>
            </c:numRef>
          </c:yVal>
          <c:smooth val="0"/>
          <c:extLst>
            <c:ext xmlns:c16="http://schemas.microsoft.com/office/drawing/2014/chart" uri="{C3380CC4-5D6E-409C-BE32-E72D297353CC}">
              <c16:uniqueId val="{0000001C-33C6-4A5E-8C77-C447310AD3BC}"/>
            </c:ext>
          </c:extLst>
        </c:ser>
        <c:ser>
          <c:idx val="11"/>
          <c:order val="11"/>
          <c:tx>
            <c:v>50%</c:v>
          </c:tx>
          <c:spPr>
            <a:ln w="12700">
              <a:solidFill>
                <a:srgbClr val="000000"/>
              </a:solidFill>
              <a:prstDash val="solid"/>
            </a:ln>
          </c:spPr>
          <c:marker>
            <c:symbol val="none"/>
          </c:marker>
          <c:dLbls>
            <c:dLbl>
              <c:idx val="0"/>
              <c:layout>
                <c:manualLayout>
                  <c:x val="8.3632427207708665E-3"/>
                  <c:y val="2.7219187532853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D-33C6-4A5E-8C77-C447310AD3BC}"/>
                </c:ext>
              </c:extLst>
            </c:dLbl>
            <c:dLbl>
              <c:idx val="1"/>
              <c:layout>
                <c:manualLayout>
                  <c:x val="-3.7335891988164095E-2"/>
                  <c:y val="-3.251117237759675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E-33C6-4A5E-8C77-C447310AD3BC}"/>
                </c:ext>
              </c:extLst>
            </c:dLbl>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Report!$AD$237:$AD$238</c:f>
              <c:numCache>
                <c:formatCode>General</c:formatCode>
                <c:ptCount val="2"/>
                <c:pt idx="0">
                  <c:v>0</c:v>
                </c:pt>
                <c:pt idx="1">
                  <c:v>50</c:v>
                </c:pt>
              </c:numCache>
            </c:numRef>
          </c:xVal>
          <c:yVal>
            <c:numRef>
              <c:f>Report!$AE$237:$AE$238</c:f>
              <c:numCache>
                <c:formatCode>General</c:formatCode>
                <c:ptCount val="2"/>
                <c:pt idx="0">
                  <c:v>50</c:v>
                </c:pt>
                <c:pt idx="1">
                  <c:v>0</c:v>
                </c:pt>
              </c:numCache>
            </c:numRef>
          </c:yVal>
          <c:smooth val="0"/>
          <c:extLst>
            <c:ext xmlns:c16="http://schemas.microsoft.com/office/drawing/2014/chart" uri="{C3380CC4-5D6E-409C-BE32-E72D297353CC}">
              <c16:uniqueId val="{0000001F-33C6-4A5E-8C77-C447310AD3BC}"/>
            </c:ext>
          </c:extLst>
        </c:ser>
        <c:ser>
          <c:idx val="12"/>
          <c:order val="12"/>
          <c:spPr>
            <a:ln w="25400">
              <a:solidFill>
                <a:srgbClr val="99CC00"/>
              </a:solidFill>
              <a:prstDash val="solid"/>
            </a:ln>
          </c:spPr>
          <c:marker>
            <c:symbol val="square"/>
            <c:size val="4"/>
            <c:spPr>
              <a:solidFill>
                <a:srgbClr val="FFFFFF"/>
              </a:solidFill>
              <a:ln>
                <a:solidFill>
                  <a:srgbClr val="99CC00"/>
                </a:solidFill>
                <a:prstDash val="solid"/>
              </a:ln>
            </c:spPr>
          </c:marker>
          <c:dPt>
            <c:idx val="0"/>
            <c:marker>
              <c:symbol val="none"/>
            </c:marker>
            <c:bubble3D val="0"/>
            <c:extLst>
              <c:ext xmlns:c16="http://schemas.microsoft.com/office/drawing/2014/chart" uri="{C3380CC4-5D6E-409C-BE32-E72D297353CC}">
                <c16:uniqueId val="{00000020-33C6-4A5E-8C77-C447310AD3BC}"/>
              </c:ext>
            </c:extLst>
          </c:dPt>
          <c:xVal>
            <c:numRef>
              <c:f>Report!$AB$231:$AB$232</c:f>
              <c:numCache>
                <c:formatCode>0.0</c:formatCode>
                <c:ptCount val="2"/>
                <c:pt idx="0">
                  <c:v>0</c:v>
                </c:pt>
                <c:pt idx="1">
                  <c:v>50.000000000000014</c:v>
                </c:pt>
              </c:numCache>
            </c:numRef>
          </c:xVal>
          <c:yVal>
            <c:numRef>
              <c:f>Report!$AC$231:$AC$232</c:f>
              <c:numCache>
                <c:formatCode>0.0</c:formatCode>
                <c:ptCount val="2"/>
                <c:pt idx="0">
                  <c:v>50.000000000000014</c:v>
                </c:pt>
                <c:pt idx="1">
                  <c:v>50.000000000000014</c:v>
                </c:pt>
              </c:numCache>
            </c:numRef>
          </c:yVal>
          <c:smooth val="0"/>
          <c:extLst>
            <c:ext xmlns:c16="http://schemas.microsoft.com/office/drawing/2014/chart" uri="{C3380CC4-5D6E-409C-BE32-E72D297353CC}">
              <c16:uniqueId val="{00000021-33C6-4A5E-8C77-C447310AD3BC}"/>
            </c:ext>
          </c:extLst>
        </c:ser>
        <c:ser>
          <c:idx val="13"/>
          <c:order val="13"/>
          <c:spPr>
            <a:ln w="25400">
              <a:solidFill>
                <a:srgbClr val="99CC00"/>
              </a:solidFill>
              <a:prstDash val="solid"/>
            </a:ln>
          </c:spPr>
          <c:marker>
            <c:symbol val="square"/>
            <c:size val="4"/>
            <c:spPr>
              <a:solidFill>
                <a:srgbClr val="FFFFFF"/>
              </a:solidFill>
              <a:ln>
                <a:solidFill>
                  <a:srgbClr val="99CC00"/>
                </a:solidFill>
                <a:prstDash val="solid"/>
              </a:ln>
            </c:spPr>
          </c:marker>
          <c:dPt>
            <c:idx val="0"/>
            <c:marker>
              <c:symbol val="none"/>
            </c:marker>
            <c:bubble3D val="0"/>
            <c:extLst>
              <c:ext xmlns:c16="http://schemas.microsoft.com/office/drawing/2014/chart" uri="{C3380CC4-5D6E-409C-BE32-E72D297353CC}">
                <c16:uniqueId val="{00000022-33C6-4A5E-8C77-C447310AD3BC}"/>
              </c:ext>
            </c:extLst>
          </c:dPt>
          <c:xVal>
            <c:numRef>
              <c:f>Report!$AB$233:$AB$234</c:f>
              <c:numCache>
                <c:formatCode>0.0</c:formatCode>
                <c:ptCount val="2"/>
                <c:pt idx="0">
                  <c:v>50.000000000000014</c:v>
                </c:pt>
                <c:pt idx="1">
                  <c:v>50.000000000000014</c:v>
                </c:pt>
              </c:numCache>
            </c:numRef>
          </c:xVal>
          <c:yVal>
            <c:numRef>
              <c:f>Report!$AC$233:$AC$234</c:f>
              <c:numCache>
                <c:formatCode>0.0</c:formatCode>
                <c:ptCount val="2"/>
                <c:pt idx="0">
                  <c:v>0</c:v>
                </c:pt>
                <c:pt idx="1">
                  <c:v>50.000000000000014</c:v>
                </c:pt>
              </c:numCache>
            </c:numRef>
          </c:yVal>
          <c:smooth val="0"/>
          <c:extLst>
            <c:ext xmlns:c16="http://schemas.microsoft.com/office/drawing/2014/chart" uri="{C3380CC4-5D6E-409C-BE32-E72D297353CC}">
              <c16:uniqueId val="{00000023-33C6-4A5E-8C77-C447310AD3BC}"/>
            </c:ext>
          </c:extLst>
        </c:ser>
        <c:dLbls>
          <c:showLegendKey val="0"/>
          <c:showVal val="0"/>
          <c:showCatName val="0"/>
          <c:showSerName val="0"/>
          <c:showPercent val="0"/>
          <c:showBubbleSize val="0"/>
        </c:dLbls>
        <c:axId val="649568104"/>
        <c:axId val="649568496"/>
      </c:scatterChart>
      <c:valAx>
        <c:axId val="649568104"/>
        <c:scaling>
          <c:orientation val="minMax"/>
          <c:max val="100"/>
        </c:scaling>
        <c:delete val="0"/>
        <c:axPos val="b"/>
        <c:numFmt formatCode="0\ &quot;%&quot;"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9568496"/>
        <c:crosses val="autoZero"/>
        <c:crossBetween val="midCat"/>
        <c:majorUnit val="10"/>
      </c:valAx>
      <c:valAx>
        <c:axId val="649568496"/>
        <c:scaling>
          <c:orientation val="minMax"/>
          <c:max val="100"/>
          <c:min val="0"/>
        </c:scaling>
        <c:delete val="0"/>
        <c:axPos val="l"/>
        <c:numFmt formatCode="0\ &quot;%&quot;"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9568104"/>
        <c:crosses val="autoZero"/>
        <c:crossBetween val="midCat"/>
      </c:valAx>
      <c:spPr>
        <a:noFill/>
        <a:ln w="25400">
          <a:noFill/>
        </a:ln>
      </c:spPr>
    </c:plotArea>
    <c:plotVisOnly val="1"/>
    <c:dispBlanksAs val="gap"/>
    <c:showDLblsOverMax val="0"/>
  </c:chart>
  <c:spPr>
    <a:noFill/>
    <a:ln w="9525">
      <a:noFill/>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Ply Direct Stress</a:t>
            </a:r>
          </a:p>
        </c:rich>
      </c:tx>
      <c:overlay val="0"/>
    </c:title>
    <c:autoTitleDeleted val="0"/>
    <c:plotArea>
      <c:layout>
        <c:manualLayout>
          <c:layoutTarget val="inner"/>
          <c:xMode val="edge"/>
          <c:yMode val="edge"/>
          <c:x val="0.11432349802428543"/>
          <c:y val="0.15596477094991168"/>
          <c:w val="0.56137394992031553"/>
          <c:h val="0.72833472234926022"/>
        </c:manualLayout>
      </c:layout>
      <c:scatterChart>
        <c:scatterStyle val="lineMarker"/>
        <c:varyColors val="0"/>
        <c:ser>
          <c:idx val="0"/>
          <c:order val="0"/>
          <c:tx>
            <c:v>X - Direction Stress</c:v>
          </c:tx>
          <c:spPr>
            <a:ln w="12700">
              <a:solidFill>
                <a:schemeClr val="tx1">
                  <a:lumMod val="95000"/>
                  <a:lumOff val="5000"/>
                </a:schemeClr>
              </a:solidFill>
            </a:ln>
          </c:spPr>
          <c:marker>
            <c:symbol val="none"/>
          </c:marker>
          <c:xVal>
            <c:numRef>
              <c:f>Report!$FS$16:$FS$155</c:f>
              <c:numCache>
                <c:formatCode>0.00</c:formatCode>
                <c:ptCount val="140"/>
                <c:pt idx="0" formatCode="General">
                  <c:v>0</c:v>
                </c:pt>
                <c:pt idx="1">
                  <c:v>2268.0369963811145</c:v>
                </c:pt>
                <c:pt idx="2">
                  <c:v>2268.0369963811145</c:v>
                </c:pt>
                <c:pt idx="3" formatCode="General">
                  <c:v>0</c:v>
                </c:pt>
                <c:pt idx="4" formatCode="General">
                  <c:v>0</c:v>
                </c:pt>
                <c:pt idx="5">
                  <c:v>3546.9813186371889</c:v>
                </c:pt>
                <c:pt idx="6">
                  <c:v>3546.9813186371889</c:v>
                </c:pt>
                <c:pt idx="7" formatCode="General">
                  <c:v>0</c:v>
                </c:pt>
                <c:pt idx="8" formatCode="General">
                  <c:v>0</c:v>
                </c:pt>
                <c:pt idx="9">
                  <c:v>3546.9813186371889</c:v>
                </c:pt>
                <c:pt idx="10">
                  <c:v>3546.9813186371889</c:v>
                </c:pt>
                <c:pt idx="11" formatCode="General">
                  <c:v>0</c:v>
                </c:pt>
                <c:pt idx="12" formatCode="General">
                  <c:v>0</c:v>
                </c:pt>
                <c:pt idx="13">
                  <c:v>2268.0369963811145</c:v>
                </c:pt>
                <c:pt idx="14">
                  <c:v>2268.0369963811145</c:v>
                </c:pt>
                <c:pt idx="15" formatCode="General">
                  <c:v>0</c:v>
                </c:pt>
                <c:pt idx="16" formatCode="General">
                  <c:v>0</c:v>
                </c:pt>
                <c:pt idx="17">
                  <c:v>3546.9813186371889</c:v>
                </c:pt>
                <c:pt idx="18">
                  <c:v>3546.9813186371889</c:v>
                </c:pt>
                <c:pt idx="19" formatCode="General">
                  <c:v>0</c:v>
                </c:pt>
                <c:pt idx="20" formatCode="General">
                  <c:v>0</c:v>
                </c:pt>
                <c:pt idx="21">
                  <c:v>3546.9813186371889</c:v>
                </c:pt>
                <c:pt idx="22">
                  <c:v>3546.9813186371889</c:v>
                </c:pt>
                <c:pt idx="23" formatCode="General">
                  <c:v>0</c:v>
                </c:pt>
                <c:pt idx="24" formatCode="General">
                  <c:v>0</c:v>
                </c:pt>
                <c:pt idx="25">
                  <c:v>2268.0369963811145</c:v>
                </c:pt>
                <c:pt idx="26">
                  <c:v>2268.0369963811145</c:v>
                </c:pt>
                <c:pt idx="27" formatCode="General">
                  <c:v>0</c:v>
                </c:pt>
                <c:pt idx="28" formatCode="General">
                  <c:v>0</c:v>
                </c:pt>
                <c:pt idx="29">
                  <c:v>2268.0369963811145</c:v>
                </c:pt>
                <c:pt idx="30">
                  <c:v>2268.0369963811145</c:v>
                </c:pt>
                <c:pt idx="31" formatCode="General">
                  <c:v>0</c:v>
                </c:pt>
                <c:pt idx="32" formatCode="General">
                  <c:v>0</c:v>
                </c:pt>
                <c:pt idx="33">
                  <c:v>3546.9813186371889</c:v>
                </c:pt>
                <c:pt idx="34">
                  <c:v>3546.9813186371889</c:v>
                </c:pt>
                <c:pt idx="35" formatCode="General">
                  <c:v>0</c:v>
                </c:pt>
                <c:pt idx="36" formatCode="General">
                  <c:v>0</c:v>
                </c:pt>
                <c:pt idx="37">
                  <c:v>2268.0369963811145</c:v>
                </c:pt>
                <c:pt idx="38">
                  <c:v>2268.0369963811145</c:v>
                </c:pt>
                <c:pt idx="39" formatCode="General">
                  <c:v>0</c:v>
                </c:pt>
                <c:pt idx="40" formatCode="General">
                  <c:v>0</c:v>
                </c:pt>
                <c:pt idx="41">
                  <c:v>2268.0369963811145</c:v>
                </c:pt>
                <c:pt idx="42">
                  <c:v>2268.0369963811145</c:v>
                </c:pt>
                <c:pt idx="43" formatCode="General">
                  <c:v>0</c:v>
                </c:pt>
                <c:pt idx="44" formatCode="General">
                  <c:v>0</c:v>
                </c:pt>
                <c:pt idx="45">
                  <c:v>3546.9813186371889</c:v>
                </c:pt>
                <c:pt idx="46">
                  <c:v>3546.9813186371889</c:v>
                </c:pt>
                <c:pt idx="47" formatCode="General">
                  <c:v>0</c:v>
                </c:pt>
                <c:pt idx="48" formatCode="General">
                  <c:v>0</c:v>
                </c:pt>
                <c:pt idx="49">
                  <c:v>2268.0369963811145</c:v>
                </c:pt>
                <c:pt idx="50">
                  <c:v>2268.0369963811145</c:v>
                </c:pt>
                <c:pt idx="51" formatCode="General">
                  <c:v>0</c:v>
                </c:pt>
                <c:pt idx="52" formatCode="General">
                  <c:v>0</c:v>
                </c:pt>
                <c:pt idx="53">
                  <c:v>2268.0369963811145</c:v>
                </c:pt>
                <c:pt idx="54">
                  <c:v>2268.0369963811145</c:v>
                </c:pt>
                <c:pt idx="55" formatCode="General">
                  <c:v>0</c:v>
                </c:pt>
                <c:pt idx="56" formatCode="General">
                  <c:v>0</c:v>
                </c:pt>
                <c:pt idx="57">
                  <c:v>3546.9813186371889</c:v>
                </c:pt>
                <c:pt idx="58">
                  <c:v>3546.9813186371889</c:v>
                </c:pt>
                <c:pt idx="59" formatCode="General">
                  <c:v>0</c:v>
                </c:pt>
                <c:pt idx="60" formatCode="General">
                  <c:v>0</c:v>
                </c:pt>
                <c:pt idx="61">
                  <c:v>3546.9813186371889</c:v>
                </c:pt>
                <c:pt idx="62">
                  <c:v>3546.9813186371889</c:v>
                </c:pt>
                <c:pt idx="63" formatCode="General">
                  <c:v>0</c:v>
                </c:pt>
                <c:pt idx="64" formatCode="General">
                  <c:v>0</c:v>
                </c:pt>
                <c:pt idx="65">
                  <c:v>2268.0369963811145</c:v>
                </c:pt>
                <c:pt idx="66">
                  <c:v>2268.0369963811145</c:v>
                </c:pt>
                <c:pt idx="67" formatCode="General">
                  <c:v>0</c:v>
                </c:pt>
                <c:pt idx="68" formatCode="General">
                  <c:v>0</c:v>
                </c:pt>
                <c:pt idx="69">
                  <c:v>3546.9813186371889</c:v>
                </c:pt>
                <c:pt idx="70">
                  <c:v>3546.9813186371889</c:v>
                </c:pt>
                <c:pt idx="71" formatCode="General">
                  <c:v>0</c:v>
                </c:pt>
                <c:pt idx="72" formatCode="General">
                  <c:v>0</c:v>
                </c:pt>
                <c:pt idx="73">
                  <c:v>3546.9813186371889</c:v>
                </c:pt>
                <c:pt idx="74">
                  <c:v>3546.9813186371889</c:v>
                </c:pt>
                <c:pt idx="75" formatCode="General">
                  <c:v>0</c:v>
                </c:pt>
                <c:pt idx="76" formatCode="General">
                  <c:v>0</c:v>
                </c:pt>
                <c:pt idx="77">
                  <c:v>2268.0369963811145</c:v>
                </c:pt>
                <c:pt idx="78">
                  <c:v>2268.0369963811145</c:v>
                </c:pt>
                <c:pt idx="79" formatCode="General">
                  <c:v>0</c:v>
                </c:pt>
                <c:pt idx="80" formatCode="General">
                  <c:v>0</c:v>
                </c:pt>
                <c:pt idx="81">
                  <c:v>0</c:v>
                </c:pt>
                <c:pt idx="82">
                  <c:v>0</c:v>
                </c:pt>
                <c:pt idx="83" formatCode="General">
                  <c:v>0</c:v>
                </c:pt>
                <c:pt idx="84" formatCode="General">
                  <c:v>0</c:v>
                </c:pt>
                <c:pt idx="85">
                  <c:v>0</c:v>
                </c:pt>
                <c:pt idx="86">
                  <c:v>0</c:v>
                </c:pt>
                <c:pt idx="87" formatCode="General">
                  <c:v>0</c:v>
                </c:pt>
                <c:pt idx="88" formatCode="General">
                  <c:v>0</c:v>
                </c:pt>
                <c:pt idx="89">
                  <c:v>0</c:v>
                </c:pt>
                <c:pt idx="90">
                  <c:v>0</c:v>
                </c:pt>
                <c:pt idx="91" formatCode="General">
                  <c:v>0</c:v>
                </c:pt>
                <c:pt idx="92" formatCode="General">
                  <c:v>0</c:v>
                </c:pt>
                <c:pt idx="93">
                  <c:v>0</c:v>
                </c:pt>
                <c:pt idx="94">
                  <c:v>0</c:v>
                </c:pt>
                <c:pt idx="95" formatCode="General">
                  <c:v>0</c:v>
                </c:pt>
                <c:pt idx="96" formatCode="General">
                  <c:v>0</c:v>
                </c:pt>
                <c:pt idx="97">
                  <c:v>0</c:v>
                </c:pt>
                <c:pt idx="98">
                  <c:v>0</c:v>
                </c:pt>
                <c:pt idx="99" formatCode="General">
                  <c:v>0</c:v>
                </c:pt>
                <c:pt idx="100" formatCode="General">
                  <c:v>0</c:v>
                </c:pt>
                <c:pt idx="101">
                  <c:v>0</c:v>
                </c:pt>
                <c:pt idx="102">
                  <c:v>0</c:v>
                </c:pt>
                <c:pt idx="103" formatCode="General">
                  <c:v>0</c:v>
                </c:pt>
                <c:pt idx="104" formatCode="General">
                  <c:v>0</c:v>
                </c:pt>
                <c:pt idx="105">
                  <c:v>0</c:v>
                </c:pt>
                <c:pt idx="106">
                  <c:v>0</c:v>
                </c:pt>
                <c:pt idx="107" formatCode="General">
                  <c:v>0</c:v>
                </c:pt>
                <c:pt idx="108" formatCode="General">
                  <c:v>0</c:v>
                </c:pt>
                <c:pt idx="109">
                  <c:v>0</c:v>
                </c:pt>
                <c:pt idx="110">
                  <c:v>0</c:v>
                </c:pt>
                <c:pt idx="111" formatCode="General">
                  <c:v>0</c:v>
                </c:pt>
                <c:pt idx="112" formatCode="General">
                  <c:v>0</c:v>
                </c:pt>
                <c:pt idx="113">
                  <c:v>0</c:v>
                </c:pt>
                <c:pt idx="114">
                  <c:v>0</c:v>
                </c:pt>
                <c:pt idx="115" formatCode="General">
                  <c:v>0</c:v>
                </c:pt>
                <c:pt idx="116" formatCode="General">
                  <c:v>0</c:v>
                </c:pt>
                <c:pt idx="117">
                  <c:v>0</c:v>
                </c:pt>
                <c:pt idx="118">
                  <c:v>0</c:v>
                </c:pt>
                <c:pt idx="119" formatCode="General">
                  <c:v>0</c:v>
                </c:pt>
                <c:pt idx="120" formatCode="General">
                  <c:v>0</c:v>
                </c:pt>
                <c:pt idx="121">
                  <c:v>0</c:v>
                </c:pt>
                <c:pt idx="122">
                  <c:v>0</c:v>
                </c:pt>
                <c:pt idx="123" formatCode="General">
                  <c:v>0</c:v>
                </c:pt>
                <c:pt idx="124" formatCode="General">
                  <c:v>0</c:v>
                </c:pt>
                <c:pt idx="125">
                  <c:v>0</c:v>
                </c:pt>
                <c:pt idx="126">
                  <c:v>0</c:v>
                </c:pt>
                <c:pt idx="127" formatCode="General">
                  <c:v>0</c:v>
                </c:pt>
                <c:pt idx="128" formatCode="General">
                  <c:v>0</c:v>
                </c:pt>
                <c:pt idx="129">
                  <c:v>0</c:v>
                </c:pt>
                <c:pt idx="130">
                  <c:v>0</c:v>
                </c:pt>
                <c:pt idx="131" formatCode="General">
                  <c:v>0</c:v>
                </c:pt>
                <c:pt idx="132" formatCode="General">
                  <c:v>0</c:v>
                </c:pt>
                <c:pt idx="133">
                  <c:v>0</c:v>
                </c:pt>
                <c:pt idx="134">
                  <c:v>0</c:v>
                </c:pt>
                <c:pt idx="135" formatCode="General">
                  <c:v>0</c:v>
                </c:pt>
                <c:pt idx="136" formatCode="General">
                  <c:v>0</c:v>
                </c:pt>
                <c:pt idx="137">
                  <c:v>0</c:v>
                </c:pt>
                <c:pt idx="138">
                  <c:v>0</c:v>
                </c:pt>
                <c:pt idx="139" formatCode="General">
                  <c:v>0</c:v>
                </c:pt>
              </c:numCache>
            </c:numRef>
          </c:xVal>
          <c:yVal>
            <c:numRef>
              <c:f>Report!$FT$16:$FT$155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0-CD40-4FC9-9D2A-15AEAFD37FAD}"/>
            </c:ext>
          </c:extLst>
        </c:ser>
        <c:ser>
          <c:idx val="1"/>
          <c:order val="1"/>
          <c:tx>
            <c:v>Y - Direction Stress</c:v>
          </c:tx>
          <c:spPr>
            <a:ln w="12700">
              <a:solidFill>
                <a:schemeClr val="bg1">
                  <a:lumMod val="50000"/>
                </a:schemeClr>
              </a:solidFill>
            </a:ln>
          </c:spPr>
          <c:marker>
            <c:symbol val="none"/>
          </c:marker>
          <c:xVal>
            <c:numRef>
              <c:f>Report!$FU$16:$FU$155</c:f>
              <c:numCache>
                <c:formatCode>0.00</c:formatCode>
                <c:ptCount val="140"/>
                <c:pt idx="0" formatCode="General">
                  <c:v>0</c:v>
                </c:pt>
                <c:pt idx="1">
                  <c:v>1802.4758241316983</c:v>
                </c:pt>
                <c:pt idx="2">
                  <c:v>1802.4758241316983</c:v>
                </c:pt>
                <c:pt idx="3" formatCode="General">
                  <c:v>0</c:v>
                </c:pt>
                <c:pt idx="4" formatCode="General">
                  <c:v>0</c:v>
                </c:pt>
                <c:pt idx="5">
                  <c:v>523.53150187562358</c:v>
                </c:pt>
                <c:pt idx="6">
                  <c:v>523.53150187562358</c:v>
                </c:pt>
                <c:pt idx="7" formatCode="General">
                  <c:v>0</c:v>
                </c:pt>
                <c:pt idx="8" formatCode="General">
                  <c:v>0</c:v>
                </c:pt>
                <c:pt idx="9">
                  <c:v>523.53150187562358</c:v>
                </c:pt>
                <c:pt idx="10">
                  <c:v>523.53150187562358</c:v>
                </c:pt>
                <c:pt idx="11" formatCode="General">
                  <c:v>0</c:v>
                </c:pt>
                <c:pt idx="12" formatCode="General">
                  <c:v>0</c:v>
                </c:pt>
                <c:pt idx="13">
                  <c:v>1802.4758241316983</c:v>
                </c:pt>
                <c:pt idx="14">
                  <c:v>1802.4758241316983</c:v>
                </c:pt>
                <c:pt idx="15" formatCode="General">
                  <c:v>0</c:v>
                </c:pt>
                <c:pt idx="16" formatCode="General">
                  <c:v>0</c:v>
                </c:pt>
                <c:pt idx="17">
                  <c:v>523.53150187562358</c:v>
                </c:pt>
                <c:pt idx="18">
                  <c:v>523.53150187562358</c:v>
                </c:pt>
                <c:pt idx="19" formatCode="General">
                  <c:v>0</c:v>
                </c:pt>
                <c:pt idx="20" formatCode="General">
                  <c:v>0</c:v>
                </c:pt>
                <c:pt idx="21">
                  <c:v>523.53150187562358</c:v>
                </c:pt>
                <c:pt idx="22">
                  <c:v>523.53150187562358</c:v>
                </c:pt>
                <c:pt idx="23" formatCode="General">
                  <c:v>0</c:v>
                </c:pt>
                <c:pt idx="24" formatCode="General">
                  <c:v>0</c:v>
                </c:pt>
                <c:pt idx="25">
                  <c:v>1802.4758241316983</c:v>
                </c:pt>
                <c:pt idx="26">
                  <c:v>1802.4758241316983</c:v>
                </c:pt>
                <c:pt idx="27" formatCode="General">
                  <c:v>0</c:v>
                </c:pt>
                <c:pt idx="28" formatCode="General">
                  <c:v>0</c:v>
                </c:pt>
                <c:pt idx="29">
                  <c:v>1802.4758241316983</c:v>
                </c:pt>
                <c:pt idx="30">
                  <c:v>1802.4758241316983</c:v>
                </c:pt>
                <c:pt idx="31" formatCode="General">
                  <c:v>0</c:v>
                </c:pt>
                <c:pt idx="32" formatCode="General">
                  <c:v>0</c:v>
                </c:pt>
                <c:pt idx="33">
                  <c:v>523.53150187562358</c:v>
                </c:pt>
                <c:pt idx="34">
                  <c:v>523.53150187562358</c:v>
                </c:pt>
                <c:pt idx="35" formatCode="General">
                  <c:v>0</c:v>
                </c:pt>
                <c:pt idx="36" formatCode="General">
                  <c:v>0</c:v>
                </c:pt>
                <c:pt idx="37">
                  <c:v>1802.4758241316983</c:v>
                </c:pt>
                <c:pt idx="38">
                  <c:v>1802.4758241316983</c:v>
                </c:pt>
                <c:pt idx="39" formatCode="General">
                  <c:v>0</c:v>
                </c:pt>
                <c:pt idx="40" formatCode="General">
                  <c:v>0</c:v>
                </c:pt>
                <c:pt idx="41">
                  <c:v>1802.4758241316983</c:v>
                </c:pt>
                <c:pt idx="42">
                  <c:v>1802.4758241316983</c:v>
                </c:pt>
                <c:pt idx="43" formatCode="General">
                  <c:v>0</c:v>
                </c:pt>
                <c:pt idx="44" formatCode="General">
                  <c:v>0</c:v>
                </c:pt>
                <c:pt idx="45">
                  <c:v>523.53150187562358</c:v>
                </c:pt>
                <c:pt idx="46">
                  <c:v>523.53150187562358</c:v>
                </c:pt>
                <c:pt idx="47" formatCode="General">
                  <c:v>0</c:v>
                </c:pt>
                <c:pt idx="48" formatCode="General">
                  <c:v>0</c:v>
                </c:pt>
                <c:pt idx="49">
                  <c:v>1802.4758241316983</c:v>
                </c:pt>
                <c:pt idx="50">
                  <c:v>1802.4758241316983</c:v>
                </c:pt>
                <c:pt idx="51" formatCode="General">
                  <c:v>0</c:v>
                </c:pt>
                <c:pt idx="52" formatCode="General">
                  <c:v>0</c:v>
                </c:pt>
                <c:pt idx="53">
                  <c:v>1802.4758241316983</c:v>
                </c:pt>
                <c:pt idx="54">
                  <c:v>1802.4758241316983</c:v>
                </c:pt>
                <c:pt idx="55" formatCode="General">
                  <c:v>0</c:v>
                </c:pt>
                <c:pt idx="56" formatCode="General">
                  <c:v>0</c:v>
                </c:pt>
                <c:pt idx="57">
                  <c:v>523.53150187562358</c:v>
                </c:pt>
                <c:pt idx="58">
                  <c:v>523.53150187562358</c:v>
                </c:pt>
                <c:pt idx="59" formatCode="General">
                  <c:v>0</c:v>
                </c:pt>
                <c:pt idx="60" formatCode="General">
                  <c:v>0</c:v>
                </c:pt>
                <c:pt idx="61">
                  <c:v>523.53150187562358</c:v>
                </c:pt>
                <c:pt idx="62">
                  <c:v>523.53150187562358</c:v>
                </c:pt>
                <c:pt idx="63" formatCode="General">
                  <c:v>0</c:v>
                </c:pt>
                <c:pt idx="64" formatCode="General">
                  <c:v>0</c:v>
                </c:pt>
                <c:pt idx="65">
                  <c:v>1802.4758241316983</c:v>
                </c:pt>
                <c:pt idx="66">
                  <c:v>1802.4758241316983</c:v>
                </c:pt>
                <c:pt idx="67" formatCode="General">
                  <c:v>0</c:v>
                </c:pt>
                <c:pt idx="68" formatCode="General">
                  <c:v>0</c:v>
                </c:pt>
                <c:pt idx="69">
                  <c:v>523.53150187562358</c:v>
                </c:pt>
                <c:pt idx="70">
                  <c:v>523.53150187562358</c:v>
                </c:pt>
                <c:pt idx="71" formatCode="General">
                  <c:v>0</c:v>
                </c:pt>
                <c:pt idx="72" formatCode="General">
                  <c:v>0</c:v>
                </c:pt>
                <c:pt idx="73">
                  <c:v>523.53150187562358</c:v>
                </c:pt>
                <c:pt idx="74">
                  <c:v>523.53150187562358</c:v>
                </c:pt>
                <c:pt idx="75" formatCode="General">
                  <c:v>0</c:v>
                </c:pt>
                <c:pt idx="76" formatCode="General">
                  <c:v>0</c:v>
                </c:pt>
                <c:pt idx="77">
                  <c:v>1802.4758241316983</c:v>
                </c:pt>
                <c:pt idx="78">
                  <c:v>1802.4758241316983</c:v>
                </c:pt>
                <c:pt idx="79" formatCode="General">
                  <c:v>0</c:v>
                </c:pt>
                <c:pt idx="80" formatCode="General">
                  <c:v>0</c:v>
                </c:pt>
                <c:pt idx="81">
                  <c:v>0</c:v>
                </c:pt>
                <c:pt idx="82">
                  <c:v>0</c:v>
                </c:pt>
                <c:pt idx="83" formatCode="General">
                  <c:v>0</c:v>
                </c:pt>
                <c:pt idx="84" formatCode="General">
                  <c:v>0</c:v>
                </c:pt>
                <c:pt idx="85">
                  <c:v>0</c:v>
                </c:pt>
                <c:pt idx="86">
                  <c:v>0</c:v>
                </c:pt>
                <c:pt idx="87" formatCode="General">
                  <c:v>0</c:v>
                </c:pt>
                <c:pt idx="88" formatCode="General">
                  <c:v>0</c:v>
                </c:pt>
                <c:pt idx="89">
                  <c:v>0</c:v>
                </c:pt>
                <c:pt idx="90">
                  <c:v>0</c:v>
                </c:pt>
                <c:pt idx="91" formatCode="General">
                  <c:v>0</c:v>
                </c:pt>
                <c:pt idx="92" formatCode="General">
                  <c:v>0</c:v>
                </c:pt>
                <c:pt idx="93">
                  <c:v>0</c:v>
                </c:pt>
                <c:pt idx="94">
                  <c:v>0</c:v>
                </c:pt>
                <c:pt idx="95" formatCode="General">
                  <c:v>0</c:v>
                </c:pt>
                <c:pt idx="96" formatCode="General">
                  <c:v>0</c:v>
                </c:pt>
                <c:pt idx="97">
                  <c:v>0</c:v>
                </c:pt>
                <c:pt idx="98">
                  <c:v>0</c:v>
                </c:pt>
                <c:pt idx="99" formatCode="General">
                  <c:v>0</c:v>
                </c:pt>
                <c:pt idx="100" formatCode="General">
                  <c:v>0</c:v>
                </c:pt>
                <c:pt idx="101">
                  <c:v>0</c:v>
                </c:pt>
                <c:pt idx="102">
                  <c:v>0</c:v>
                </c:pt>
                <c:pt idx="103" formatCode="General">
                  <c:v>0</c:v>
                </c:pt>
                <c:pt idx="104" formatCode="General">
                  <c:v>0</c:v>
                </c:pt>
                <c:pt idx="105">
                  <c:v>0</c:v>
                </c:pt>
                <c:pt idx="106">
                  <c:v>0</c:v>
                </c:pt>
                <c:pt idx="107" formatCode="General">
                  <c:v>0</c:v>
                </c:pt>
                <c:pt idx="108" formatCode="General">
                  <c:v>0</c:v>
                </c:pt>
                <c:pt idx="109">
                  <c:v>0</c:v>
                </c:pt>
                <c:pt idx="110">
                  <c:v>0</c:v>
                </c:pt>
                <c:pt idx="111" formatCode="General">
                  <c:v>0</c:v>
                </c:pt>
                <c:pt idx="112" formatCode="General">
                  <c:v>0</c:v>
                </c:pt>
                <c:pt idx="113">
                  <c:v>0</c:v>
                </c:pt>
                <c:pt idx="114">
                  <c:v>0</c:v>
                </c:pt>
                <c:pt idx="115" formatCode="General">
                  <c:v>0</c:v>
                </c:pt>
                <c:pt idx="116" formatCode="General">
                  <c:v>0</c:v>
                </c:pt>
                <c:pt idx="117">
                  <c:v>0</c:v>
                </c:pt>
                <c:pt idx="118">
                  <c:v>0</c:v>
                </c:pt>
                <c:pt idx="119" formatCode="General">
                  <c:v>0</c:v>
                </c:pt>
                <c:pt idx="120" formatCode="General">
                  <c:v>0</c:v>
                </c:pt>
                <c:pt idx="121">
                  <c:v>0</c:v>
                </c:pt>
                <c:pt idx="122">
                  <c:v>0</c:v>
                </c:pt>
                <c:pt idx="123" formatCode="General">
                  <c:v>0</c:v>
                </c:pt>
                <c:pt idx="124" formatCode="General">
                  <c:v>0</c:v>
                </c:pt>
                <c:pt idx="125">
                  <c:v>0</c:v>
                </c:pt>
                <c:pt idx="126">
                  <c:v>0</c:v>
                </c:pt>
                <c:pt idx="127" formatCode="General">
                  <c:v>0</c:v>
                </c:pt>
                <c:pt idx="128" formatCode="General">
                  <c:v>0</c:v>
                </c:pt>
                <c:pt idx="129">
                  <c:v>0</c:v>
                </c:pt>
                <c:pt idx="130">
                  <c:v>0</c:v>
                </c:pt>
                <c:pt idx="131" formatCode="General">
                  <c:v>0</c:v>
                </c:pt>
                <c:pt idx="132" formatCode="General">
                  <c:v>0</c:v>
                </c:pt>
                <c:pt idx="133">
                  <c:v>0</c:v>
                </c:pt>
                <c:pt idx="134">
                  <c:v>0</c:v>
                </c:pt>
                <c:pt idx="135" formatCode="General">
                  <c:v>0</c:v>
                </c:pt>
                <c:pt idx="136" formatCode="General">
                  <c:v>0</c:v>
                </c:pt>
                <c:pt idx="137">
                  <c:v>0</c:v>
                </c:pt>
                <c:pt idx="138">
                  <c:v>0</c:v>
                </c:pt>
                <c:pt idx="139" formatCode="General">
                  <c:v>0</c:v>
                </c:pt>
              </c:numCache>
            </c:numRef>
          </c:xVal>
          <c:yVal>
            <c:numRef>
              <c:f>Report!$FV$16:$FV$155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1-CD40-4FC9-9D2A-15AEAFD37FAD}"/>
            </c:ext>
          </c:extLst>
        </c:ser>
        <c:ser>
          <c:idx val="2"/>
          <c:order val="2"/>
          <c:tx>
            <c:v>XY - Direction Stress</c:v>
          </c:tx>
          <c:spPr>
            <a:ln w="12700">
              <a:solidFill>
                <a:schemeClr val="tx1"/>
              </a:solidFill>
              <a:prstDash val="dash"/>
            </a:ln>
          </c:spPr>
          <c:marker>
            <c:symbol val="none"/>
          </c:marker>
          <c:xVal>
            <c:numRef>
              <c:f>Report!$FW$16:$FW$155</c:f>
              <c:numCache>
                <c:formatCode>0.00</c:formatCode>
                <c:ptCount val="140"/>
                <c:pt idx="0">
                  <c:v>0</c:v>
                </c:pt>
                <c:pt idx="1">
                  <c:v>-1007.8166055871841</c:v>
                </c:pt>
                <c:pt idx="2">
                  <c:v>-1007.8166055871841</c:v>
                </c:pt>
                <c:pt idx="3">
                  <c:v>0</c:v>
                </c:pt>
                <c:pt idx="4">
                  <c:v>0</c:v>
                </c:pt>
                <c:pt idx="5">
                  <c:v>-155.18705741647139</c:v>
                </c:pt>
                <c:pt idx="6">
                  <c:v>-155.18705741647139</c:v>
                </c:pt>
                <c:pt idx="7">
                  <c:v>0</c:v>
                </c:pt>
                <c:pt idx="8">
                  <c:v>0</c:v>
                </c:pt>
                <c:pt idx="9">
                  <c:v>-155.18705741647139</c:v>
                </c:pt>
                <c:pt idx="10">
                  <c:v>-155.18705741647139</c:v>
                </c:pt>
                <c:pt idx="11">
                  <c:v>0</c:v>
                </c:pt>
                <c:pt idx="12">
                  <c:v>0</c:v>
                </c:pt>
                <c:pt idx="13">
                  <c:v>-1007.8166055871841</c:v>
                </c:pt>
                <c:pt idx="14">
                  <c:v>-1007.8166055871841</c:v>
                </c:pt>
                <c:pt idx="15">
                  <c:v>0</c:v>
                </c:pt>
                <c:pt idx="16">
                  <c:v>0</c:v>
                </c:pt>
                <c:pt idx="17">
                  <c:v>-155.18705741647139</c:v>
                </c:pt>
                <c:pt idx="18">
                  <c:v>-155.18705741647139</c:v>
                </c:pt>
                <c:pt idx="19">
                  <c:v>0</c:v>
                </c:pt>
                <c:pt idx="20">
                  <c:v>0</c:v>
                </c:pt>
                <c:pt idx="21">
                  <c:v>-155.18705741647139</c:v>
                </c:pt>
                <c:pt idx="22">
                  <c:v>-155.18705741647139</c:v>
                </c:pt>
                <c:pt idx="23">
                  <c:v>0</c:v>
                </c:pt>
                <c:pt idx="24">
                  <c:v>0</c:v>
                </c:pt>
                <c:pt idx="25">
                  <c:v>-1007.8166055871841</c:v>
                </c:pt>
                <c:pt idx="26">
                  <c:v>-1007.8166055871841</c:v>
                </c:pt>
                <c:pt idx="27">
                  <c:v>0</c:v>
                </c:pt>
                <c:pt idx="28">
                  <c:v>0</c:v>
                </c:pt>
                <c:pt idx="29">
                  <c:v>-1007.8166055871841</c:v>
                </c:pt>
                <c:pt idx="30">
                  <c:v>-1007.8166055871841</c:v>
                </c:pt>
                <c:pt idx="31">
                  <c:v>0</c:v>
                </c:pt>
                <c:pt idx="32">
                  <c:v>0</c:v>
                </c:pt>
                <c:pt idx="33">
                  <c:v>-155.18705741647139</c:v>
                </c:pt>
                <c:pt idx="34">
                  <c:v>-155.18705741647139</c:v>
                </c:pt>
                <c:pt idx="35">
                  <c:v>0</c:v>
                </c:pt>
                <c:pt idx="36">
                  <c:v>0</c:v>
                </c:pt>
                <c:pt idx="37">
                  <c:v>-1007.8166055871841</c:v>
                </c:pt>
                <c:pt idx="38">
                  <c:v>-1007.8166055871841</c:v>
                </c:pt>
                <c:pt idx="39">
                  <c:v>0</c:v>
                </c:pt>
                <c:pt idx="40">
                  <c:v>0</c:v>
                </c:pt>
                <c:pt idx="41">
                  <c:v>-1007.8166055871841</c:v>
                </c:pt>
                <c:pt idx="42">
                  <c:v>-1007.8166055871841</c:v>
                </c:pt>
                <c:pt idx="43">
                  <c:v>0</c:v>
                </c:pt>
                <c:pt idx="44">
                  <c:v>0</c:v>
                </c:pt>
                <c:pt idx="45">
                  <c:v>-155.18705741647139</c:v>
                </c:pt>
                <c:pt idx="46">
                  <c:v>-155.18705741647139</c:v>
                </c:pt>
                <c:pt idx="47">
                  <c:v>0</c:v>
                </c:pt>
                <c:pt idx="48">
                  <c:v>0</c:v>
                </c:pt>
                <c:pt idx="49">
                  <c:v>-1007.8166055871841</c:v>
                </c:pt>
                <c:pt idx="50">
                  <c:v>-1007.8166055871841</c:v>
                </c:pt>
                <c:pt idx="51">
                  <c:v>0</c:v>
                </c:pt>
                <c:pt idx="52">
                  <c:v>0</c:v>
                </c:pt>
                <c:pt idx="53">
                  <c:v>-1007.8166055871841</c:v>
                </c:pt>
                <c:pt idx="54">
                  <c:v>-1007.8166055871841</c:v>
                </c:pt>
                <c:pt idx="55">
                  <c:v>0</c:v>
                </c:pt>
                <c:pt idx="56">
                  <c:v>0</c:v>
                </c:pt>
                <c:pt idx="57">
                  <c:v>-155.18705741647139</c:v>
                </c:pt>
                <c:pt idx="58">
                  <c:v>-155.18705741647139</c:v>
                </c:pt>
                <c:pt idx="59">
                  <c:v>0</c:v>
                </c:pt>
                <c:pt idx="60">
                  <c:v>0</c:v>
                </c:pt>
                <c:pt idx="61">
                  <c:v>-155.18705741647139</c:v>
                </c:pt>
                <c:pt idx="62">
                  <c:v>-155.18705741647139</c:v>
                </c:pt>
                <c:pt idx="63">
                  <c:v>0</c:v>
                </c:pt>
                <c:pt idx="64">
                  <c:v>0</c:v>
                </c:pt>
                <c:pt idx="65">
                  <c:v>-1007.8166055871841</c:v>
                </c:pt>
                <c:pt idx="66">
                  <c:v>-1007.8166055871841</c:v>
                </c:pt>
                <c:pt idx="67">
                  <c:v>0</c:v>
                </c:pt>
                <c:pt idx="68">
                  <c:v>0</c:v>
                </c:pt>
                <c:pt idx="69">
                  <c:v>-155.18705741647139</c:v>
                </c:pt>
                <c:pt idx="70">
                  <c:v>-155.18705741647139</c:v>
                </c:pt>
                <c:pt idx="71">
                  <c:v>0</c:v>
                </c:pt>
                <c:pt idx="72">
                  <c:v>0</c:v>
                </c:pt>
                <c:pt idx="73">
                  <c:v>-155.18705741647139</c:v>
                </c:pt>
                <c:pt idx="74">
                  <c:v>-155.18705741647139</c:v>
                </c:pt>
                <c:pt idx="75">
                  <c:v>0</c:v>
                </c:pt>
                <c:pt idx="76">
                  <c:v>0</c:v>
                </c:pt>
                <c:pt idx="77">
                  <c:v>-1007.8166055871841</c:v>
                </c:pt>
                <c:pt idx="78">
                  <c:v>-1007.8166055871841</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xVal>
          <c:yVal>
            <c:numRef>
              <c:f>Report!$FX$16:$FX$155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2-CD40-4FC9-9D2A-15AEAFD37FAD}"/>
            </c:ext>
          </c:extLst>
        </c:ser>
        <c:dLbls>
          <c:showLegendKey val="0"/>
          <c:showVal val="0"/>
          <c:showCatName val="0"/>
          <c:showSerName val="0"/>
          <c:showPercent val="0"/>
          <c:showBubbleSize val="0"/>
        </c:dLbls>
        <c:axId val="806545728"/>
        <c:axId val="806545336"/>
      </c:scatterChart>
      <c:valAx>
        <c:axId val="806545728"/>
        <c:scaling>
          <c:orientation val="minMax"/>
        </c:scaling>
        <c:delete val="0"/>
        <c:axPos val="b"/>
        <c:title>
          <c:tx>
            <c:rich>
              <a:bodyPr/>
              <a:lstStyle/>
              <a:p>
                <a:pPr>
                  <a:defRPr/>
                </a:pPr>
                <a:r>
                  <a:rPr lang="en-US"/>
                  <a:t>Stress (Mpa)</a:t>
                </a:r>
              </a:p>
            </c:rich>
          </c:tx>
          <c:overlay val="0"/>
        </c:title>
        <c:numFmt formatCode="General" sourceLinked="1"/>
        <c:majorTickMark val="out"/>
        <c:minorTickMark val="none"/>
        <c:tickLblPos val="nextTo"/>
        <c:crossAx val="806545336"/>
        <c:crosses val="autoZero"/>
        <c:crossBetween val="midCat"/>
      </c:valAx>
      <c:valAx>
        <c:axId val="806545336"/>
        <c:scaling>
          <c:orientation val="minMax"/>
        </c:scaling>
        <c:delete val="0"/>
        <c:axPos val="l"/>
        <c:majorGridlines>
          <c:spPr>
            <a:ln>
              <a:solidFill>
                <a:schemeClr val="bg1">
                  <a:lumMod val="50000"/>
                </a:schemeClr>
              </a:solidFill>
            </a:ln>
          </c:spPr>
        </c:majorGridlines>
        <c:title>
          <c:tx>
            <c:rich>
              <a:bodyPr rot="-5400000" vert="horz"/>
              <a:lstStyle/>
              <a:p>
                <a:pPr>
                  <a:defRPr/>
                </a:pPr>
                <a:r>
                  <a:rPr lang="en-US"/>
                  <a:t>Thickness (in)</a:t>
                </a:r>
              </a:p>
            </c:rich>
          </c:tx>
          <c:layout>
            <c:manualLayout>
              <c:xMode val="edge"/>
              <c:yMode val="edge"/>
              <c:x val="3.8503699464995086E-2"/>
              <c:y val="0.34169828241833788"/>
            </c:manualLayout>
          </c:layout>
          <c:overlay val="0"/>
        </c:title>
        <c:numFmt formatCode="0.0" sourceLinked="0"/>
        <c:majorTickMark val="out"/>
        <c:minorTickMark val="none"/>
        <c:tickLblPos val="nextTo"/>
        <c:crossAx val="806545728"/>
        <c:crosses val="autoZero"/>
        <c:crossBetween val="midCat"/>
      </c:valAx>
    </c:plotArea>
    <c:legend>
      <c:legendPos val="r"/>
      <c:layout>
        <c:manualLayout>
          <c:xMode val="edge"/>
          <c:yMode val="edge"/>
          <c:x val="0.71296328343572435"/>
          <c:y val="0.19896044879405986"/>
          <c:w val="0.28061255104809485"/>
          <c:h val="0.52484916630443834"/>
        </c:manualLayout>
      </c:layout>
      <c:overlay val="0"/>
    </c:legend>
    <c:plotVisOnly val="1"/>
    <c:dispBlanksAs val="gap"/>
    <c:showDLblsOverMax val="0"/>
  </c:chart>
  <c:spPr>
    <a:ln>
      <a:noFill/>
    </a:ln>
  </c:spPr>
  <c:txPr>
    <a:bodyPr/>
    <a:lstStyle/>
    <a:p>
      <a:pPr>
        <a:defRPr sz="1000">
          <a:latin typeface="+mn-lt"/>
          <a:cs typeface="Arial" pitchFamily="34" charset="0"/>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Ply Bending Stress</a:t>
            </a:r>
          </a:p>
        </c:rich>
      </c:tx>
      <c:overlay val="0"/>
    </c:title>
    <c:autoTitleDeleted val="0"/>
    <c:plotArea>
      <c:layout>
        <c:manualLayout>
          <c:layoutTarget val="inner"/>
          <c:xMode val="edge"/>
          <c:yMode val="edge"/>
          <c:x val="0.13466283107862956"/>
          <c:y val="0.15596467108278139"/>
          <c:w val="0.7465059687307436"/>
          <c:h val="0.72833472234926022"/>
        </c:manualLayout>
      </c:layout>
      <c:scatterChart>
        <c:scatterStyle val="lineMarker"/>
        <c:varyColors val="0"/>
        <c:ser>
          <c:idx val="0"/>
          <c:order val="0"/>
          <c:spPr>
            <a:ln w="12700">
              <a:solidFill>
                <a:schemeClr val="tx1">
                  <a:lumMod val="95000"/>
                  <a:lumOff val="5000"/>
                </a:schemeClr>
              </a:solidFill>
            </a:ln>
          </c:spPr>
          <c:marker>
            <c:symbol val="none"/>
          </c:marker>
          <c:xVal>
            <c:numRef>
              <c:f>Report!$FZ$16:$FZ$155</c:f>
              <c:numCache>
                <c:formatCode>0.0</c:formatCode>
                <c:ptCount val="140"/>
                <c:pt idx="0" formatCode="General">
                  <c:v>0</c:v>
                </c:pt>
                <c:pt idx="1">
                  <c:v>-44640.806090168131</c:v>
                </c:pt>
                <c:pt idx="2">
                  <c:v>-40176.725481151327</c:v>
                </c:pt>
                <c:pt idx="3" formatCode="General">
                  <c:v>0</c:v>
                </c:pt>
                <c:pt idx="4" formatCode="General">
                  <c:v>0</c:v>
                </c:pt>
                <c:pt idx="5">
                  <c:v>-60269.761776370244</c:v>
                </c:pt>
                <c:pt idx="6">
                  <c:v>-53573.121578995771</c:v>
                </c:pt>
                <c:pt idx="7" formatCode="General">
                  <c:v>0</c:v>
                </c:pt>
                <c:pt idx="8" formatCode="General">
                  <c:v>0</c:v>
                </c:pt>
                <c:pt idx="9">
                  <c:v>-53573.121578995771</c:v>
                </c:pt>
                <c:pt idx="10">
                  <c:v>-46876.481381621306</c:v>
                </c:pt>
                <c:pt idx="11" formatCode="General">
                  <c:v>0</c:v>
                </c:pt>
                <c:pt idx="12" formatCode="General">
                  <c:v>0</c:v>
                </c:pt>
                <c:pt idx="13">
                  <c:v>-31248.564263117692</c:v>
                </c:pt>
                <c:pt idx="14">
                  <c:v>-26784.483654100877</c:v>
                </c:pt>
                <c:pt idx="15" formatCode="General">
                  <c:v>0</c:v>
                </c:pt>
                <c:pt idx="16" formatCode="General">
                  <c:v>0</c:v>
                </c:pt>
                <c:pt idx="17">
                  <c:v>-40179.841184246827</c:v>
                </c:pt>
                <c:pt idx="18">
                  <c:v>-33483.200986872354</c:v>
                </c:pt>
                <c:pt idx="19" formatCode="General">
                  <c:v>0</c:v>
                </c:pt>
                <c:pt idx="20" formatCode="General">
                  <c:v>0</c:v>
                </c:pt>
                <c:pt idx="21">
                  <c:v>-33483.200986872354</c:v>
                </c:pt>
                <c:pt idx="22">
                  <c:v>-26786.560789497875</c:v>
                </c:pt>
                <c:pt idx="23" formatCode="General">
                  <c:v>0</c:v>
                </c:pt>
                <c:pt idx="24" formatCode="General">
                  <c:v>0</c:v>
                </c:pt>
                <c:pt idx="25">
                  <c:v>-17856.322436067247</c:v>
                </c:pt>
                <c:pt idx="26">
                  <c:v>-13392.241827050429</c:v>
                </c:pt>
                <c:pt idx="27" formatCode="General">
                  <c:v>0</c:v>
                </c:pt>
                <c:pt idx="28" formatCode="General">
                  <c:v>0</c:v>
                </c:pt>
                <c:pt idx="29">
                  <c:v>-13392.241827050433</c:v>
                </c:pt>
                <c:pt idx="30">
                  <c:v>-8928.1612180336178</c:v>
                </c:pt>
                <c:pt idx="31" formatCode="General">
                  <c:v>0</c:v>
                </c:pt>
                <c:pt idx="32" formatCode="General">
                  <c:v>0</c:v>
                </c:pt>
                <c:pt idx="33">
                  <c:v>-13393.280394748934</c:v>
                </c:pt>
                <c:pt idx="34">
                  <c:v>-6696.6401973744596</c:v>
                </c:pt>
                <c:pt idx="35" formatCode="General">
                  <c:v>0</c:v>
                </c:pt>
                <c:pt idx="36" formatCode="General">
                  <c:v>0</c:v>
                </c:pt>
                <c:pt idx="37">
                  <c:v>-4464.080609016808</c:v>
                </c:pt>
                <c:pt idx="38">
                  <c:v>7.2049895219891382E-12</c:v>
                </c:pt>
                <c:pt idx="39" formatCode="General">
                  <c:v>0</c:v>
                </c:pt>
                <c:pt idx="40" formatCode="General">
                  <c:v>0</c:v>
                </c:pt>
                <c:pt idx="41">
                  <c:v>0</c:v>
                </c:pt>
                <c:pt idx="42">
                  <c:v>4464.0806090168189</c:v>
                </c:pt>
                <c:pt idx="43" formatCode="General">
                  <c:v>0</c:v>
                </c:pt>
                <c:pt idx="44" formatCode="General">
                  <c:v>0</c:v>
                </c:pt>
                <c:pt idx="45">
                  <c:v>6696.6401973744778</c:v>
                </c:pt>
                <c:pt idx="46">
                  <c:v>13393.280394748954</c:v>
                </c:pt>
                <c:pt idx="47" formatCode="General">
                  <c:v>0</c:v>
                </c:pt>
                <c:pt idx="48" formatCode="General">
                  <c:v>0</c:v>
                </c:pt>
                <c:pt idx="49">
                  <c:v>8928.1612180336288</c:v>
                </c:pt>
                <c:pt idx="50">
                  <c:v>13392.241827050446</c:v>
                </c:pt>
                <c:pt idx="51" formatCode="General">
                  <c:v>0</c:v>
                </c:pt>
                <c:pt idx="52" formatCode="General">
                  <c:v>0</c:v>
                </c:pt>
                <c:pt idx="53">
                  <c:v>13392.24182705044</c:v>
                </c:pt>
                <c:pt idx="54">
                  <c:v>17856.322436067258</c:v>
                </c:pt>
                <c:pt idx="55" formatCode="General">
                  <c:v>0</c:v>
                </c:pt>
                <c:pt idx="56" formatCode="General">
                  <c:v>0</c:v>
                </c:pt>
                <c:pt idx="57">
                  <c:v>26786.5607894979</c:v>
                </c:pt>
                <c:pt idx="58">
                  <c:v>33483.200986872376</c:v>
                </c:pt>
                <c:pt idx="59" formatCode="General">
                  <c:v>0</c:v>
                </c:pt>
                <c:pt idx="60" formatCode="General">
                  <c:v>0</c:v>
                </c:pt>
                <c:pt idx="61">
                  <c:v>33483.200986872369</c:v>
                </c:pt>
                <c:pt idx="62">
                  <c:v>40179.841184246849</c:v>
                </c:pt>
                <c:pt idx="63" formatCode="General">
                  <c:v>0</c:v>
                </c:pt>
                <c:pt idx="64" formatCode="General">
                  <c:v>0</c:v>
                </c:pt>
                <c:pt idx="65">
                  <c:v>26784.483654100884</c:v>
                </c:pt>
                <c:pt idx="66">
                  <c:v>31248.5642631177</c:v>
                </c:pt>
                <c:pt idx="67" formatCode="General">
                  <c:v>0</c:v>
                </c:pt>
                <c:pt idx="68" formatCode="General">
                  <c:v>0</c:v>
                </c:pt>
                <c:pt idx="69">
                  <c:v>46876.481381621314</c:v>
                </c:pt>
                <c:pt idx="70">
                  <c:v>53573.121578995786</c:v>
                </c:pt>
                <c:pt idx="71" formatCode="General">
                  <c:v>0</c:v>
                </c:pt>
                <c:pt idx="72" formatCode="General">
                  <c:v>0</c:v>
                </c:pt>
                <c:pt idx="73">
                  <c:v>53573.121578995786</c:v>
                </c:pt>
                <c:pt idx="74">
                  <c:v>60269.761776370258</c:v>
                </c:pt>
                <c:pt idx="75" formatCode="General">
                  <c:v>0</c:v>
                </c:pt>
                <c:pt idx="76" formatCode="General">
                  <c:v>0</c:v>
                </c:pt>
                <c:pt idx="77">
                  <c:v>40176.725481151327</c:v>
                </c:pt>
                <c:pt idx="78">
                  <c:v>44640.806090168131</c:v>
                </c:pt>
                <c:pt idx="79" formatCode="General">
                  <c:v>0</c:v>
                </c:pt>
                <c:pt idx="80" formatCode="General">
                  <c:v>0</c:v>
                </c:pt>
                <c:pt idx="81">
                  <c:v>0</c:v>
                </c:pt>
                <c:pt idx="82">
                  <c:v>0</c:v>
                </c:pt>
                <c:pt idx="83" formatCode="General">
                  <c:v>0</c:v>
                </c:pt>
                <c:pt idx="84" formatCode="General">
                  <c:v>0</c:v>
                </c:pt>
                <c:pt idx="85">
                  <c:v>0</c:v>
                </c:pt>
                <c:pt idx="86">
                  <c:v>0</c:v>
                </c:pt>
                <c:pt idx="87" formatCode="General">
                  <c:v>0</c:v>
                </c:pt>
                <c:pt idx="88" formatCode="General">
                  <c:v>0</c:v>
                </c:pt>
                <c:pt idx="89">
                  <c:v>0</c:v>
                </c:pt>
                <c:pt idx="90">
                  <c:v>0</c:v>
                </c:pt>
                <c:pt idx="91" formatCode="General">
                  <c:v>0</c:v>
                </c:pt>
                <c:pt idx="92" formatCode="General">
                  <c:v>0</c:v>
                </c:pt>
                <c:pt idx="93">
                  <c:v>0</c:v>
                </c:pt>
                <c:pt idx="94">
                  <c:v>0</c:v>
                </c:pt>
                <c:pt idx="95" formatCode="General">
                  <c:v>0</c:v>
                </c:pt>
                <c:pt idx="96" formatCode="General">
                  <c:v>0</c:v>
                </c:pt>
                <c:pt idx="97">
                  <c:v>0</c:v>
                </c:pt>
                <c:pt idx="98">
                  <c:v>0</c:v>
                </c:pt>
                <c:pt idx="99" formatCode="General">
                  <c:v>0</c:v>
                </c:pt>
                <c:pt idx="100" formatCode="General">
                  <c:v>0</c:v>
                </c:pt>
                <c:pt idx="101">
                  <c:v>0</c:v>
                </c:pt>
                <c:pt idx="102">
                  <c:v>0</c:v>
                </c:pt>
                <c:pt idx="103" formatCode="General">
                  <c:v>0</c:v>
                </c:pt>
                <c:pt idx="104" formatCode="General">
                  <c:v>0</c:v>
                </c:pt>
                <c:pt idx="105">
                  <c:v>0</c:v>
                </c:pt>
                <c:pt idx="106">
                  <c:v>0</c:v>
                </c:pt>
                <c:pt idx="107" formatCode="General">
                  <c:v>0</c:v>
                </c:pt>
                <c:pt idx="108" formatCode="General">
                  <c:v>0</c:v>
                </c:pt>
                <c:pt idx="109">
                  <c:v>0</c:v>
                </c:pt>
                <c:pt idx="110">
                  <c:v>0</c:v>
                </c:pt>
                <c:pt idx="111" formatCode="General">
                  <c:v>0</c:v>
                </c:pt>
                <c:pt idx="112" formatCode="General">
                  <c:v>0</c:v>
                </c:pt>
                <c:pt idx="113">
                  <c:v>0</c:v>
                </c:pt>
                <c:pt idx="114">
                  <c:v>0</c:v>
                </c:pt>
                <c:pt idx="115" formatCode="General">
                  <c:v>0</c:v>
                </c:pt>
                <c:pt idx="116" formatCode="General">
                  <c:v>0</c:v>
                </c:pt>
                <c:pt idx="117">
                  <c:v>0</c:v>
                </c:pt>
                <c:pt idx="118">
                  <c:v>0</c:v>
                </c:pt>
                <c:pt idx="119" formatCode="General">
                  <c:v>0</c:v>
                </c:pt>
                <c:pt idx="120" formatCode="General">
                  <c:v>0</c:v>
                </c:pt>
                <c:pt idx="121">
                  <c:v>0</c:v>
                </c:pt>
                <c:pt idx="122">
                  <c:v>0</c:v>
                </c:pt>
                <c:pt idx="123" formatCode="General">
                  <c:v>0</c:v>
                </c:pt>
                <c:pt idx="124" formatCode="General">
                  <c:v>0</c:v>
                </c:pt>
                <c:pt idx="125">
                  <c:v>0</c:v>
                </c:pt>
                <c:pt idx="126">
                  <c:v>0</c:v>
                </c:pt>
                <c:pt idx="127" formatCode="General">
                  <c:v>0</c:v>
                </c:pt>
                <c:pt idx="128" formatCode="General">
                  <c:v>0</c:v>
                </c:pt>
                <c:pt idx="129">
                  <c:v>0</c:v>
                </c:pt>
                <c:pt idx="130">
                  <c:v>0</c:v>
                </c:pt>
                <c:pt idx="131" formatCode="General">
                  <c:v>0</c:v>
                </c:pt>
                <c:pt idx="132" formatCode="General">
                  <c:v>0</c:v>
                </c:pt>
                <c:pt idx="133">
                  <c:v>0</c:v>
                </c:pt>
                <c:pt idx="134">
                  <c:v>0</c:v>
                </c:pt>
                <c:pt idx="135" formatCode="General">
                  <c:v>0</c:v>
                </c:pt>
                <c:pt idx="136" formatCode="General">
                  <c:v>0</c:v>
                </c:pt>
                <c:pt idx="137">
                  <c:v>0</c:v>
                </c:pt>
                <c:pt idx="138">
                  <c:v>0</c:v>
                </c:pt>
                <c:pt idx="139" formatCode="General">
                  <c:v>0</c:v>
                </c:pt>
              </c:numCache>
            </c:numRef>
          </c:xVal>
          <c:yVal>
            <c:numRef>
              <c:f>Report!$FT$16:$FT$155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0-DD09-4F1A-89E8-4A06A278A48C}"/>
            </c:ext>
          </c:extLst>
        </c:ser>
        <c:ser>
          <c:idx val="1"/>
          <c:order val="1"/>
          <c:spPr>
            <a:ln w="12700">
              <a:solidFill>
                <a:schemeClr val="bg1">
                  <a:lumMod val="50000"/>
                </a:schemeClr>
              </a:solidFill>
            </a:ln>
          </c:spPr>
          <c:marker>
            <c:symbol val="none"/>
          </c:marker>
          <c:xVal>
            <c:numRef>
              <c:f>Report!$GB$16:$GB$155</c:f>
              <c:numCache>
                <c:formatCode>General</c:formatCode>
                <c:ptCount val="140"/>
                <c:pt idx="0" formatCode="0.00">
                  <c:v>0</c:v>
                </c:pt>
                <c:pt idx="1">
                  <c:v>-36513.845119428122</c:v>
                </c:pt>
                <c:pt idx="2">
                  <c:v>-32862.460607485315</c:v>
                </c:pt>
                <c:pt idx="3">
                  <c:v>0</c:v>
                </c:pt>
                <c:pt idx="4" formatCode="0.00">
                  <c:v>0</c:v>
                </c:pt>
                <c:pt idx="5">
                  <c:v>-12769.424312266372</c:v>
                </c:pt>
                <c:pt idx="6">
                  <c:v>-11350.599388681221</c:v>
                </c:pt>
                <c:pt idx="7">
                  <c:v>0</c:v>
                </c:pt>
                <c:pt idx="8" formatCode="0.00">
                  <c:v>0</c:v>
                </c:pt>
                <c:pt idx="9">
                  <c:v>-11350.599388681221</c:v>
                </c:pt>
                <c:pt idx="10">
                  <c:v>-9931.7744650960685</c:v>
                </c:pt>
                <c:pt idx="11">
                  <c:v>0</c:v>
                </c:pt>
                <c:pt idx="12" formatCode="0.00">
                  <c:v>0</c:v>
                </c:pt>
                <c:pt idx="13">
                  <c:v>-25559.691583599684</c:v>
                </c:pt>
                <c:pt idx="14">
                  <c:v>-21908.307071656869</c:v>
                </c:pt>
                <c:pt idx="15">
                  <c:v>0</c:v>
                </c:pt>
                <c:pt idx="16" formatCode="0.00">
                  <c:v>0</c:v>
                </c:pt>
                <c:pt idx="17">
                  <c:v>-8512.9495415109141</c:v>
                </c:pt>
                <c:pt idx="18">
                  <c:v>-7094.1246179257614</c:v>
                </c:pt>
                <c:pt idx="19">
                  <c:v>0</c:v>
                </c:pt>
                <c:pt idx="20" formatCode="0.00">
                  <c:v>0</c:v>
                </c:pt>
                <c:pt idx="21">
                  <c:v>-7094.1246179257614</c:v>
                </c:pt>
                <c:pt idx="22">
                  <c:v>-5675.2996943406088</c:v>
                </c:pt>
                <c:pt idx="23">
                  <c:v>0</c:v>
                </c:pt>
                <c:pt idx="24" formatCode="0.00">
                  <c:v>0</c:v>
                </c:pt>
                <c:pt idx="25">
                  <c:v>-14605.538047771242</c:v>
                </c:pt>
                <c:pt idx="26">
                  <c:v>-10954.153535828427</c:v>
                </c:pt>
                <c:pt idx="27">
                  <c:v>0</c:v>
                </c:pt>
                <c:pt idx="28" formatCode="0.00">
                  <c:v>0</c:v>
                </c:pt>
                <c:pt idx="29">
                  <c:v>-10954.153535828431</c:v>
                </c:pt>
                <c:pt idx="30">
                  <c:v>-7302.7690238856167</c:v>
                </c:pt>
                <c:pt idx="31">
                  <c:v>0</c:v>
                </c:pt>
                <c:pt idx="32" formatCode="0.00">
                  <c:v>0</c:v>
                </c:pt>
                <c:pt idx="33">
                  <c:v>-2837.6498471703039</c:v>
                </c:pt>
                <c:pt idx="34">
                  <c:v>-1418.8249235851501</c:v>
                </c:pt>
                <c:pt idx="35">
                  <c:v>0</c:v>
                </c:pt>
                <c:pt idx="36" formatCode="0.00">
                  <c:v>0</c:v>
                </c:pt>
                <c:pt idx="37">
                  <c:v>-3651.3845119428079</c:v>
                </c:pt>
                <c:pt idx="38">
                  <c:v>5.8933046809599621E-12</c:v>
                </c:pt>
                <c:pt idx="39">
                  <c:v>0</c:v>
                </c:pt>
                <c:pt idx="40" formatCode="0.00">
                  <c:v>0</c:v>
                </c:pt>
                <c:pt idx="41">
                  <c:v>0</c:v>
                </c:pt>
                <c:pt idx="42">
                  <c:v>3651.384511942817</c:v>
                </c:pt>
                <c:pt idx="43">
                  <c:v>0</c:v>
                </c:pt>
                <c:pt idx="44" formatCode="0.00">
                  <c:v>0</c:v>
                </c:pt>
                <c:pt idx="45">
                  <c:v>1418.8249235851536</c:v>
                </c:pt>
                <c:pt idx="46">
                  <c:v>2837.6498471703067</c:v>
                </c:pt>
                <c:pt idx="47">
                  <c:v>0</c:v>
                </c:pt>
                <c:pt idx="48" formatCode="0.00">
                  <c:v>0</c:v>
                </c:pt>
                <c:pt idx="49">
                  <c:v>7302.7690238856258</c:v>
                </c:pt>
                <c:pt idx="50">
                  <c:v>10954.15353582844</c:v>
                </c:pt>
                <c:pt idx="51">
                  <c:v>0</c:v>
                </c:pt>
                <c:pt idx="52" formatCode="0.00">
                  <c:v>0</c:v>
                </c:pt>
                <c:pt idx="53">
                  <c:v>10954.153535828435</c:v>
                </c:pt>
                <c:pt idx="54">
                  <c:v>14605.538047771252</c:v>
                </c:pt>
                <c:pt idx="55">
                  <c:v>0</c:v>
                </c:pt>
                <c:pt idx="56" formatCode="0.00">
                  <c:v>0</c:v>
                </c:pt>
                <c:pt idx="57">
                  <c:v>5675.2996943406124</c:v>
                </c:pt>
                <c:pt idx="58">
                  <c:v>7094.1246179257669</c:v>
                </c:pt>
                <c:pt idx="59">
                  <c:v>0</c:v>
                </c:pt>
                <c:pt idx="60" formatCode="0.00">
                  <c:v>0</c:v>
                </c:pt>
                <c:pt idx="61">
                  <c:v>7094.1246179257651</c:v>
                </c:pt>
                <c:pt idx="62">
                  <c:v>8512.9495415109195</c:v>
                </c:pt>
                <c:pt idx="63">
                  <c:v>0</c:v>
                </c:pt>
                <c:pt idx="64" formatCode="0.00">
                  <c:v>0</c:v>
                </c:pt>
                <c:pt idx="65">
                  <c:v>21908.307071656876</c:v>
                </c:pt>
                <c:pt idx="66">
                  <c:v>25559.691583599692</c:v>
                </c:pt>
                <c:pt idx="67">
                  <c:v>0</c:v>
                </c:pt>
                <c:pt idx="68" formatCode="0.00">
                  <c:v>0</c:v>
                </c:pt>
                <c:pt idx="69">
                  <c:v>9931.7744650960703</c:v>
                </c:pt>
                <c:pt idx="70">
                  <c:v>11350.599388681221</c:v>
                </c:pt>
                <c:pt idx="71">
                  <c:v>0</c:v>
                </c:pt>
                <c:pt idx="72" formatCode="0.00">
                  <c:v>0</c:v>
                </c:pt>
                <c:pt idx="73">
                  <c:v>11350.599388681221</c:v>
                </c:pt>
                <c:pt idx="74">
                  <c:v>12769.424312266376</c:v>
                </c:pt>
                <c:pt idx="75">
                  <c:v>0</c:v>
                </c:pt>
                <c:pt idx="76" formatCode="0.00">
                  <c:v>0</c:v>
                </c:pt>
                <c:pt idx="77">
                  <c:v>32862.460607485315</c:v>
                </c:pt>
                <c:pt idx="78">
                  <c:v>36513.845119428122</c:v>
                </c:pt>
                <c:pt idx="79">
                  <c:v>0</c:v>
                </c:pt>
                <c:pt idx="80" formatCode="0.00">
                  <c:v>0</c:v>
                </c:pt>
                <c:pt idx="81">
                  <c:v>0</c:v>
                </c:pt>
                <c:pt idx="82">
                  <c:v>0</c:v>
                </c:pt>
                <c:pt idx="83">
                  <c:v>0</c:v>
                </c:pt>
                <c:pt idx="84" formatCode="0.00">
                  <c:v>0</c:v>
                </c:pt>
                <c:pt idx="85">
                  <c:v>0</c:v>
                </c:pt>
                <c:pt idx="86">
                  <c:v>0</c:v>
                </c:pt>
                <c:pt idx="87">
                  <c:v>0</c:v>
                </c:pt>
                <c:pt idx="88" formatCode="0.00">
                  <c:v>0</c:v>
                </c:pt>
                <c:pt idx="89">
                  <c:v>0</c:v>
                </c:pt>
                <c:pt idx="90">
                  <c:v>0</c:v>
                </c:pt>
                <c:pt idx="91">
                  <c:v>0</c:v>
                </c:pt>
                <c:pt idx="92" formatCode="0.00">
                  <c:v>0</c:v>
                </c:pt>
                <c:pt idx="93">
                  <c:v>0</c:v>
                </c:pt>
                <c:pt idx="94">
                  <c:v>0</c:v>
                </c:pt>
                <c:pt idx="95">
                  <c:v>0</c:v>
                </c:pt>
                <c:pt idx="96" formatCode="0.00">
                  <c:v>0</c:v>
                </c:pt>
                <c:pt idx="97">
                  <c:v>0</c:v>
                </c:pt>
                <c:pt idx="98">
                  <c:v>0</c:v>
                </c:pt>
                <c:pt idx="99">
                  <c:v>0</c:v>
                </c:pt>
                <c:pt idx="100" formatCode="0.00">
                  <c:v>0</c:v>
                </c:pt>
                <c:pt idx="101">
                  <c:v>0</c:v>
                </c:pt>
                <c:pt idx="102">
                  <c:v>0</c:v>
                </c:pt>
                <c:pt idx="103">
                  <c:v>0</c:v>
                </c:pt>
                <c:pt idx="104" formatCode="0.00">
                  <c:v>0</c:v>
                </c:pt>
                <c:pt idx="105">
                  <c:v>0</c:v>
                </c:pt>
                <c:pt idx="106">
                  <c:v>0</c:v>
                </c:pt>
                <c:pt idx="107">
                  <c:v>0</c:v>
                </c:pt>
                <c:pt idx="108" formatCode="0.00">
                  <c:v>0</c:v>
                </c:pt>
                <c:pt idx="109">
                  <c:v>0</c:v>
                </c:pt>
                <c:pt idx="110">
                  <c:v>0</c:v>
                </c:pt>
                <c:pt idx="111">
                  <c:v>0</c:v>
                </c:pt>
                <c:pt idx="112" formatCode="0.00">
                  <c:v>0</c:v>
                </c:pt>
                <c:pt idx="113">
                  <c:v>0</c:v>
                </c:pt>
                <c:pt idx="114">
                  <c:v>0</c:v>
                </c:pt>
                <c:pt idx="115">
                  <c:v>0</c:v>
                </c:pt>
                <c:pt idx="116" formatCode="0.00">
                  <c:v>0</c:v>
                </c:pt>
                <c:pt idx="117">
                  <c:v>0</c:v>
                </c:pt>
                <c:pt idx="118">
                  <c:v>0</c:v>
                </c:pt>
                <c:pt idx="119">
                  <c:v>0</c:v>
                </c:pt>
                <c:pt idx="120" formatCode="0.00">
                  <c:v>0</c:v>
                </c:pt>
                <c:pt idx="121">
                  <c:v>0</c:v>
                </c:pt>
                <c:pt idx="122">
                  <c:v>0</c:v>
                </c:pt>
                <c:pt idx="123">
                  <c:v>0</c:v>
                </c:pt>
                <c:pt idx="124" formatCode="0.00">
                  <c:v>0</c:v>
                </c:pt>
                <c:pt idx="125">
                  <c:v>0</c:v>
                </c:pt>
                <c:pt idx="126">
                  <c:v>0</c:v>
                </c:pt>
                <c:pt idx="127">
                  <c:v>0</c:v>
                </c:pt>
                <c:pt idx="128" formatCode="0.00">
                  <c:v>0</c:v>
                </c:pt>
                <c:pt idx="129">
                  <c:v>0</c:v>
                </c:pt>
                <c:pt idx="130">
                  <c:v>0</c:v>
                </c:pt>
                <c:pt idx="131">
                  <c:v>0</c:v>
                </c:pt>
                <c:pt idx="132" formatCode="0.00">
                  <c:v>0</c:v>
                </c:pt>
                <c:pt idx="133">
                  <c:v>0</c:v>
                </c:pt>
                <c:pt idx="134">
                  <c:v>0</c:v>
                </c:pt>
                <c:pt idx="135">
                  <c:v>0</c:v>
                </c:pt>
                <c:pt idx="136" formatCode="0.00">
                  <c:v>0</c:v>
                </c:pt>
                <c:pt idx="137">
                  <c:v>0</c:v>
                </c:pt>
                <c:pt idx="138">
                  <c:v>0</c:v>
                </c:pt>
                <c:pt idx="139">
                  <c:v>0</c:v>
                </c:pt>
              </c:numCache>
            </c:numRef>
          </c:xVal>
          <c:yVal>
            <c:numRef>
              <c:f>Report!$FV$16:$FV$155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1-DD09-4F1A-89E8-4A06A278A48C}"/>
            </c:ext>
          </c:extLst>
        </c:ser>
        <c:ser>
          <c:idx val="2"/>
          <c:order val="2"/>
          <c:spPr>
            <a:ln w="12700">
              <a:solidFill>
                <a:schemeClr val="tx1"/>
              </a:solidFill>
              <a:prstDash val="dash"/>
            </a:ln>
          </c:spPr>
          <c:marker>
            <c:symbol val="none"/>
          </c:marker>
          <c:xVal>
            <c:numRef>
              <c:f>Report!$GD$16:$GD$155</c:f>
              <c:numCache>
                <c:formatCode>0.00</c:formatCode>
                <c:ptCount val="140"/>
                <c:pt idx="0" formatCode="General">
                  <c:v>0</c:v>
                </c:pt>
                <c:pt idx="1">
                  <c:v>37646.823862580801</c:v>
                </c:pt>
                <c:pt idx="2">
                  <c:v>33882.141476322729</c:v>
                </c:pt>
                <c:pt idx="3" formatCode="General">
                  <c:v>0</c:v>
                </c:pt>
                <c:pt idx="4" formatCode="General">
                  <c:v>0</c:v>
                </c:pt>
                <c:pt idx="5">
                  <c:v>5217.2883494170974</c:v>
                </c:pt>
                <c:pt idx="6">
                  <c:v>4637.5896439263088</c:v>
                </c:pt>
                <c:pt idx="7" formatCode="General">
                  <c:v>0</c:v>
                </c:pt>
                <c:pt idx="8" formatCode="General">
                  <c:v>0</c:v>
                </c:pt>
                <c:pt idx="9">
                  <c:v>4637.5896439263088</c:v>
                </c:pt>
                <c:pt idx="10">
                  <c:v>4057.8909384355197</c:v>
                </c:pt>
                <c:pt idx="11" formatCode="General">
                  <c:v>0</c:v>
                </c:pt>
                <c:pt idx="12" formatCode="General">
                  <c:v>0</c:v>
                </c:pt>
                <c:pt idx="13">
                  <c:v>26352.776703806561</c:v>
                </c:pt>
                <c:pt idx="14">
                  <c:v>22588.094317548479</c:v>
                </c:pt>
                <c:pt idx="15" formatCode="General">
                  <c:v>0</c:v>
                </c:pt>
                <c:pt idx="16" formatCode="General">
                  <c:v>0</c:v>
                </c:pt>
                <c:pt idx="17">
                  <c:v>3478.1922329447311</c:v>
                </c:pt>
                <c:pt idx="18">
                  <c:v>2898.4935274539421</c:v>
                </c:pt>
                <c:pt idx="19" formatCode="General">
                  <c:v>0</c:v>
                </c:pt>
                <c:pt idx="20" formatCode="General">
                  <c:v>0</c:v>
                </c:pt>
                <c:pt idx="21">
                  <c:v>2898.4935274539421</c:v>
                </c:pt>
                <c:pt idx="22">
                  <c:v>2318.794821963153</c:v>
                </c:pt>
                <c:pt idx="23" formatCode="General">
                  <c:v>0</c:v>
                </c:pt>
                <c:pt idx="24" formatCode="General">
                  <c:v>0</c:v>
                </c:pt>
                <c:pt idx="25">
                  <c:v>15058.729545032314</c:v>
                </c:pt>
                <c:pt idx="26">
                  <c:v>11294.047158774232</c:v>
                </c:pt>
                <c:pt idx="27" formatCode="General">
                  <c:v>0</c:v>
                </c:pt>
                <c:pt idx="28" formatCode="General">
                  <c:v>0</c:v>
                </c:pt>
                <c:pt idx="29">
                  <c:v>11294.047158774236</c:v>
                </c:pt>
                <c:pt idx="30">
                  <c:v>7529.3647725161527</c:v>
                </c:pt>
                <c:pt idx="31" formatCode="General">
                  <c:v>0</c:v>
                </c:pt>
                <c:pt idx="32" formatCode="General">
                  <c:v>0</c:v>
                </c:pt>
                <c:pt idx="33">
                  <c:v>1159.3974109815763</c:v>
                </c:pt>
                <c:pt idx="34">
                  <c:v>579.69870549078746</c:v>
                </c:pt>
                <c:pt idx="35" formatCode="General">
                  <c:v>0</c:v>
                </c:pt>
                <c:pt idx="36" formatCode="General">
                  <c:v>0</c:v>
                </c:pt>
                <c:pt idx="37">
                  <c:v>3764.6823862580754</c:v>
                </c:pt>
                <c:pt idx="38">
                  <c:v>-6.0761665216839666E-12</c:v>
                </c:pt>
                <c:pt idx="39" formatCode="General">
                  <c:v>0</c:v>
                </c:pt>
                <c:pt idx="40" formatCode="General">
                  <c:v>0</c:v>
                </c:pt>
                <c:pt idx="41">
                  <c:v>0</c:v>
                </c:pt>
                <c:pt idx="42">
                  <c:v>-3764.6823862580859</c:v>
                </c:pt>
                <c:pt idx="43" formatCode="General">
                  <c:v>0</c:v>
                </c:pt>
                <c:pt idx="44" formatCode="General">
                  <c:v>0</c:v>
                </c:pt>
                <c:pt idx="45">
                  <c:v>-579.69870549078905</c:v>
                </c:pt>
                <c:pt idx="46">
                  <c:v>-1159.3974109815779</c:v>
                </c:pt>
                <c:pt idx="47" formatCode="General">
                  <c:v>0</c:v>
                </c:pt>
                <c:pt idx="48" formatCode="General">
                  <c:v>0</c:v>
                </c:pt>
                <c:pt idx="49">
                  <c:v>-7529.3647725161618</c:v>
                </c:pt>
                <c:pt idx="50">
                  <c:v>-11294.047158774245</c:v>
                </c:pt>
                <c:pt idx="51" formatCode="General">
                  <c:v>0</c:v>
                </c:pt>
                <c:pt idx="52" formatCode="General">
                  <c:v>0</c:v>
                </c:pt>
                <c:pt idx="53">
                  <c:v>-11294.047158774241</c:v>
                </c:pt>
                <c:pt idx="54">
                  <c:v>-15058.729545032324</c:v>
                </c:pt>
                <c:pt idx="55" formatCode="General">
                  <c:v>0</c:v>
                </c:pt>
                <c:pt idx="56" formatCode="General">
                  <c:v>0</c:v>
                </c:pt>
                <c:pt idx="57">
                  <c:v>-2318.7948219631553</c:v>
                </c:pt>
                <c:pt idx="58">
                  <c:v>-2898.4935274539439</c:v>
                </c:pt>
                <c:pt idx="59" formatCode="General">
                  <c:v>0</c:v>
                </c:pt>
                <c:pt idx="60" formatCode="General">
                  <c:v>0</c:v>
                </c:pt>
                <c:pt idx="61">
                  <c:v>-2898.4935274539434</c:v>
                </c:pt>
                <c:pt idx="62">
                  <c:v>-3478.1922329447325</c:v>
                </c:pt>
                <c:pt idx="63" formatCode="General">
                  <c:v>0</c:v>
                </c:pt>
                <c:pt idx="64" formatCode="General">
                  <c:v>0</c:v>
                </c:pt>
                <c:pt idx="65">
                  <c:v>-22588.094317548486</c:v>
                </c:pt>
                <c:pt idx="66">
                  <c:v>-26352.776703806569</c:v>
                </c:pt>
                <c:pt idx="67" formatCode="General">
                  <c:v>0</c:v>
                </c:pt>
                <c:pt idx="68" formatCode="General">
                  <c:v>0</c:v>
                </c:pt>
                <c:pt idx="69">
                  <c:v>-4057.8909384355202</c:v>
                </c:pt>
                <c:pt idx="70">
                  <c:v>-4637.5896439263097</c:v>
                </c:pt>
                <c:pt idx="71" formatCode="General">
                  <c:v>0</c:v>
                </c:pt>
                <c:pt idx="72" formatCode="General">
                  <c:v>0</c:v>
                </c:pt>
                <c:pt idx="73">
                  <c:v>-4637.5896439263097</c:v>
                </c:pt>
                <c:pt idx="74">
                  <c:v>-5217.2883494170983</c:v>
                </c:pt>
                <c:pt idx="75" formatCode="General">
                  <c:v>0</c:v>
                </c:pt>
                <c:pt idx="76" formatCode="General">
                  <c:v>0</c:v>
                </c:pt>
                <c:pt idx="77">
                  <c:v>-33882.141476322729</c:v>
                </c:pt>
                <c:pt idx="78">
                  <c:v>-37646.823862580801</c:v>
                </c:pt>
                <c:pt idx="79" formatCode="General">
                  <c:v>0</c:v>
                </c:pt>
                <c:pt idx="80" formatCode="General">
                  <c:v>0</c:v>
                </c:pt>
                <c:pt idx="81">
                  <c:v>0</c:v>
                </c:pt>
                <c:pt idx="82">
                  <c:v>0</c:v>
                </c:pt>
                <c:pt idx="83" formatCode="General">
                  <c:v>0</c:v>
                </c:pt>
                <c:pt idx="84" formatCode="General">
                  <c:v>0</c:v>
                </c:pt>
                <c:pt idx="85">
                  <c:v>0</c:v>
                </c:pt>
                <c:pt idx="86">
                  <c:v>0</c:v>
                </c:pt>
                <c:pt idx="87" formatCode="General">
                  <c:v>0</c:v>
                </c:pt>
                <c:pt idx="88" formatCode="General">
                  <c:v>0</c:v>
                </c:pt>
                <c:pt idx="89">
                  <c:v>0</c:v>
                </c:pt>
                <c:pt idx="90">
                  <c:v>0</c:v>
                </c:pt>
                <c:pt idx="91" formatCode="General">
                  <c:v>0</c:v>
                </c:pt>
                <c:pt idx="92" formatCode="General">
                  <c:v>0</c:v>
                </c:pt>
                <c:pt idx="93">
                  <c:v>0</c:v>
                </c:pt>
                <c:pt idx="94">
                  <c:v>0</c:v>
                </c:pt>
                <c:pt idx="95" formatCode="General">
                  <c:v>0</c:v>
                </c:pt>
                <c:pt idx="96" formatCode="General">
                  <c:v>0</c:v>
                </c:pt>
                <c:pt idx="97">
                  <c:v>0</c:v>
                </c:pt>
                <c:pt idx="98">
                  <c:v>0</c:v>
                </c:pt>
                <c:pt idx="99" formatCode="General">
                  <c:v>0</c:v>
                </c:pt>
                <c:pt idx="100" formatCode="General">
                  <c:v>0</c:v>
                </c:pt>
                <c:pt idx="101">
                  <c:v>0</c:v>
                </c:pt>
                <c:pt idx="102">
                  <c:v>0</c:v>
                </c:pt>
                <c:pt idx="103" formatCode="General">
                  <c:v>0</c:v>
                </c:pt>
                <c:pt idx="104" formatCode="General">
                  <c:v>0</c:v>
                </c:pt>
                <c:pt idx="105">
                  <c:v>0</c:v>
                </c:pt>
                <c:pt idx="106">
                  <c:v>0</c:v>
                </c:pt>
                <c:pt idx="107" formatCode="General">
                  <c:v>0</c:v>
                </c:pt>
                <c:pt idx="108" formatCode="General">
                  <c:v>0</c:v>
                </c:pt>
                <c:pt idx="109">
                  <c:v>0</c:v>
                </c:pt>
                <c:pt idx="110">
                  <c:v>0</c:v>
                </c:pt>
                <c:pt idx="111" formatCode="General">
                  <c:v>0</c:v>
                </c:pt>
                <c:pt idx="112" formatCode="General">
                  <c:v>0</c:v>
                </c:pt>
                <c:pt idx="113">
                  <c:v>0</c:v>
                </c:pt>
                <c:pt idx="114">
                  <c:v>0</c:v>
                </c:pt>
                <c:pt idx="115" formatCode="General">
                  <c:v>0</c:v>
                </c:pt>
                <c:pt idx="116" formatCode="General">
                  <c:v>0</c:v>
                </c:pt>
                <c:pt idx="117">
                  <c:v>0</c:v>
                </c:pt>
                <c:pt idx="118">
                  <c:v>0</c:v>
                </c:pt>
                <c:pt idx="119" formatCode="General">
                  <c:v>0</c:v>
                </c:pt>
                <c:pt idx="120" formatCode="General">
                  <c:v>0</c:v>
                </c:pt>
                <c:pt idx="121">
                  <c:v>0</c:v>
                </c:pt>
                <c:pt idx="122">
                  <c:v>0</c:v>
                </c:pt>
                <c:pt idx="123" formatCode="General">
                  <c:v>0</c:v>
                </c:pt>
                <c:pt idx="124" formatCode="General">
                  <c:v>0</c:v>
                </c:pt>
                <c:pt idx="125">
                  <c:v>0</c:v>
                </c:pt>
                <c:pt idx="126">
                  <c:v>0</c:v>
                </c:pt>
                <c:pt idx="127" formatCode="General">
                  <c:v>0</c:v>
                </c:pt>
                <c:pt idx="128" formatCode="General">
                  <c:v>0</c:v>
                </c:pt>
                <c:pt idx="129">
                  <c:v>0</c:v>
                </c:pt>
                <c:pt idx="130">
                  <c:v>0</c:v>
                </c:pt>
                <c:pt idx="131" formatCode="General">
                  <c:v>0</c:v>
                </c:pt>
                <c:pt idx="132" formatCode="General">
                  <c:v>0</c:v>
                </c:pt>
                <c:pt idx="133">
                  <c:v>0</c:v>
                </c:pt>
                <c:pt idx="134">
                  <c:v>0</c:v>
                </c:pt>
                <c:pt idx="135" formatCode="General">
                  <c:v>0</c:v>
                </c:pt>
                <c:pt idx="136" formatCode="General">
                  <c:v>0</c:v>
                </c:pt>
                <c:pt idx="137">
                  <c:v>0</c:v>
                </c:pt>
                <c:pt idx="138">
                  <c:v>0</c:v>
                </c:pt>
                <c:pt idx="139" formatCode="General">
                  <c:v>0</c:v>
                </c:pt>
              </c:numCache>
            </c:numRef>
          </c:xVal>
          <c:yVal>
            <c:numRef>
              <c:f>Report!$FX$16:$FX$155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2-DD09-4F1A-89E8-4A06A278A48C}"/>
            </c:ext>
          </c:extLst>
        </c:ser>
        <c:dLbls>
          <c:showLegendKey val="0"/>
          <c:showVal val="0"/>
          <c:showCatName val="0"/>
          <c:showSerName val="0"/>
          <c:showPercent val="0"/>
          <c:showBubbleSize val="0"/>
        </c:dLbls>
        <c:axId val="806546120"/>
        <c:axId val="806429912"/>
      </c:scatterChart>
      <c:valAx>
        <c:axId val="806546120"/>
        <c:scaling>
          <c:orientation val="minMax"/>
        </c:scaling>
        <c:delete val="0"/>
        <c:axPos val="b"/>
        <c:title>
          <c:tx>
            <c:rich>
              <a:bodyPr/>
              <a:lstStyle/>
              <a:p>
                <a:pPr>
                  <a:defRPr/>
                </a:pPr>
                <a:r>
                  <a:rPr lang="en-US"/>
                  <a:t>Stress (Mpa)</a:t>
                </a:r>
              </a:p>
            </c:rich>
          </c:tx>
          <c:overlay val="0"/>
        </c:title>
        <c:numFmt formatCode="General" sourceLinked="1"/>
        <c:majorTickMark val="out"/>
        <c:minorTickMark val="none"/>
        <c:tickLblPos val="nextTo"/>
        <c:crossAx val="806429912"/>
        <c:crosses val="autoZero"/>
        <c:crossBetween val="midCat"/>
      </c:valAx>
      <c:valAx>
        <c:axId val="806429912"/>
        <c:scaling>
          <c:orientation val="minMax"/>
        </c:scaling>
        <c:delete val="0"/>
        <c:axPos val="l"/>
        <c:majorGridlines/>
        <c:title>
          <c:tx>
            <c:rich>
              <a:bodyPr rot="-5400000" vert="horz"/>
              <a:lstStyle/>
              <a:p>
                <a:pPr>
                  <a:defRPr/>
                </a:pPr>
                <a:r>
                  <a:rPr lang="en-US"/>
                  <a:t>Thickness (in)</a:t>
                </a:r>
              </a:p>
            </c:rich>
          </c:tx>
          <c:layout>
            <c:manualLayout>
              <c:xMode val="edge"/>
              <c:yMode val="edge"/>
              <c:x val="3.8503699464995086E-2"/>
              <c:y val="0.34169828241833772"/>
            </c:manualLayout>
          </c:layout>
          <c:overlay val="0"/>
        </c:title>
        <c:numFmt formatCode="0.0" sourceLinked="0"/>
        <c:majorTickMark val="out"/>
        <c:minorTickMark val="none"/>
        <c:tickLblPos val="nextTo"/>
        <c:crossAx val="806546120"/>
        <c:crosses val="autoZero"/>
        <c:crossBetween val="midCat"/>
      </c:valAx>
    </c:plotArea>
    <c:plotVisOnly val="1"/>
    <c:dispBlanksAs val="gap"/>
    <c:showDLblsOverMax val="0"/>
  </c:chart>
  <c:spPr>
    <a:ln>
      <a:noFill/>
    </a:ln>
  </c:spPr>
  <c:txPr>
    <a:bodyPr/>
    <a:lstStyle/>
    <a:p>
      <a:pPr>
        <a:defRPr sz="1000">
          <a:latin typeface="+mn-lt"/>
          <a:cs typeface="Arial" pitchFamily="34" charset="0"/>
        </a:defRPr>
      </a:pPr>
      <a:endParaRPr lang="en-US"/>
    </a:p>
  </c:txPr>
  <c:printSettings>
    <c:headerFooter/>
    <c:pageMargins b="0.75000000000000056" l="0.70000000000000051" r="0.70000000000000051" t="0.75000000000000056" header="0.30000000000000027" footer="0.3000000000000002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Ply Total Stress</a:t>
            </a:r>
          </a:p>
        </c:rich>
      </c:tx>
      <c:overlay val="0"/>
    </c:title>
    <c:autoTitleDeleted val="0"/>
    <c:plotArea>
      <c:layout>
        <c:manualLayout>
          <c:layoutTarget val="inner"/>
          <c:xMode val="edge"/>
          <c:yMode val="edge"/>
          <c:x val="0.13349794238683144"/>
          <c:y val="0.15596456692913391"/>
          <c:w val="0.79595148984039832"/>
          <c:h val="0.72833472234926022"/>
        </c:manualLayout>
      </c:layout>
      <c:scatterChart>
        <c:scatterStyle val="lineMarker"/>
        <c:varyColors val="0"/>
        <c:ser>
          <c:idx val="0"/>
          <c:order val="0"/>
          <c:spPr>
            <a:ln w="12700">
              <a:solidFill>
                <a:schemeClr val="tx1">
                  <a:lumMod val="95000"/>
                  <a:lumOff val="5000"/>
                </a:schemeClr>
              </a:solidFill>
            </a:ln>
          </c:spPr>
          <c:marker>
            <c:symbol val="none"/>
          </c:marker>
          <c:xVal>
            <c:numRef>
              <c:f>Report!$GG$16:$GG$155</c:f>
              <c:numCache>
                <c:formatCode>0.0</c:formatCode>
                <c:ptCount val="140"/>
                <c:pt idx="0">
                  <c:v>0</c:v>
                </c:pt>
                <c:pt idx="1">
                  <c:v>-42372.769093787014</c:v>
                </c:pt>
                <c:pt idx="2">
                  <c:v>-37908.688484770209</c:v>
                </c:pt>
                <c:pt idx="3">
                  <c:v>0</c:v>
                </c:pt>
                <c:pt idx="4">
                  <c:v>0</c:v>
                </c:pt>
                <c:pt idx="5">
                  <c:v>-56722.780457733053</c:v>
                </c:pt>
                <c:pt idx="6">
                  <c:v>-50026.140260358581</c:v>
                </c:pt>
                <c:pt idx="7">
                  <c:v>0</c:v>
                </c:pt>
                <c:pt idx="8">
                  <c:v>0</c:v>
                </c:pt>
                <c:pt idx="9">
                  <c:v>-50026.140260358581</c:v>
                </c:pt>
                <c:pt idx="10">
                  <c:v>-43329.500062984116</c:v>
                </c:pt>
                <c:pt idx="11">
                  <c:v>0</c:v>
                </c:pt>
                <c:pt idx="12">
                  <c:v>0</c:v>
                </c:pt>
                <c:pt idx="13">
                  <c:v>-28980.527266736579</c:v>
                </c:pt>
                <c:pt idx="14">
                  <c:v>-24516.446657719764</c:v>
                </c:pt>
                <c:pt idx="15">
                  <c:v>0</c:v>
                </c:pt>
                <c:pt idx="16">
                  <c:v>0</c:v>
                </c:pt>
                <c:pt idx="17">
                  <c:v>-36632.859865609636</c:v>
                </c:pt>
                <c:pt idx="18">
                  <c:v>-29936.219668235164</c:v>
                </c:pt>
                <c:pt idx="19">
                  <c:v>0</c:v>
                </c:pt>
                <c:pt idx="20">
                  <c:v>0</c:v>
                </c:pt>
                <c:pt idx="21">
                  <c:v>-29936.219668235164</c:v>
                </c:pt>
                <c:pt idx="22">
                  <c:v>-23239.579470860685</c:v>
                </c:pt>
                <c:pt idx="23">
                  <c:v>0</c:v>
                </c:pt>
                <c:pt idx="24">
                  <c:v>0</c:v>
                </c:pt>
                <c:pt idx="25">
                  <c:v>-15588.285439686133</c:v>
                </c:pt>
                <c:pt idx="26">
                  <c:v>-11124.204830669314</c:v>
                </c:pt>
                <c:pt idx="27">
                  <c:v>0</c:v>
                </c:pt>
                <c:pt idx="28">
                  <c:v>0</c:v>
                </c:pt>
                <c:pt idx="29">
                  <c:v>-11124.204830669318</c:v>
                </c:pt>
                <c:pt idx="30">
                  <c:v>-6660.1242216525034</c:v>
                </c:pt>
                <c:pt idx="31">
                  <c:v>0</c:v>
                </c:pt>
                <c:pt idx="32">
                  <c:v>0</c:v>
                </c:pt>
                <c:pt idx="33">
                  <c:v>-9846.2990761117453</c:v>
                </c:pt>
                <c:pt idx="34">
                  <c:v>-3149.6588787372707</c:v>
                </c:pt>
                <c:pt idx="35">
                  <c:v>0</c:v>
                </c:pt>
                <c:pt idx="36">
                  <c:v>0</c:v>
                </c:pt>
                <c:pt idx="37">
                  <c:v>-2196.0436126356935</c:v>
                </c:pt>
                <c:pt idx="38">
                  <c:v>2268.0369963811218</c:v>
                </c:pt>
                <c:pt idx="39">
                  <c:v>0</c:v>
                </c:pt>
                <c:pt idx="40">
                  <c:v>0</c:v>
                </c:pt>
                <c:pt idx="41">
                  <c:v>2268.0369963811145</c:v>
                </c:pt>
                <c:pt idx="42">
                  <c:v>6732.1176053979334</c:v>
                </c:pt>
                <c:pt idx="43">
                  <c:v>0</c:v>
                </c:pt>
                <c:pt idx="44">
                  <c:v>0</c:v>
                </c:pt>
                <c:pt idx="45">
                  <c:v>10243.621516011666</c:v>
                </c:pt>
                <c:pt idx="46">
                  <c:v>16940.261713386142</c:v>
                </c:pt>
                <c:pt idx="47">
                  <c:v>0</c:v>
                </c:pt>
                <c:pt idx="48">
                  <c:v>0</c:v>
                </c:pt>
                <c:pt idx="49">
                  <c:v>11196.198214414744</c:v>
                </c:pt>
                <c:pt idx="50">
                  <c:v>15660.278823431559</c:v>
                </c:pt>
                <c:pt idx="51">
                  <c:v>0</c:v>
                </c:pt>
                <c:pt idx="52">
                  <c:v>0</c:v>
                </c:pt>
                <c:pt idx="53">
                  <c:v>15660.278823431556</c:v>
                </c:pt>
                <c:pt idx="54">
                  <c:v>20124.359432448371</c:v>
                </c:pt>
                <c:pt idx="55">
                  <c:v>0</c:v>
                </c:pt>
                <c:pt idx="56">
                  <c:v>0</c:v>
                </c:pt>
                <c:pt idx="57">
                  <c:v>30333.542108135091</c:v>
                </c:pt>
                <c:pt idx="58">
                  <c:v>37030.182305509567</c:v>
                </c:pt>
                <c:pt idx="59">
                  <c:v>0</c:v>
                </c:pt>
                <c:pt idx="60">
                  <c:v>0</c:v>
                </c:pt>
                <c:pt idx="61">
                  <c:v>37030.182305509559</c:v>
                </c:pt>
                <c:pt idx="62">
                  <c:v>43726.822502884039</c:v>
                </c:pt>
                <c:pt idx="63">
                  <c:v>0</c:v>
                </c:pt>
                <c:pt idx="64">
                  <c:v>0</c:v>
                </c:pt>
                <c:pt idx="65">
                  <c:v>29052.520650481998</c:v>
                </c:pt>
                <c:pt idx="66">
                  <c:v>33516.601259498813</c:v>
                </c:pt>
                <c:pt idx="67">
                  <c:v>0</c:v>
                </c:pt>
                <c:pt idx="68">
                  <c:v>0</c:v>
                </c:pt>
                <c:pt idx="69">
                  <c:v>50423.462700258504</c:v>
                </c:pt>
                <c:pt idx="70">
                  <c:v>57120.102897632976</c:v>
                </c:pt>
                <c:pt idx="71">
                  <c:v>0</c:v>
                </c:pt>
                <c:pt idx="72">
                  <c:v>0</c:v>
                </c:pt>
                <c:pt idx="73">
                  <c:v>57120.102897632976</c:v>
                </c:pt>
                <c:pt idx="74">
                  <c:v>63816.743095007449</c:v>
                </c:pt>
                <c:pt idx="75">
                  <c:v>0</c:v>
                </c:pt>
                <c:pt idx="76">
                  <c:v>0</c:v>
                </c:pt>
                <c:pt idx="77">
                  <c:v>42444.762477532444</c:v>
                </c:pt>
                <c:pt idx="78">
                  <c:v>46908.843086549248</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xVal>
          <c:yVal>
            <c:numRef>
              <c:f>Report!$FT$16:$FT$155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0-8654-419F-8AE1-A42B0ECBA800}"/>
            </c:ext>
          </c:extLst>
        </c:ser>
        <c:ser>
          <c:idx val="1"/>
          <c:order val="1"/>
          <c:spPr>
            <a:ln w="12700">
              <a:solidFill>
                <a:schemeClr val="bg1">
                  <a:lumMod val="50000"/>
                </a:schemeClr>
              </a:solidFill>
            </a:ln>
          </c:spPr>
          <c:marker>
            <c:symbol val="none"/>
          </c:marker>
          <c:xVal>
            <c:numRef>
              <c:f>Report!$GI$16:$GI$155</c:f>
              <c:numCache>
                <c:formatCode>0.0</c:formatCode>
                <c:ptCount val="140"/>
                <c:pt idx="0" formatCode="0.00">
                  <c:v>0</c:v>
                </c:pt>
                <c:pt idx="1">
                  <c:v>-34711.369295296427</c:v>
                </c:pt>
                <c:pt idx="2">
                  <c:v>-31059.984783353615</c:v>
                </c:pt>
                <c:pt idx="3" formatCode="0.00">
                  <c:v>0</c:v>
                </c:pt>
                <c:pt idx="4" formatCode="0.00">
                  <c:v>0</c:v>
                </c:pt>
                <c:pt idx="5">
                  <c:v>-12245.892810390749</c:v>
                </c:pt>
                <c:pt idx="6">
                  <c:v>-10827.067886805598</c:v>
                </c:pt>
                <c:pt idx="7" formatCode="0.00">
                  <c:v>0</c:v>
                </c:pt>
                <c:pt idx="8" formatCode="0.00">
                  <c:v>0</c:v>
                </c:pt>
                <c:pt idx="9">
                  <c:v>-10827.067886805598</c:v>
                </c:pt>
                <c:pt idx="10">
                  <c:v>-9408.2429632204457</c:v>
                </c:pt>
                <c:pt idx="11" formatCode="0.00">
                  <c:v>0</c:v>
                </c:pt>
                <c:pt idx="12" formatCode="0.00">
                  <c:v>0</c:v>
                </c:pt>
                <c:pt idx="13">
                  <c:v>-23757.215759467985</c:v>
                </c:pt>
                <c:pt idx="14">
                  <c:v>-20105.83124752517</c:v>
                </c:pt>
                <c:pt idx="15" formatCode="0.00">
                  <c:v>0</c:v>
                </c:pt>
                <c:pt idx="16" formatCode="0.00">
                  <c:v>0</c:v>
                </c:pt>
                <c:pt idx="17">
                  <c:v>-7989.4180396352904</c:v>
                </c:pt>
                <c:pt idx="18">
                  <c:v>-6570.5931160501377</c:v>
                </c:pt>
                <c:pt idx="19" formatCode="0.00">
                  <c:v>0</c:v>
                </c:pt>
                <c:pt idx="20" formatCode="0.00">
                  <c:v>0</c:v>
                </c:pt>
                <c:pt idx="21">
                  <c:v>-6570.5931160501377</c:v>
                </c:pt>
                <c:pt idx="22">
                  <c:v>-5151.7681924649851</c:v>
                </c:pt>
                <c:pt idx="23" formatCode="0.00">
                  <c:v>0</c:v>
                </c:pt>
                <c:pt idx="24" formatCode="0.00">
                  <c:v>0</c:v>
                </c:pt>
                <c:pt idx="25">
                  <c:v>-12803.062223639545</c:v>
                </c:pt>
                <c:pt idx="26">
                  <c:v>-9151.6777116967296</c:v>
                </c:pt>
                <c:pt idx="27" formatCode="0.00">
                  <c:v>0</c:v>
                </c:pt>
                <c:pt idx="28" formatCode="0.00">
                  <c:v>0</c:v>
                </c:pt>
                <c:pt idx="29">
                  <c:v>-9151.6777116967332</c:v>
                </c:pt>
                <c:pt idx="30">
                  <c:v>-5500.2931997539181</c:v>
                </c:pt>
                <c:pt idx="31" formatCode="0.00">
                  <c:v>0</c:v>
                </c:pt>
                <c:pt idx="32" formatCode="0.00">
                  <c:v>0</c:v>
                </c:pt>
                <c:pt idx="33">
                  <c:v>-2314.1183452946802</c:v>
                </c:pt>
                <c:pt idx="34">
                  <c:v>-895.29342170952657</c:v>
                </c:pt>
                <c:pt idx="35" formatCode="0.00">
                  <c:v>0</c:v>
                </c:pt>
                <c:pt idx="36" formatCode="0.00">
                  <c:v>0</c:v>
                </c:pt>
                <c:pt idx="37">
                  <c:v>-1848.9086878111095</c:v>
                </c:pt>
                <c:pt idx="38">
                  <c:v>1802.4758241317043</c:v>
                </c:pt>
                <c:pt idx="39" formatCode="0.00">
                  <c:v>0</c:v>
                </c:pt>
                <c:pt idx="40" formatCode="0.00">
                  <c:v>0</c:v>
                </c:pt>
                <c:pt idx="41">
                  <c:v>1802.4758241316983</c:v>
                </c:pt>
                <c:pt idx="42">
                  <c:v>5453.8603360745155</c:v>
                </c:pt>
                <c:pt idx="43" formatCode="0.00">
                  <c:v>0</c:v>
                </c:pt>
                <c:pt idx="44" formatCode="0.00">
                  <c:v>0</c:v>
                </c:pt>
                <c:pt idx="45">
                  <c:v>1942.3564254607772</c:v>
                </c:pt>
                <c:pt idx="46">
                  <c:v>3361.1813490459303</c:v>
                </c:pt>
                <c:pt idx="47" formatCode="0.00">
                  <c:v>0</c:v>
                </c:pt>
                <c:pt idx="48" formatCode="0.00">
                  <c:v>0</c:v>
                </c:pt>
                <c:pt idx="49">
                  <c:v>9105.2448480173243</c:v>
                </c:pt>
                <c:pt idx="50">
                  <c:v>12756.629359960138</c:v>
                </c:pt>
                <c:pt idx="51" formatCode="0.00">
                  <c:v>0</c:v>
                </c:pt>
                <c:pt idx="52" formatCode="0.00">
                  <c:v>0</c:v>
                </c:pt>
                <c:pt idx="53">
                  <c:v>12756.629359960132</c:v>
                </c:pt>
                <c:pt idx="54">
                  <c:v>16408.013871902949</c:v>
                </c:pt>
                <c:pt idx="55" formatCode="0.00">
                  <c:v>0</c:v>
                </c:pt>
                <c:pt idx="56" formatCode="0.00">
                  <c:v>0</c:v>
                </c:pt>
                <c:pt idx="57">
                  <c:v>6198.8311962162361</c:v>
                </c:pt>
                <c:pt idx="58">
                  <c:v>7617.6561198013906</c:v>
                </c:pt>
                <c:pt idx="59" formatCode="0.00">
                  <c:v>0</c:v>
                </c:pt>
                <c:pt idx="60" formatCode="0.00">
                  <c:v>0</c:v>
                </c:pt>
                <c:pt idx="61">
                  <c:v>7617.6561198013887</c:v>
                </c:pt>
                <c:pt idx="62">
                  <c:v>9036.4810433865423</c:v>
                </c:pt>
                <c:pt idx="63" formatCode="0.00">
                  <c:v>0</c:v>
                </c:pt>
                <c:pt idx="64" formatCode="0.00">
                  <c:v>0</c:v>
                </c:pt>
                <c:pt idx="65">
                  <c:v>23710.782895788576</c:v>
                </c:pt>
                <c:pt idx="66">
                  <c:v>27362.167407731391</c:v>
                </c:pt>
                <c:pt idx="67" formatCode="0.00">
                  <c:v>0</c:v>
                </c:pt>
                <c:pt idx="68" formatCode="0.00">
                  <c:v>0</c:v>
                </c:pt>
                <c:pt idx="69">
                  <c:v>10455.305966971693</c:v>
                </c:pt>
                <c:pt idx="70">
                  <c:v>11874.130890556844</c:v>
                </c:pt>
                <c:pt idx="71" formatCode="0.00">
                  <c:v>0</c:v>
                </c:pt>
                <c:pt idx="72" formatCode="0.00">
                  <c:v>0</c:v>
                </c:pt>
                <c:pt idx="73">
                  <c:v>11874.130890556844</c:v>
                </c:pt>
                <c:pt idx="74">
                  <c:v>13292.955814141998</c:v>
                </c:pt>
                <c:pt idx="75" formatCode="0.00">
                  <c:v>0</c:v>
                </c:pt>
                <c:pt idx="76" formatCode="0.00">
                  <c:v>0</c:v>
                </c:pt>
                <c:pt idx="77">
                  <c:v>34664.93643161701</c:v>
                </c:pt>
                <c:pt idx="78">
                  <c:v>38316.320943559818</c:v>
                </c:pt>
                <c:pt idx="79" formatCode="0.00">
                  <c:v>0</c:v>
                </c:pt>
                <c:pt idx="80" formatCode="0.00">
                  <c:v>0</c:v>
                </c:pt>
                <c:pt idx="81">
                  <c:v>0</c:v>
                </c:pt>
                <c:pt idx="82">
                  <c:v>0</c:v>
                </c:pt>
                <c:pt idx="83" formatCode="0.00">
                  <c:v>0</c:v>
                </c:pt>
                <c:pt idx="84" formatCode="0.00">
                  <c:v>0</c:v>
                </c:pt>
                <c:pt idx="85">
                  <c:v>0</c:v>
                </c:pt>
                <c:pt idx="86">
                  <c:v>0</c:v>
                </c:pt>
                <c:pt idx="87" formatCode="0.00">
                  <c:v>0</c:v>
                </c:pt>
                <c:pt idx="88" formatCode="0.00">
                  <c:v>0</c:v>
                </c:pt>
                <c:pt idx="89">
                  <c:v>0</c:v>
                </c:pt>
                <c:pt idx="90">
                  <c:v>0</c:v>
                </c:pt>
                <c:pt idx="91" formatCode="0.00">
                  <c:v>0</c:v>
                </c:pt>
                <c:pt idx="92" formatCode="0.00">
                  <c:v>0</c:v>
                </c:pt>
                <c:pt idx="93">
                  <c:v>0</c:v>
                </c:pt>
                <c:pt idx="94">
                  <c:v>0</c:v>
                </c:pt>
                <c:pt idx="95" formatCode="0.00">
                  <c:v>0</c:v>
                </c:pt>
                <c:pt idx="96" formatCode="0.00">
                  <c:v>0</c:v>
                </c:pt>
                <c:pt idx="97">
                  <c:v>0</c:v>
                </c:pt>
                <c:pt idx="98">
                  <c:v>0</c:v>
                </c:pt>
                <c:pt idx="99" formatCode="0.00">
                  <c:v>0</c:v>
                </c:pt>
                <c:pt idx="100" formatCode="0.00">
                  <c:v>0</c:v>
                </c:pt>
                <c:pt idx="101">
                  <c:v>0</c:v>
                </c:pt>
                <c:pt idx="102">
                  <c:v>0</c:v>
                </c:pt>
                <c:pt idx="103" formatCode="0.00">
                  <c:v>0</c:v>
                </c:pt>
                <c:pt idx="104" formatCode="0.00">
                  <c:v>0</c:v>
                </c:pt>
                <c:pt idx="105">
                  <c:v>0</c:v>
                </c:pt>
                <c:pt idx="106">
                  <c:v>0</c:v>
                </c:pt>
                <c:pt idx="107" formatCode="0.00">
                  <c:v>0</c:v>
                </c:pt>
                <c:pt idx="108" formatCode="0.00">
                  <c:v>0</c:v>
                </c:pt>
                <c:pt idx="109">
                  <c:v>0</c:v>
                </c:pt>
                <c:pt idx="110">
                  <c:v>0</c:v>
                </c:pt>
                <c:pt idx="111" formatCode="0.00">
                  <c:v>0</c:v>
                </c:pt>
                <c:pt idx="112" formatCode="0.00">
                  <c:v>0</c:v>
                </c:pt>
                <c:pt idx="113">
                  <c:v>0</c:v>
                </c:pt>
                <c:pt idx="114">
                  <c:v>0</c:v>
                </c:pt>
                <c:pt idx="115" formatCode="0.00">
                  <c:v>0</c:v>
                </c:pt>
                <c:pt idx="116" formatCode="0.00">
                  <c:v>0</c:v>
                </c:pt>
                <c:pt idx="117">
                  <c:v>0</c:v>
                </c:pt>
                <c:pt idx="118">
                  <c:v>0</c:v>
                </c:pt>
                <c:pt idx="119" formatCode="0.00">
                  <c:v>0</c:v>
                </c:pt>
                <c:pt idx="120" formatCode="0.00">
                  <c:v>0</c:v>
                </c:pt>
                <c:pt idx="121">
                  <c:v>0</c:v>
                </c:pt>
                <c:pt idx="122">
                  <c:v>0</c:v>
                </c:pt>
                <c:pt idx="123" formatCode="0.00">
                  <c:v>0</c:v>
                </c:pt>
                <c:pt idx="124" formatCode="0.00">
                  <c:v>0</c:v>
                </c:pt>
                <c:pt idx="125">
                  <c:v>0</c:v>
                </c:pt>
                <c:pt idx="126">
                  <c:v>0</c:v>
                </c:pt>
                <c:pt idx="127" formatCode="0.00">
                  <c:v>0</c:v>
                </c:pt>
                <c:pt idx="128" formatCode="0.00">
                  <c:v>0</c:v>
                </c:pt>
                <c:pt idx="129">
                  <c:v>0</c:v>
                </c:pt>
                <c:pt idx="130">
                  <c:v>0</c:v>
                </c:pt>
                <c:pt idx="131" formatCode="0.00">
                  <c:v>0</c:v>
                </c:pt>
                <c:pt idx="132" formatCode="0.00">
                  <c:v>0</c:v>
                </c:pt>
                <c:pt idx="133">
                  <c:v>0</c:v>
                </c:pt>
                <c:pt idx="134">
                  <c:v>0</c:v>
                </c:pt>
                <c:pt idx="135" formatCode="0.00">
                  <c:v>0</c:v>
                </c:pt>
                <c:pt idx="136" formatCode="0.00">
                  <c:v>0</c:v>
                </c:pt>
                <c:pt idx="137">
                  <c:v>0</c:v>
                </c:pt>
                <c:pt idx="138">
                  <c:v>0</c:v>
                </c:pt>
                <c:pt idx="139" formatCode="0.00">
                  <c:v>0</c:v>
                </c:pt>
              </c:numCache>
            </c:numRef>
          </c:xVal>
          <c:yVal>
            <c:numRef>
              <c:f>Report!$FV$16:$FV$155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1-8654-419F-8AE1-A42B0ECBA800}"/>
            </c:ext>
          </c:extLst>
        </c:ser>
        <c:ser>
          <c:idx val="2"/>
          <c:order val="2"/>
          <c:spPr>
            <a:ln w="12700">
              <a:solidFill>
                <a:schemeClr val="tx1"/>
              </a:solidFill>
              <a:prstDash val="dash"/>
            </a:ln>
          </c:spPr>
          <c:marker>
            <c:symbol val="none"/>
          </c:marker>
          <c:xVal>
            <c:numRef>
              <c:f>Report!$GK$16:$GK$155</c:f>
              <c:numCache>
                <c:formatCode>0.0</c:formatCode>
                <c:ptCount val="140"/>
                <c:pt idx="0" formatCode="0.00">
                  <c:v>0</c:v>
                </c:pt>
                <c:pt idx="1">
                  <c:v>36639.007256993616</c:v>
                </c:pt>
                <c:pt idx="2">
                  <c:v>32874.324870735545</c:v>
                </c:pt>
                <c:pt idx="3" formatCode="0.00">
                  <c:v>0</c:v>
                </c:pt>
                <c:pt idx="4" formatCode="0.00">
                  <c:v>0</c:v>
                </c:pt>
                <c:pt idx="5">
                  <c:v>5062.101292000626</c:v>
                </c:pt>
                <c:pt idx="6">
                  <c:v>4482.4025865098374</c:v>
                </c:pt>
                <c:pt idx="7" formatCode="0.00">
                  <c:v>0</c:v>
                </c:pt>
                <c:pt idx="8" formatCode="0.00">
                  <c:v>0</c:v>
                </c:pt>
                <c:pt idx="9">
                  <c:v>4482.4025865098374</c:v>
                </c:pt>
                <c:pt idx="10">
                  <c:v>3902.7038810190484</c:v>
                </c:pt>
                <c:pt idx="11" formatCode="0.00">
                  <c:v>0</c:v>
                </c:pt>
                <c:pt idx="12" formatCode="0.00">
                  <c:v>0</c:v>
                </c:pt>
                <c:pt idx="13">
                  <c:v>25344.960098219377</c:v>
                </c:pt>
                <c:pt idx="14">
                  <c:v>21580.277711961295</c:v>
                </c:pt>
                <c:pt idx="15" formatCode="0.00">
                  <c:v>0</c:v>
                </c:pt>
                <c:pt idx="16" formatCode="0.00">
                  <c:v>0</c:v>
                </c:pt>
                <c:pt idx="17">
                  <c:v>3323.0051755282598</c:v>
                </c:pt>
                <c:pt idx="18">
                  <c:v>2743.3064700374707</c:v>
                </c:pt>
                <c:pt idx="19" formatCode="0.00">
                  <c:v>0</c:v>
                </c:pt>
                <c:pt idx="20" formatCode="0.00">
                  <c:v>0</c:v>
                </c:pt>
                <c:pt idx="21">
                  <c:v>2743.3064700374707</c:v>
                </c:pt>
                <c:pt idx="22">
                  <c:v>2163.6077645466817</c:v>
                </c:pt>
                <c:pt idx="23" formatCode="0.00">
                  <c:v>0</c:v>
                </c:pt>
                <c:pt idx="24" formatCode="0.00">
                  <c:v>0</c:v>
                </c:pt>
                <c:pt idx="25">
                  <c:v>14050.91293944513</c:v>
                </c:pt>
                <c:pt idx="26">
                  <c:v>10286.230553187048</c:v>
                </c:pt>
                <c:pt idx="27" formatCode="0.00">
                  <c:v>0</c:v>
                </c:pt>
                <c:pt idx="28" formatCode="0.00">
                  <c:v>0</c:v>
                </c:pt>
                <c:pt idx="29">
                  <c:v>10286.230553187052</c:v>
                </c:pt>
                <c:pt idx="30">
                  <c:v>6521.5481669289684</c:v>
                </c:pt>
                <c:pt idx="31" formatCode="0.00">
                  <c:v>0</c:v>
                </c:pt>
                <c:pt idx="32" formatCode="0.00">
                  <c:v>0</c:v>
                </c:pt>
                <c:pt idx="33">
                  <c:v>1004.2103535651049</c:v>
                </c:pt>
                <c:pt idx="34">
                  <c:v>424.5116480743161</c:v>
                </c:pt>
                <c:pt idx="35" formatCode="0.00">
                  <c:v>0</c:v>
                </c:pt>
                <c:pt idx="36" formatCode="0.00">
                  <c:v>0</c:v>
                </c:pt>
                <c:pt idx="37">
                  <c:v>2756.8657806708916</c:v>
                </c:pt>
                <c:pt idx="38">
                  <c:v>-1007.8166055871901</c:v>
                </c:pt>
                <c:pt idx="39" formatCode="0.00">
                  <c:v>0</c:v>
                </c:pt>
                <c:pt idx="40" formatCode="0.00">
                  <c:v>0</c:v>
                </c:pt>
                <c:pt idx="41">
                  <c:v>-1007.8166055871841</c:v>
                </c:pt>
                <c:pt idx="42">
                  <c:v>-4772.4989918452702</c:v>
                </c:pt>
                <c:pt idx="43" formatCode="0.00">
                  <c:v>0</c:v>
                </c:pt>
                <c:pt idx="44" formatCode="0.00">
                  <c:v>0</c:v>
                </c:pt>
                <c:pt idx="45">
                  <c:v>-734.88576290726041</c:v>
                </c:pt>
                <c:pt idx="46">
                  <c:v>-1314.5844683980492</c:v>
                </c:pt>
                <c:pt idx="47" formatCode="0.00">
                  <c:v>0</c:v>
                </c:pt>
                <c:pt idx="48" formatCode="0.00">
                  <c:v>0</c:v>
                </c:pt>
                <c:pt idx="49">
                  <c:v>-8537.1813781033452</c:v>
                </c:pt>
                <c:pt idx="50">
                  <c:v>-12301.863764361429</c:v>
                </c:pt>
                <c:pt idx="51" formatCode="0.00">
                  <c:v>0</c:v>
                </c:pt>
                <c:pt idx="52" formatCode="0.00">
                  <c:v>0</c:v>
                </c:pt>
                <c:pt idx="53">
                  <c:v>-12301.863764361426</c:v>
                </c:pt>
                <c:pt idx="54">
                  <c:v>-16066.546150619508</c:v>
                </c:pt>
                <c:pt idx="55" formatCode="0.00">
                  <c:v>0</c:v>
                </c:pt>
                <c:pt idx="56" formatCode="0.00">
                  <c:v>0</c:v>
                </c:pt>
                <c:pt idx="57">
                  <c:v>-2473.9818793796267</c:v>
                </c:pt>
                <c:pt idx="58">
                  <c:v>-3053.6805848704153</c:v>
                </c:pt>
                <c:pt idx="59" formatCode="0.00">
                  <c:v>0</c:v>
                </c:pt>
                <c:pt idx="60" formatCode="0.00">
                  <c:v>0</c:v>
                </c:pt>
                <c:pt idx="61">
                  <c:v>-3053.6805848704148</c:v>
                </c:pt>
                <c:pt idx="62">
                  <c:v>-3633.3792903612039</c:v>
                </c:pt>
                <c:pt idx="63" formatCode="0.00">
                  <c:v>0</c:v>
                </c:pt>
                <c:pt idx="64" formatCode="0.00">
                  <c:v>0</c:v>
                </c:pt>
                <c:pt idx="65">
                  <c:v>-23595.910923135671</c:v>
                </c:pt>
                <c:pt idx="66">
                  <c:v>-27360.593309393753</c:v>
                </c:pt>
                <c:pt idx="67" formatCode="0.00">
                  <c:v>0</c:v>
                </c:pt>
                <c:pt idx="68" formatCode="0.00">
                  <c:v>0</c:v>
                </c:pt>
                <c:pt idx="69">
                  <c:v>-4213.0779958519915</c:v>
                </c:pt>
                <c:pt idx="70">
                  <c:v>-4792.7767013427811</c:v>
                </c:pt>
                <c:pt idx="71" formatCode="0.00">
                  <c:v>0</c:v>
                </c:pt>
                <c:pt idx="72" formatCode="0.00">
                  <c:v>0</c:v>
                </c:pt>
                <c:pt idx="73">
                  <c:v>-4792.7767013427811</c:v>
                </c:pt>
                <c:pt idx="74">
                  <c:v>-5372.4754068335697</c:v>
                </c:pt>
                <c:pt idx="75" formatCode="0.00">
                  <c:v>0</c:v>
                </c:pt>
                <c:pt idx="76" formatCode="0.00">
                  <c:v>0</c:v>
                </c:pt>
                <c:pt idx="77">
                  <c:v>-34889.958081909914</c:v>
                </c:pt>
                <c:pt idx="78">
                  <c:v>-38654.640468167985</c:v>
                </c:pt>
                <c:pt idx="79" formatCode="0.00">
                  <c:v>0</c:v>
                </c:pt>
                <c:pt idx="80" formatCode="0.00">
                  <c:v>0</c:v>
                </c:pt>
                <c:pt idx="81">
                  <c:v>0</c:v>
                </c:pt>
                <c:pt idx="82">
                  <c:v>0</c:v>
                </c:pt>
                <c:pt idx="83" formatCode="0.00">
                  <c:v>0</c:v>
                </c:pt>
                <c:pt idx="84" formatCode="0.00">
                  <c:v>0</c:v>
                </c:pt>
                <c:pt idx="85">
                  <c:v>0</c:v>
                </c:pt>
                <c:pt idx="86">
                  <c:v>0</c:v>
                </c:pt>
                <c:pt idx="87" formatCode="0.00">
                  <c:v>0</c:v>
                </c:pt>
                <c:pt idx="88" formatCode="0.00">
                  <c:v>0</c:v>
                </c:pt>
                <c:pt idx="89">
                  <c:v>0</c:v>
                </c:pt>
                <c:pt idx="90">
                  <c:v>0</c:v>
                </c:pt>
                <c:pt idx="91" formatCode="0.00">
                  <c:v>0</c:v>
                </c:pt>
                <c:pt idx="92" formatCode="0.00">
                  <c:v>0</c:v>
                </c:pt>
                <c:pt idx="93">
                  <c:v>0</c:v>
                </c:pt>
                <c:pt idx="94">
                  <c:v>0</c:v>
                </c:pt>
                <c:pt idx="95" formatCode="0.00">
                  <c:v>0</c:v>
                </c:pt>
                <c:pt idx="96" formatCode="0.00">
                  <c:v>0</c:v>
                </c:pt>
                <c:pt idx="97">
                  <c:v>0</c:v>
                </c:pt>
                <c:pt idx="98">
                  <c:v>0</c:v>
                </c:pt>
                <c:pt idx="99" formatCode="0.00">
                  <c:v>0</c:v>
                </c:pt>
                <c:pt idx="100" formatCode="0.00">
                  <c:v>0</c:v>
                </c:pt>
                <c:pt idx="101">
                  <c:v>0</c:v>
                </c:pt>
                <c:pt idx="102">
                  <c:v>0</c:v>
                </c:pt>
                <c:pt idx="103" formatCode="0.00">
                  <c:v>0</c:v>
                </c:pt>
                <c:pt idx="104" formatCode="0.00">
                  <c:v>0</c:v>
                </c:pt>
                <c:pt idx="105">
                  <c:v>0</c:v>
                </c:pt>
                <c:pt idx="106">
                  <c:v>0</c:v>
                </c:pt>
                <c:pt idx="107" formatCode="0.00">
                  <c:v>0</c:v>
                </c:pt>
                <c:pt idx="108" formatCode="0.00">
                  <c:v>0</c:v>
                </c:pt>
                <c:pt idx="109">
                  <c:v>0</c:v>
                </c:pt>
                <c:pt idx="110">
                  <c:v>0</c:v>
                </c:pt>
                <c:pt idx="111" formatCode="0.00">
                  <c:v>0</c:v>
                </c:pt>
                <c:pt idx="112" formatCode="0.00">
                  <c:v>0</c:v>
                </c:pt>
                <c:pt idx="113">
                  <c:v>0</c:v>
                </c:pt>
                <c:pt idx="114">
                  <c:v>0</c:v>
                </c:pt>
                <c:pt idx="115" formatCode="0.00">
                  <c:v>0</c:v>
                </c:pt>
                <c:pt idx="116" formatCode="0.00">
                  <c:v>0</c:v>
                </c:pt>
                <c:pt idx="117">
                  <c:v>0</c:v>
                </c:pt>
                <c:pt idx="118">
                  <c:v>0</c:v>
                </c:pt>
                <c:pt idx="119" formatCode="0.00">
                  <c:v>0</c:v>
                </c:pt>
                <c:pt idx="120" formatCode="0.00">
                  <c:v>0</c:v>
                </c:pt>
                <c:pt idx="121">
                  <c:v>0</c:v>
                </c:pt>
                <c:pt idx="122">
                  <c:v>0</c:v>
                </c:pt>
                <c:pt idx="123" formatCode="0.00">
                  <c:v>0</c:v>
                </c:pt>
                <c:pt idx="124" formatCode="0.00">
                  <c:v>0</c:v>
                </c:pt>
                <c:pt idx="125">
                  <c:v>0</c:v>
                </c:pt>
                <c:pt idx="126">
                  <c:v>0</c:v>
                </c:pt>
                <c:pt idx="127" formatCode="0.00">
                  <c:v>0</c:v>
                </c:pt>
                <c:pt idx="128" formatCode="0.00">
                  <c:v>0</c:v>
                </c:pt>
                <c:pt idx="129">
                  <c:v>0</c:v>
                </c:pt>
                <c:pt idx="130">
                  <c:v>0</c:v>
                </c:pt>
                <c:pt idx="131" formatCode="0.00">
                  <c:v>0</c:v>
                </c:pt>
                <c:pt idx="132" formatCode="0.00">
                  <c:v>0</c:v>
                </c:pt>
                <c:pt idx="133">
                  <c:v>0</c:v>
                </c:pt>
                <c:pt idx="134">
                  <c:v>0</c:v>
                </c:pt>
                <c:pt idx="135" formatCode="0.00">
                  <c:v>0</c:v>
                </c:pt>
                <c:pt idx="136" formatCode="0.00">
                  <c:v>0</c:v>
                </c:pt>
                <c:pt idx="137">
                  <c:v>0</c:v>
                </c:pt>
                <c:pt idx="138">
                  <c:v>0</c:v>
                </c:pt>
                <c:pt idx="139" formatCode="0.00">
                  <c:v>0</c:v>
                </c:pt>
              </c:numCache>
            </c:numRef>
          </c:xVal>
          <c:yVal>
            <c:numRef>
              <c:f>Report!$GE$16:$GE$155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2-8654-419F-8AE1-A42B0ECBA800}"/>
            </c:ext>
          </c:extLst>
        </c:ser>
        <c:dLbls>
          <c:showLegendKey val="0"/>
          <c:showVal val="0"/>
          <c:showCatName val="0"/>
          <c:showSerName val="0"/>
          <c:showPercent val="0"/>
          <c:showBubbleSize val="0"/>
        </c:dLbls>
        <c:axId val="806428736"/>
        <c:axId val="806429520"/>
      </c:scatterChart>
      <c:valAx>
        <c:axId val="806428736"/>
        <c:scaling>
          <c:orientation val="minMax"/>
        </c:scaling>
        <c:delete val="0"/>
        <c:axPos val="b"/>
        <c:title>
          <c:tx>
            <c:rich>
              <a:bodyPr/>
              <a:lstStyle/>
              <a:p>
                <a:pPr>
                  <a:defRPr/>
                </a:pPr>
                <a:r>
                  <a:rPr lang="en-US"/>
                  <a:t>Stress (Mpa)</a:t>
                </a:r>
              </a:p>
            </c:rich>
          </c:tx>
          <c:layout>
            <c:manualLayout>
              <c:xMode val="edge"/>
              <c:yMode val="edge"/>
              <c:x val="0.3925447684690383"/>
              <c:y val="0.92681136597055813"/>
            </c:manualLayout>
          </c:layout>
          <c:overlay val="0"/>
        </c:title>
        <c:numFmt formatCode="0.0" sourceLinked="1"/>
        <c:majorTickMark val="out"/>
        <c:minorTickMark val="none"/>
        <c:tickLblPos val="nextTo"/>
        <c:crossAx val="806429520"/>
        <c:crosses val="autoZero"/>
        <c:crossBetween val="midCat"/>
      </c:valAx>
      <c:valAx>
        <c:axId val="806429520"/>
        <c:scaling>
          <c:orientation val="minMax"/>
        </c:scaling>
        <c:delete val="0"/>
        <c:axPos val="l"/>
        <c:majorGridlines/>
        <c:title>
          <c:tx>
            <c:rich>
              <a:bodyPr rot="-5400000" vert="horz"/>
              <a:lstStyle/>
              <a:p>
                <a:pPr>
                  <a:defRPr/>
                </a:pPr>
                <a:r>
                  <a:rPr lang="en-US"/>
                  <a:t>Thickness (in)</a:t>
                </a:r>
              </a:p>
            </c:rich>
          </c:tx>
          <c:layout>
            <c:manualLayout>
              <c:xMode val="edge"/>
              <c:yMode val="edge"/>
              <c:x val="1.5692775245199633E-3"/>
              <c:y val="0.34556293506789915"/>
            </c:manualLayout>
          </c:layout>
          <c:overlay val="0"/>
        </c:title>
        <c:numFmt formatCode="0.0" sourceLinked="0"/>
        <c:majorTickMark val="out"/>
        <c:minorTickMark val="none"/>
        <c:tickLblPos val="nextTo"/>
        <c:crossAx val="806428736"/>
        <c:crosses val="autoZero"/>
        <c:crossBetween val="midCat"/>
      </c:valAx>
    </c:plotArea>
    <c:plotVisOnly val="1"/>
    <c:dispBlanksAs val="gap"/>
    <c:showDLblsOverMax val="0"/>
  </c:chart>
  <c:spPr>
    <a:ln>
      <a:noFill/>
    </a:ln>
  </c:spPr>
  <c:txPr>
    <a:bodyPr/>
    <a:lstStyle/>
    <a:p>
      <a:pPr>
        <a:defRPr sz="1000">
          <a:latin typeface="+mn-lt"/>
          <a:cs typeface="Arial" pitchFamily="34" charset="0"/>
        </a:defRPr>
      </a:pPr>
      <a:endParaRPr lang="en-US"/>
    </a:p>
  </c:txPr>
  <c:printSettings>
    <c:headerFooter/>
    <c:pageMargins b="0.75000000000000089" l="0.70000000000000062" r="0.70000000000000062" t="0.750000000000000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MS Summary Failure Criteria</a:t>
            </a:r>
          </a:p>
        </c:rich>
      </c:tx>
      <c:overlay val="0"/>
    </c:title>
    <c:autoTitleDeleted val="0"/>
    <c:plotArea>
      <c:layout>
        <c:manualLayout>
          <c:layoutTarget val="inner"/>
          <c:xMode val="edge"/>
          <c:yMode val="edge"/>
          <c:x val="0.20778767025816594"/>
          <c:y val="0.14233020344388755"/>
          <c:w val="0.59495968764261442"/>
          <c:h val="0.72833472234926022"/>
        </c:manualLayout>
      </c:layout>
      <c:scatterChart>
        <c:scatterStyle val="lineMarker"/>
        <c:varyColors val="0"/>
        <c:ser>
          <c:idx val="0"/>
          <c:order val="0"/>
          <c:tx>
            <c:v>Hill</c:v>
          </c:tx>
          <c:spPr>
            <a:ln w="12700">
              <a:solidFill>
                <a:schemeClr val="tx1">
                  <a:lumMod val="95000"/>
                  <a:lumOff val="5000"/>
                </a:schemeClr>
              </a:solidFill>
            </a:ln>
          </c:spPr>
          <c:marker>
            <c:symbol val="none"/>
          </c:marker>
          <c:xVal>
            <c:numRef>
              <c:f>Report!$GO$16:$GO$155</c:f>
              <c:numCache>
                <c:formatCode>0%</c:formatCode>
                <c:ptCount val="140"/>
                <c:pt idx="1">
                  <c:v>-0.70381945832433135</c:v>
                </c:pt>
                <c:pt idx="2">
                  <c:v>-0.70381945832433135</c:v>
                </c:pt>
                <c:pt idx="5">
                  <c:v>-8.724180854414354E-2</c:v>
                </c:pt>
                <c:pt idx="6">
                  <c:v>-8.724180854414354E-2</c:v>
                </c:pt>
                <c:pt idx="9">
                  <c:v>3.43671758300792E-2</c:v>
                </c:pt>
                <c:pt idx="10">
                  <c:v>3.43671758300792E-2</c:v>
                </c:pt>
                <c:pt idx="13">
                  <c:v>-0.57157544998894472</c:v>
                </c:pt>
                <c:pt idx="14">
                  <c:v>-0.57157544998894472</c:v>
                </c:pt>
                <c:pt idx="17">
                  <c:v>0.41008782698486135</c:v>
                </c:pt>
                <c:pt idx="18">
                  <c:v>0.41008782698486135</c:v>
                </c:pt>
                <c:pt idx="21">
                  <c:v>0.7229854621844698</c:v>
                </c:pt>
                <c:pt idx="22">
                  <c:v>0.7229854621844698</c:v>
                </c:pt>
                <c:pt idx="25">
                  <c:v>-0.22599822385431556</c:v>
                </c:pt>
                <c:pt idx="26">
                  <c:v>-0.22599822385431556</c:v>
                </c:pt>
                <c:pt idx="29">
                  <c:v>5.8609244707396035E-2</c:v>
                </c:pt>
                <c:pt idx="30">
                  <c:v>5.8609244707396035E-2</c:v>
                </c:pt>
                <c:pt idx="33">
                  <c:v>4.14776417444416</c:v>
                </c:pt>
                <c:pt idx="34">
                  <c:v>4.14776417444416</c:v>
                </c:pt>
                <c:pt idx="37">
                  <c:v>2.8969992664450368</c:v>
                </c:pt>
                <c:pt idx="38">
                  <c:v>2.8969992664450368</c:v>
                </c:pt>
                <c:pt idx="41">
                  <c:v>1.2442439401993912</c:v>
                </c:pt>
                <c:pt idx="42">
                  <c:v>1.2442439401993912</c:v>
                </c:pt>
                <c:pt idx="45">
                  <c:v>2.1076488301756413</c:v>
                </c:pt>
                <c:pt idx="46">
                  <c:v>2.1076488301756413</c:v>
                </c:pt>
                <c:pt idx="49">
                  <c:v>-0.12291462570414569</c:v>
                </c:pt>
                <c:pt idx="50">
                  <c:v>-0.12291462570414569</c:v>
                </c:pt>
                <c:pt idx="53">
                  <c:v>-0.32773362286661467</c:v>
                </c:pt>
                <c:pt idx="54">
                  <c:v>-0.32773362286661467</c:v>
                </c:pt>
                <c:pt idx="57">
                  <c:v>0.4122725231141211</c:v>
                </c:pt>
                <c:pt idx="58">
                  <c:v>0.4122725231141211</c:v>
                </c:pt>
                <c:pt idx="61">
                  <c:v>0.19492106913437524</c:v>
                </c:pt>
                <c:pt idx="62">
                  <c:v>0.19492106913437524</c:v>
                </c:pt>
                <c:pt idx="65">
                  <c:v>-0.60469070532983937</c:v>
                </c:pt>
                <c:pt idx="66">
                  <c:v>-0.60469070532983937</c:v>
                </c:pt>
                <c:pt idx="69">
                  <c:v>-8.6326810275440646E-2</c:v>
                </c:pt>
                <c:pt idx="70">
                  <c:v>-8.6326810275440646E-2</c:v>
                </c:pt>
                <c:pt idx="73">
                  <c:v>-0.18253326658530811</c:v>
                </c:pt>
                <c:pt idx="74">
                  <c:v>-0.18253326658530811</c:v>
                </c:pt>
                <c:pt idx="77">
                  <c:v>-0.72003332113961616</c:v>
                </c:pt>
                <c:pt idx="78">
                  <c:v>-0.72003332113961616</c:v>
                </c:pt>
                <c:pt idx="81">
                  <c:v>0</c:v>
                </c:pt>
                <c:pt idx="82">
                  <c:v>0</c:v>
                </c:pt>
                <c:pt idx="85">
                  <c:v>0</c:v>
                </c:pt>
                <c:pt idx="86">
                  <c:v>0</c:v>
                </c:pt>
                <c:pt idx="89">
                  <c:v>0</c:v>
                </c:pt>
                <c:pt idx="90">
                  <c:v>0</c:v>
                </c:pt>
                <c:pt idx="93">
                  <c:v>0</c:v>
                </c:pt>
                <c:pt idx="94">
                  <c:v>0</c:v>
                </c:pt>
                <c:pt idx="97">
                  <c:v>0</c:v>
                </c:pt>
                <c:pt idx="98">
                  <c:v>0</c:v>
                </c:pt>
                <c:pt idx="101">
                  <c:v>0</c:v>
                </c:pt>
                <c:pt idx="102">
                  <c:v>0</c:v>
                </c:pt>
                <c:pt idx="105">
                  <c:v>0</c:v>
                </c:pt>
                <c:pt idx="106">
                  <c:v>0</c:v>
                </c:pt>
                <c:pt idx="109">
                  <c:v>0</c:v>
                </c:pt>
                <c:pt idx="110">
                  <c:v>0</c:v>
                </c:pt>
                <c:pt idx="113">
                  <c:v>0</c:v>
                </c:pt>
                <c:pt idx="114">
                  <c:v>0</c:v>
                </c:pt>
                <c:pt idx="117">
                  <c:v>0</c:v>
                </c:pt>
                <c:pt idx="118">
                  <c:v>0</c:v>
                </c:pt>
                <c:pt idx="121">
                  <c:v>0</c:v>
                </c:pt>
                <c:pt idx="122">
                  <c:v>0</c:v>
                </c:pt>
                <c:pt idx="125">
                  <c:v>0</c:v>
                </c:pt>
                <c:pt idx="126">
                  <c:v>0</c:v>
                </c:pt>
                <c:pt idx="129">
                  <c:v>0</c:v>
                </c:pt>
                <c:pt idx="130">
                  <c:v>0</c:v>
                </c:pt>
                <c:pt idx="133">
                  <c:v>0</c:v>
                </c:pt>
                <c:pt idx="134">
                  <c:v>0</c:v>
                </c:pt>
                <c:pt idx="137">
                  <c:v>0</c:v>
                </c:pt>
                <c:pt idx="138">
                  <c:v>0</c:v>
                </c:pt>
              </c:numCache>
            </c:numRef>
          </c:xVal>
          <c:yVal>
            <c:numRef>
              <c:f>Report!$FT$16:$FT$155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0-6FAE-4EBE-81AF-57B90BBD7F8F}"/>
            </c:ext>
          </c:extLst>
        </c:ser>
        <c:ser>
          <c:idx val="1"/>
          <c:order val="1"/>
          <c:tx>
            <c:v>Extended Hill</c:v>
          </c:tx>
          <c:spPr>
            <a:ln w="12700">
              <a:solidFill>
                <a:schemeClr val="bg1">
                  <a:lumMod val="50000"/>
                </a:schemeClr>
              </a:solidFill>
            </a:ln>
          </c:spPr>
          <c:marker>
            <c:symbol val="none"/>
          </c:marker>
          <c:xVal>
            <c:numRef>
              <c:f>Report!$GP$16:$GP$155</c:f>
              <c:numCache>
                <c:formatCode>0%</c:formatCode>
                <c:ptCount val="140"/>
                <c:pt idx="1">
                  <c:v>-0.70326764939975339</c:v>
                </c:pt>
                <c:pt idx="2">
                  <c:v>-0.70326764939975339</c:v>
                </c:pt>
                <c:pt idx="5">
                  <c:v>-7.9539271028438052E-2</c:v>
                </c:pt>
                <c:pt idx="6">
                  <c:v>-7.9539271028438052E-2</c:v>
                </c:pt>
                <c:pt idx="9">
                  <c:v>4.3108118703523157E-2</c:v>
                </c:pt>
                <c:pt idx="10">
                  <c:v>4.3108118703523157E-2</c:v>
                </c:pt>
                <c:pt idx="13">
                  <c:v>-0.57079371335286244</c:v>
                </c:pt>
                <c:pt idx="14">
                  <c:v>-0.57079371335286244</c:v>
                </c:pt>
                <c:pt idx="17">
                  <c:v>0.42205451288795293</c:v>
                </c:pt>
                <c:pt idx="18">
                  <c:v>0.42205451288795293</c:v>
                </c:pt>
                <c:pt idx="21">
                  <c:v>0.73765832342631743</c:v>
                </c:pt>
                <c:pt idx="22">
                  <c:v>0.73765832342631743</c:v>
                </c:pt>
                <c:pt idx="25">
                  <c:v>-0.22466221421805432</c:v>
                </c:pt>
                <c:pt idx="26">
                  <c:v>-0.22466221421805432</c:v>
                </c:pt>
                <c:pt idx="29">
                  <c:v>6.0352643504010484E-2</c:v>
                </c:pt>
                <c:pt idx="30">
                  <c:v>6.0352643504010484E-2</c:v>
                </c:pt>
                <c:pt idx="33">
                  <c:v>4.1931136536222287</c:v>
                </c:pt>
                <c:pt idx="34">
                  <c:v>4.1931136536222287</c:v>
                </c:pt>
                <c:pt idx="37">
                  <c:v>2.9497549215654626</c:v>
                </c:pt>
                <c:pt idx="38">
                  <c:v>2.9497549215654626</c:v>
                </c:pt>
                <c:pt idx="41">
                  <c:v>1.3023133187141864</c:v>
                </c:pt>
                <c:pt idx="42">
                  <c:v>1.3023133187141864</c:v>
                </c:pt>
                <c:pt idx="45">
                  <c:v>3.6982434481351882</c:v>
                </c:pt>
                <c:pt idx="46">
                  <c:v>3.6982434481351882</c:v>
                </c:pt>
                <c:pt idx="49">
                  <c:v>-0.1042194241060993</c:v>
                </c:pt>
                <c:pt idx="50">
                  <c:v>-0.1042194241060993</c:v>
                </c:pt>
                <c:pt idx="53">
                  <c:v>-0.31383696292188745</c:v>
                </c:pt>
                <c:pt idx="54">
                  <c:v>-0.31383696292188745</c:v>
                </c:pt>
                <c:pt idx="57">
                  <c:v>1.111949596111272</c:v>
                </c:pt>
                <c:pt idx="58">
                  <c:v>1.111949596111272</c:v>
                </c:pt>
                <c:pt idx="61">
                  <c:v>0.7843847629400329</c:v>
                </c:pt>
                <c:pt idx="62">
                  <c:v>0.7843847629400329</c:v>
                </c:pt>
                <c:pt idx="65">
                  <c:v>-0.5968568645096215</c:v>
                </c:pt>
                <c:pt idx="66">
                  <c:v>-0.5968568645096215</c:v>
                </c:pt>
                <c:pt idx="69">
                  <c:v>0.36188614148996257</c:v>
                </c:pt>
                <c:pt idx="70">
                  <c:v>0.36188614148996257</c:v>
                </c:pt>
                <c:pt idx="73">
                  <c:v>0.21771570534597906</c:v>
                </c:pt>
                <c:pt idx="74">
                  <c:v>0.21771570534597906</c:v>
                </c:pt>
                <c:pt idx="77">
                  <c:v>-0.71458330929133007</c:v>
                </c:pt>
                <c:pt idx="78">
                  <c:v>-0.71458330929133007</c:v>
                </c:pt>
                <c:pt idx="81">
                  <c:v>0</c:v>
                </c:pt>
                <c:pt idx="82">
                  <c:v>0</c:v>
                </c:pt>
                <c:pt idx="85">
                  <c:v>0</c:v>
                </c:pt>
                <c:pt idx="86">
                  <c:v>0</c:v>
                </c:pt>
                <c:pt idx="89">
                  <c:v>0</c:v>
                </c:pt>
                <c:pt idx="90">
                  <c:v>0</c:v>
                </c:pt>
                <c:pt idx="93">
                  <c:v>0</c:v>
                </c:pt>
                <c:pt idx="94">
                  <c:v>0</c:v>
                </c:pt>
                <c:pt idx="97">
                  <c:v>0</c:v>
                </c:pt>
                <c:pt idx="98">
                  <c:v>0</c:v>
                </c:pt>
                <c:pt idx="101">
                  <c:v>0</c:v>
                </c:pt>
                <c:pt idx="102">
                  <c:v>0</c:v>
                </c:pt>
                <c:pt idx="105">
                  <c:v>0</c:v>
                </c:pt>
                <c:pt idx="106">
                  <c:v>0</c:v>
                </c:pt>
                <c:pt idx="109">
                  <c:v>0</c:v>
                </c:pt>
                <c:pt idx="110">
                  <c:v>0</c:v>
                </c:pt>
                <c:pt idx="113">
                  <c:v>0</c:v>
                </c:pt>
                <c:pt idx="114">
                  <c:v>0</c:v>
                </c:pt>
                <c:pt idx="117">
                  <c:v>0</c:v>
                </c:pt>
                <c:pt idx="118">
                  <c:v>0</c:v>
                </c:pt>
                <c:pt idx="121">
                  <c:v>0</c:v>
                </c:pt>
                <c:pt idx="122">
                  <c:v>0</c:v>
                </c:pt>
                <c:pt idx="125">
                  <c:v>0</c:v>
                </c:pt>
                <c:pt idx="126">
                  <c:v>0</c:v>
                </c:pt>
                <c:pt idx="129">
                  <c:v>0</c:v>
                </c:pt>
                <c:pt idx="130">
                  <c:v>0</c:v>
                </c:pt>
                <c:pt idx="133">
                  <c:v>0</c:v>
                </c:pt>
                <c:pt idx="134">
                  <c:v>0</c:v>
                </c:pt>
                <c:pt idx="137">
                  <c:v>0</c:v>
                </c:pt>
                <c:pt idx="138">
                  <c:v>0</c:v>
                </c:pt>
              </c:numCache>
            </c:numRef>
          </c:xVal>
          <c:yVal>
            <c:numRef>
              <c:f>Report!$FV$16:$FV$155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1-6FAE-4EBE-81AF-57B90BBD7F8F}"/>
            </c:ext>
          </c:extLst>
        </c:ser>
        <c:ser>
          <c:idx val="2"/>
          <c:order val="2"/>
          <c:tx>
            <c:v>Hoffman</c:v>
          </c:tx>
          <c:spPr>
            <a:ln w="12700">
              <a:solidFill>
                <a:schemeClr val="tx1"/>
              </a:solidFill>
              <a:prstDash val="dash"/>
            </a:ln>
          </c:spPr>
          <c:marker>
            <c:symbol val="none"/>
          </c:marker>
          <c:xVal>
            <c:numRef>
              <c:f>Report!$GQ$16:$GQ$155</c:f>
              <c:numCache>
                <c:formatCode>0%</c:formatCode>
                <c:ptCount val="140"/>
                <c:pt idx="1">
                  <c:v>-1.24908333922005</c:v>
                </c:pt>
                <c:pt idx="2">
                  <c:v>-1.24908333922005</c:v>
                </c:pt>
                <c:pt idx="5">
                  <c:v>-0.35748118098019621</c:v>
                </c:pt>
                <c:pt idx="6">
                  <c:v>-0.35748118098019621</c:v>
                </c:pt>
                <c:pt idx="9">
                  <c:v>-0.14393561934953203</c:v>
                </c:pt>
                <c:pt idx="10">
                  <c:v>-0.14393561934953203</c:v>
                </c:pt>
                <c:pt idx="13">
                  <c:v>-0.94185160041784055</c:v>
                </c:pt>
                <c:pt idx="14">
                  <c:v>-0.94185160041784055</c:v>
                </c:pt>
                <c:pt idx="17">
                  <c:v>0.44938628075589016</c:v>
                </c:pt>
                <c:pt idx="18">
                  <c:v>0.44938628075589016</c:v>
                </c:pt>
                <c:pt idx="21">
                  <c:v>0.90248132679729709</c:v>
                </c:pt>
                <c:pt idx="22">
                  <c:v>0.90248132679729709</c:v>
                </c:pt>
                <c:pt idx="25">
                  <c:v>-0.41908212576393478</c:v>
                </c:pt>
                <c:pt idx="26">
                  <c:v>-0.41908212576393478</c:v>
                </c:pt>
                <c:pt idx="29">
                  <c:v>-7.3904043218292248E-2</c:v>
                </c:pt>
                <c:pt idx="30">
                  <c:v>-7.3904043218292248E-2</c:v>
                </c:pt>
                <c:pt idx="33">
                  <c:v>5.3274669427897434</c:v>
                </c:pt>
                <c:pt idx="34">
                  <c:v>5.3274669427897434</c:v>
                </c:pt>
                <c:pt idx="37">
                  <c:v>2.9576627898211361</c:v>
                </c:pt>
                <c:pt idx="38">
                  <c:v>2.9576627898211361</c:v>
                </c:pt>
                <c:pt idx="41">
                  <c:v>1.3725517938673111</c:v>
                </c:pt>
                <c:pt idx="42">
                  <c:v>1.3725517938673111</c:v>
                </c:pt>
                <c:pt idx="45">
                  <c:v>3.131589653707529</c:v>
                </c:pt>
                <c:pt idx="46">
                  <c:v>3.131589653707529</c:v>
                </c:pt>
                <c:pt idx="49">
                  <c:v>9.2912855515514314E-2</c:v>
                </c:pt>
                <c:pt idx="50">
                  <c:v>9.2912855515514314E-2</c:v>
                </c:pt>
                <c:pt idx="53">
                  <c:v>-5.7531743675017788E-2</c:v>
                </c:pt>
                <c:pt idx="54">
                  <c:v>-5.7531743675017788E-2</c:v>
                </c:pt>
                <c:pt idx="57">
                  <c:v>1.131328922295765</c:v>
                </c:pt>
                <c:pt idx="58">
                  <c:v>1.131328922295765</c:v>
                </c:pt>
                <c:pt idx="61">
                  <c:v>0.91358915511558236</c:v>
                </c:pt>
                <c:pt idx="62">
                  <c:v>0.91358915511558236</c:v>
                </c:pt>
                <c:pt idx="65">
                  <c:v>-0.16540904367384013</c:v>
                </c:pt>
                <c:pt idx="66">
                  <c:v>-0.16540904367384013</c:v>
                </c:pt>
                <c:pt idx="69">
                  <c:v>0.67494088514685679</c:v>
                </c:pt>
                <c:pt idx="70">
                  <c:v>0.67494088514685679</c:v>
                </c:pt>
                <c:pt idx="73">
                  <c:v>0.61248538284205645</c:v>
                </c:pt>
                <c:pt idx="74">
                  <c:v>0.61248538284205645</c:v>
                </c:pt>
                <c:pt idx="77">
                  <c:v>-0.10903986082912465</c:v>
                </c:pt>
                <c:pt idx="78">
                  <c:v>-0.10903986082912465</c:v>
                </c:pt>
                <c:pt idx="81">
                  <c:v>0</c:v>
                </c:pt>
                <c:pt idx="82">
                  <c:v>0</c:v>
                </c:pt>
                <c:pt idx="85">
                  <c:v>0</c:v>
                </c:pt>
                <c:pt idx="86">
                  <c:v>0</c:v>
                </c:pt>
                <c:pt idx="89">
                  <c:v>0</c:v>
                </c:pt>
                <c:pt idx="90">
                  <c:v>0</c:v>
                </c:pt>
                <c:pt idx="93">
                  <c:v>0</c:v>
                </c:pt>
                <c:pt idx="94">
                  <c:v>0</c:v>
                </c:pt>
                <c:pt idx="97">
                  <c:v>0</c:v>
                </c:pt>
                <c:pt idx="98">
                  <c:v>0</c:v>
                </c:pt>
                <c:pt idx="101">
                  <c:v>0</c:v>
                </c:pt>
                <c:pt idx="102">
                  <c:v>0</c:v>
                </c:pt>
                <c:pt idx="105">
                  <c:v>0</c:v>
                </c:pt>
                <c:pt idx="106">
                  <c:v>0</c:v>
                </c:pt>
                <c:pt idx="109">
                  <c:v>0</c:v>
                </c:pt>
                <c:pt idx="110">
                  <c:v>0</c:v>
                </c:pt>
                <c:pt idx="113">
                  <c:v>0</c:v>
                </c:pt>
                <c:pt idx="114">
                  <c:v>0</c:v>
                </c:pt>
                <c:pt idx="117">
                  <c:v>0</c:v>
                </c:pt>
                <c:pt idx="118">
                  <c:v>0</c:v>
                </c:pt>
                <c:pt idx="121">
                  <c:v>0</c:v>
                </c:pt>
                <c:pt idx="122">
                  <c:v>0</c:v>
                </c:pt>
                <c:pt idx="125">
                  <c:v>0</c:v>
                </c:pt>
                <c:pt idx="126">
                  <c:v>0</c:v>
                </c:pt>
                <c:pt idx="129">
                  <c:v>0</c:v>
                </c:pt>
                <c:pt idx="130">
                  <c:v>0</c:v>
                </c:pt>
                <c:pt idx="133">
                  <c:v>0</c:v>
                </c:pt>
                <c:pt idx="134">
                  <c:v>0</c:v>
                </c:pt>
                <c:pt idx="137">
                  <c:v>0</c:v>
                </c:pt>
                <c:pt idx="138">
                  <c:v>0</c:v>
                </c:pt>
              </c:numCache>
            </c:numRef>
          </c:xVal>
          <c:yVal>
            <c:numRef>
              <c:f>Report!$GN$16:$GN$155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2-6FAE-4EBE-81AF-57B90BBD7F8F}"/>
            </c:ext>
          </c:extLst>
        </c:ser>
        <c:ser>
          <c:idx val="3"/>
          <c:order val="3"/>
          <c:tx>
            <c:v>Tsai-Wu</c:v>
          </c:tx>
          <c:spPr>
            <a:ln w="12700">
              <a:solidFill>
                <a:schemeClr val="bg1">
                  <a:lumMod val="50000"/>
                </a:schemeClr>
              </a:solidFill>
              <a:prstDash val="dash"/>
            </a:ln>
          </c:spPr>
          <c:marker>
            <c:symbol val="none"/>
          </c:marker>
          <c:xVal>
            <c:numRef>
              <c:f>Report!$GR$16:$GR$155</c:f>
              <c:numCache>
                <c:formatCode>0%</c:formatCode>
                <c:ptCount val="140"/>
                <c:pt idx="1">
                  <c:v>-1.248423721014928</c:v>
                </c:pt>
                <c:pt idx="2">
                  <c:v>-1.248423721014928</c:v>
                </c:pt>
                <c:pt idx="5">
                  <c:v>-0.33946799722541854</c:v>
                </c:pt>
                <c:pt idx="6">
                  <c:v>-0.33946799722541854</c:v>
                </c:pt>
                <c:pt idx="9">
                  <c:v>-0.12351837458304504</c:v>
                </c:pt>
                <c:pt idx="10">
                  <c:v>-0.12351837458304504</c:v>
                </c:pt>
                <c:pt idx="13">
                  <c:v>-0.94091788886010996</c:v>
                </c:pt>
                <c:pt idx="14">
                  <c:v>-0.94091788886010996</c:v>
                </c:pt>
                <c:pt idx="17">
                  <c:v>0.47723500675528152</c:v>
                </c:pt>
                <c:pt idx="18">
                  <c:v>0.47723500675528152</c:v>
                </c:pt>
                <c:pt idx="21">
                  <c:v>0.93652206279884753</c:v>
                </c:pt>
                <c:pt idx="22">
                  <c:v>0.93652206279884753</c:v>
                </c:pt>
                <c:pt idx="25">
                  <c:v>-0.41748969613692943</c:v>
                </c:pt>
                <c:pt idx="26">
                  <c:v>-0.41748969613692943</c:v>
                </c:pt>
                <c:pt idx="29">
                  <c:v>-7.182949436670838E-2</c:v>
                </c:pt>
                <c:pt idx="30">
                  <c:v>-7.182949436670838E-2</c:v>
                </c:pt>
                <c:pt idx="33">
                  <c:v>5.4290519413967147</c:v>
                </c:pt>
                <c:pt idx="34">
                  <c:v>5.4290519413967147</c:v>
                </c:pt>
                <c:pt idx="37">
                  <c:v>2.9533810898524964</c:v>
                </c:pt>
                <c:pt idx="38">
                  <c:v>2.9533810898524964</c:v>
                </c:pt>
                <c:pt idx="41">
                  <c:v>1.3798484060160434</c:v>
                </c:pt>
                <c:pt idx="42">
                  <c:v>1.3798484060160434</c:v>
                </c:pt>
                <c:pt idx="45">
                  <c:v>3.1920676588169172</c:v>
                </c:pt>
                <c:pt idx="46">
                  <c:v>3.1920676588169172</c:v>
                </c:pt>
                <c:pt idx="49">
                  <c:v>9.5258367331013227E-2</c:v>
                </c:pt>
                <c:pt idx="50">
                  <c:v>9.5258367331013227E-2</c:v>
                </c:pt>
                <c:pt idx="53">
                  <c:v>-5.5788558070171357E-2</c:v>
                </c:pt>
                <c:pt idx="54">
                  <c:v>-5.5788558070171357E-2</c:v>
                </c:pt>
                <c:pt idx="57">
                  <c:v>1.1590245940710027</c:v>
                </c:pt>
                <c:pt idx="58">
                  <c:v>1.1590245940710027</c:v>
                </c:pt>
                <c:pt idx="61">
                  <c:v>0.93704097291625654</c:v>
                </c:pt>
                <c:pt idx="62">
                  <c:v>0.93704097291625654</c:v>
                </c:pt>
                <c:pt idx="65">
                  <c:v>-0.16442657471190314</c:v>
                </c:pt>
                <c:pt idx="66">
                  <c:v>-0.16442657471190314</c:v>
                </c:pt>
                <c:pt idx="69">
                  <c:v>0.69289011716856308</c:v>
                </c:pt>
                <c:pt idx="70">
                  <c:v>0.69289011716856308</c:v>
                </c:pt>
                <c:pt idx="73">
                  <c:v>0.62854965051015799</c:v>
                </c:pt>
                <c:pt idx="74">
                  <c:v>0.62854965051015799</c:v>
                </c:pt>
                <c:pt idx="77">
                  <c:v>-0.10835640828708193</c:v>
                </c:pt>
                <c:pt idx="78">
                  <c:v>-0.10835640828708193</c:v>
                </c:pt>
                <c:pt idx="81">
                  <c:v>0</c:v>
                </c:pt>
                <c:pt idx="82">
                  <c:v>0</c:v>
                </c:pt>
                <c:pt idx="85">
                  <c:v>0</c:v>
                </c:pt>
                <c:pt idx="86">
                  <c:v>0</c:v>
                </c:pt>
                <c:pt idx="89">
                  <c:v>0</c:v>
                </c:pt>
                <c:pt idx="90">
                  <c:v>0</c:v>
                </c:pt>
                <c:pt idx="93">
                  <c:v>0</c:v>
                </c:pt>
                <c:pt idx="94">
                  <c:v>0</c:v>
                </c:pt>
                <c:pt idx="97">
                  <c:v>0</c:v>
                </c:pt>
                <c:pt idx="98">
                  <c:v>0</c:v>
                </c:pt>
                <c:pt idx="101">
                  <c:v>0</c:v>
                </c:pt>
                <c:pt idx="102">
                  <c:v>0</c:v>
                </c:pt>
                <c:pt idx="105">
                  <c:v>0</c:v>
                </c:pt>
                <c:pt idx="106">
                  <c:v>0</c:v>
                </c:pt>
                <c:pt idx="109">
                  <c:v>0</c:v>
                </c:pt>
                <c:pt idx="110">
                  <c:v>0</c:v>
                </c:pt>
                <c:pt idx="113">
                  <c:v>0</c:v>
                </c:pt>
                <c:pt idx="114">
                  <c:v>0</c:v>
                </c:pt>
                <c:pt idx="117">
                  <c:v>0</c:v>
                </c:pt>
                <c:pt idx="118">
                  <c:v>0</c:v>
                </c:pt>
                <c:pt idx="121">
                  <c:v>0</c:v>
                </c:pt>
                <c:pt idx="122">
                  <c:v>0</c:v>
                </c:pt>
                <c:pt idx="125">
                  <c:v>0</c:v>
                </c:pt>
                <c:pt idx="126">
                  <c:v>0</c:v>
                </c:pt>
                <c:pt idx="129">
                  <c:v>0</c:v>
                </c:pt>
                <c:pt idx="130">
                  <c:v>0</c:v>
                </c:pt>
                <c:pt idx="133">
                  <c:v>0</c:v>
                </c:pt>
                <c:pt idx="134">
                  <c:v>0</c:v>
                </c:pt>
                <c:pt idx="137">
                  <c:v>0</c:v>
                </c:pt>
                <c:pt idx="138">
                  <c:v>0</c:v>
                </c:pt>
              </c:numCache>
            </c:numRef>
          </c:xVal>
          <c:yVal>
            <c:numRef>
              <c:f>Report!$GN$16:$GN$155</c:f>
              <c:numCache>
                <c:formatCode>0.00</c:formatCode>
                <c:ptCount val="140"/>
                <c:pt idx="0">
                  <c:v>8.5984251968503927E-2</c:v>
                </c:pt>
                <c:pt idx="1">
                  <c:v>8.5984251968503927E-2</c:v>
                </c:pt>
                <c:pt idx="2">
                  <c:v>7.7385826771653538E-2</c:v>
                </c:pt>
                <c:pt idx="3">
                  <c:v>7.7385826771653538E-2</c:v>
                </c:pt>
                <c:pt idx="4">
                  <c:v>7.7385826771653524E-2</c:v>
                </c:pt>
                <c:pt idx="5">
                  <c:v>7.7385826771653524E-2</c:v>
                </c:pt>
                <c:pt idx="6">
                  <c:v>6.8787401574803134E-2</c:v>
                </c:pt>
                <c:pt idx="7">
                  <c:v>6.8787401574803134E-2</c:v>
                </c:pt>
                <c:pt idx="8">
                  <c:v>6.8787401574803134E-2</c:v>
                </c:pt>
                <c:pt idx="9">
                  <c:v>6.8787401574803134E-2</c:v>
                </c:pt>
                <c:pt idx="10">
                  <c:v>6.0188976377952744E-2</c:v>
                </c:pt>
                <c:pt idx="11">
                  <c:v>6.0188976377952744E-2</c:v>
                </c:pt>
                <c:pt idx="12">
                  <c:v>6.0188976377952744E-2</c:v>
                </c:pt>
                <c:pt idx="13">
                  <c:v>6.0188976377952744E-2</c:v>
                </c:pt>
                <c:pt idx="14">
                  <c:v>5.1590551181102347E-2</c:v>
                </c:pt>
                <c:pt idx="15">
                  <c:v>5.1590551181102347E-2</c:v>
                </c:pt>
                <c:pt idx="16">
                  <c:v>5.1590551181102347E-2</c:v>
                </c:pt>
                <c:pt idx="17">
                  <c:v>5.1590551181102347E-2</c:v>
                </c:pt>
                <c:pt idx="18">
                  <c:v>4.299212598425195E-2</c:v>
                </c:pt>
                <c:pt idx="19">
                  <c:v>4.299212598425195E-2</c:v>
                </c:pt>
                <c:pt idx="20">
                  <c:v>4.299212598425195E-2</c:v>
                </c:pt>
                <c:pt idx="21">
                  <c:v>4.299212598425195E-2</c:v>
                </c:pt>
                <c:pt idx="22">
                  <c:v>3.4393700787401553E-2</c:v>
                </c:pt>
                <c:pt idx="23">
                  <c:v>3.4393700787401553E-2</c:v>
                </c:pt>
                <c:pt idx="24">
                  <c:v>3.4393700787401553E-2</c:v>
                </c:pt>
                <c:pt idx="25">
                  <c:v>3.4393700787401553E-2</c:v>
                </c:pt>
                <c:pt idx="26">
                  <c:v>2.5795275590551156E-2</c:v>
                </c:pt>
                <c:pt idx="27">
                  <c:v>2.5795275590551156E-2</c:v>
                </c:pt>
                <c:pt idx="28">
                  <c:v>2.5795275590551163E-2</c:v>
                </c:pt>
                <c:pt idx="29">
                  <c:v>2.5795275590551163E-2</c:v>
                </c:pt>
                <c:pt idx="30">
                  <c:v>1.7196850393700766E-2</c:v>
                </c:pt>
                <c:pt idx="31">
                  <c:v>1.7196850393700766E-2</c:v>
                </c:pt>
                <c:pt idx="32">
                  <c:v>1.7196850393700773E-2</c:v>
                </c:pt>
                <c:pt idx="33">
                  <c:v>1.7196850393700773E-2</c:v>
                </c:pt>
                <c:pt idx="34">
                  <c:v>8.5984251968503761E-3</c:v>
                </c:pt>
                <c:pt idx="35">
                  <c:v>8.5984251968503761E-3</c:v>
                </c:pt>
                <c:pt idx="36">
                  <c:v>8.5984251968503813E-3</c:v>
                </c:pt>
                <c:pt idx="37">
                  <c:v>8.5984251968503813E-3</c:v>
                </c:pt>
                <c:pt idx="38">
                  <c:v>-1.3877787807814457E-17</c:v>
                </c:pt>
                <c:pt idx="39">
                  <c:v>-1.3877787807814457E-17</c:v>
                </c:pt>
                <c:pt idx="40">
                  <c:v>0</c:v>
                </c:pt>
                <c:pt idx="41">
                  <c:v>0</c:v>
                </c:pt>
                <c:pt idx="42">
                  <c:v>-8.5984251968504039E-3</c:v>
                </c:pt>
                <c:pt idx="43">
                  <c:v>-8.5984251968504039E-3</c:v>
                </c:pt>
                <c:pt idx="44">
                  <c:v>-8.5984251968503986E-3</c:v>
                </c:pt>
                <c:pt idx="45">
                  <c:v>-8.5984251968503986E-3</c:v>
                </c:pt>
                <c:pt idx="46">
                  <c:v>-1.7196850393700794E-2</c:v>
                </c:pt>
                <c:pt idx="47">
                  <c:v>-1.7196850393700794E-2</c:v>
                </c:pt>
                <c:pt idx="48">
                  <c:v>-1.7196850393700787E-2</c:v>
                </c:pt>
                <c:pt idx="49">
                  <c:v>-1.7196850393700787E-2</c:v>
                </c:pt>
                <c:pt idx="50">
                  <c:v>-2.5795275590551184E-2</c:v>
                </c:pt>
                <c:pt idx="51">
                  <c:v>-2.5795275590551184E-2</c:v>
                </c:pt>
                <c:pt idx="52">
                  <c:v>-2.5795275590551177E-2</c:v>
                </c:pt>
                <c:pt idx="53">
                  <c:v>-2.5795275590551177E-2</c:v>
                </c:pt>
                <c:pt idx="54">
                  <c:v>-3.4393700787401574E-2</c:v>
                </c:pt>
                <c:pt idx="55">
                  <c:v>-3.4393700787401574E-2</c:v>
                </c:pt>
                <c:pt idx="56">
                  <c:v>-3.4393700787401581E-2</c:v>
                </c:pt>
                <c:pt idx="57">
                  <c:v>-3.4393700787401581E-2</c:v>
                </c:pt>
                <c:pt idx="58">
                  <c:v>-4.2992125984251978E-2</c:v>
                </c:pt>
                <c:pt idx="59">
                  <c:v>-4.2992125984251978E-2</c:v>
                </c:pt>
                <c:pt idx="60">
                  <c:v>-4.2992125984251971E-2</c:v>
                </c:pt>
                <c:pt idx="61">
                  <c:v>-4.2992125984251971E-2</c:v>
                </c:pt>
                <c:pt idx="62">
                  <c:v>-5.1590551181102368E-2</c:v>
                </c:pt>
                <c:pt idx="63">
                  <c:v>-5.1590551181102368E-2</c:v>
                </c:pt>
                <c:pt idx="64">
                  <c:v>-5.1590551181102361E-2</c:v>
                </c:pt>
                <c:pt idx="65">
                  <c:v>-5.1590551181102361E-2</c:v>
                </c:pt>
                <c:pt idx="66">
                  <c:v>-6.0188976377952758E-2</c:v>
                </c:pt>
                <c:pt idx="67">
                  <c:v>-6.0188976377952758E-2</c:v>
                </c:pt>
                <c:pt idx="68">
                  <c:v>-6.0188976377952751E-2</c:v>
                </c:pt>
                <c:pt idx="69">
                  <c:v>-6.0188976377952751E-2</c:v>
                </c:pt>
                <c:pt idx="70">
                  <c:v>-6.8787401574803148E-2</c:v>
                </c:pt>
                <c:pt idx="71">
                  <c:v>-6.8787401574803148E-2</c:v>
                </c:pt>
                <c:pt idx="72">
                  <c:v>-6.8787401574803148E-2</c:v>
                </c:pt>
                <c:pt idx="73">
                  <c:v>-6.8787401574803148E-2</c:v>
                </c:pt>
                <c:pt idx="74">
                  <c:v>-7.7385826771653538E-2</c:v>
                </c:pt>
                <c:pt idx="75">
                  <c:v>-7.7385826771653538E-2</c:v>
                </c:pt>
                <c:pt idx="76">
                  <c:v>-7.7385826771653538E-2</c:v>
                </c:pt>
                <c:pt idx="77">
                  <c:v>-7.7385826771653538E-2</c:v>
                </c:pt>
                <c:pt idx="78">
                  <c:v>-8.5984251968503927E-2</c:v>
                </c:pt>
                <c:pt idx="79">
                  <c:v>-8.5984251968503927E-2</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numCache>
            </c:numRef>
          </c:yVal>
          <c:smooth val="0"/>
          <c:extLst>
            <c:ext xmlns:c16="http://schemas.microsoft.com/office/drawing/2014/chart" uri="{C3380CC4-5D6E-409C-BE32-E72D297353CC}">
              <c16:uniqueId val="{00000003-6FAE-4EBE-81AF-57B90BBD7F8F}"/>
            </c:ext>
          </c:extLst>
        </c:ser>
        <c:dLbls>
          <c:showLegendKey val="0"/>
          <c:showVal val="0"/>
          <c:showCatName val="0"/>
          <c:showSerName val="0"/>
          <c:showPercent val="0"/>
          <c:showBubbleSize val="0"/>
        </c:dLbls>
        <c:axId val="510439576"/>
        <c:axId val="510439184"/>
      </c:scatterChart>
      <c:valAx>
        <c:axId val="510439576"/>
        <c:scaling>
          <c:orientation val="minMax"/>
        </c:scaling>
        <c:delete val="0"/>
        <c:axPos val="b"/>
        <c:title>
          <c:tx>
            <c:rich>
              <a:bodyPr/>
              <a:lstStyle/>
              <a:p>
                <a:pPr>
                  <a:defRPr/>
                </a:pPr>
                <a:r>
                  <a:rPr lang="en-US"/>
                  <a:t>Margin of Safety (%)</a:t>
                </a:r>
              </a:p>
            </c:rich>
          </c:tx>
          <c:layout>
            <c:manualLayout>
              <c:xMode val="edge"/>
              <c:yMode val="edge"/>
              <c:x val="0.34761084637402012"/>
              <c:y val="0.90066052541003438"/>
            </c:manualLayout>
          </c:layout>
          <c:overlay val="0"/>
        </c:title>
        <c:numFmt formatCode="0%" sourceLinked="1"/>
        <c:majorTickMark val="out"/>
        <c:minorTickMark val="none"/>
        <c:tickLblPos val="nextTo"/>
        <c:crossAx val="510439184"/>
        <c:crosses val="autoZero"/>
        <c:crossBetween val="midCat"/>
      </c:valAx>
      <c:valAx>
        <c:axId val="510439184"/>
        <c:scaling>
          <c:orientation val="minMax"/>
        </c:scaling>
        <c:delete val="0"/>
        <c:axPos val="l"/>
        <c:majorGridlines/>
        <c:title>
          <c:tx>
            <c:rich>
              <a:bodyPr rot="-5400000" vert="horz"/>
              <a:lstStyle/>
              <a:p>
                <a:pPr>
                  <a:defRPr/>
                </a:pPr>
                <a:r>
                  <a:rPr lang="en-US"/>
                  <a:t>Thickness (in)</a:t>
                </a:r>
              </a:p>
            </c:rich>
          </c:tx>
          <c:layout>
            <c:manualLayout>
              <c:xMode val="edge"/>
              <c:yMode val="edge"/>
              <c:x val="3.8503699464995086E-2"/>
              <c:y val="0.3416982824183375"/>
            </c:manualLayout>
          </c:layout>
          <c:overlay val="0"/>
        </c:title>
        <c:numFmt formatCode="0.0" sourceLinked="0"/>
        <c:majorTickMark val="out"/>
        <c:minorTickMark val="none"/>
        <c:tickLblPos val="nextTo"/>
        <c:crossAx val="510439576"/>
        <c:crosses val="autoZero"/>
        <c:crossBetween val="midCat"/>
      </c:valAx>
    </c:plotArea>
    <c:legend>
      <c:legendPos val="r"/>
      <c:layout>
        <c:manualLayout>
          <c:xMode val="edge"/>
          <c:yMode val="edge"/>
          <c:x val="0.58339055632525338"/>
          <c:y val="0.10904721192212098"/>
          <c:w val="0.34576812084238751"/>
          <c:h val="0.30887652630377727"/>
        </c:manualLayout>
      </c:layout>
      <c:overlay val="0"/>
      <c:spPr>
        <a:solidFill>
          <a:sysClr val="window" lastClr="FFFFFF"/>
        </a:solidFill>
        <a:ln w="12700">
          <a:solidFill>
            <a:prstClr val="white">
              <a:lumMod val="50000"/>
            </a:prstClr>
          </a:solidFill>
        </a:ln>
      </c:spPr>
    </c:legend>
    <c:plotVisOnly val="1"/>
    <c:dispBlanksAs val="gap"/>
    <c:showDLblsOverMax val="0"/>
  </c:chart>
  <c:spPr>
    <a:ln>
      <a:noFill/>
    </a:ln>
  </c:spPr>
  <c:txPr>
    <a:bodyPr/>
    <a:lstStyle/>
    <a:p>
      <a:pPr>
        <a:defRPr sz="1000">
          <a:latin typeface="+mn-lt"/>
          <a:cs typeface="Arial" pitchFamily="34" charset="0"/>
        </a:defRPr>
      </a:pPr>
      <a:endParaRPr lang="en-US"/>
    </a:p>
  </c:txPr>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technical-library/donate/" TargetMode="External"/><Relationship Id="rId3" Type="http://schemas.openxmlformats.org/officeDocument/2006/relationships/chart" Target="../charts/chart3.xml"/><Relationship Id="rId7"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www.abbottaerospace.com/" TargetMode="Externa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215</xdr:row>
      <xdr:rowOff>123825</xdr:rowOff>
    </xdr:from>
    <xdr:to>
      <xdr:col>10</xdr:col>
      <xdr:colOff>295275</xdr:colOff>
      <xdr:row>244</xdr:row>
      <xdr:rowOff>95250</xdr:rowOff>
    </xdr:to>
    <xdr:graphicFrame macro="">
      <xdr:nvGraphicFramePr>
        <xdr:cNvPr id="7653" name="Chart 36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47625</xdr:colOff>
      <xdr:row>229</xdr:row>
      <xdr:rowOff>9525</xdr:rowOff>
    </xdr:from>
    <xdr:to>
      <xdr:col>10</xdr:col>
      <xdr:colOff>190500</xdr:colOff>
      <xdr:row>231</xdr:row>
      <xdr:rowOff>114300</xdr:rowOff>
    </xdr:to>
    <xdr:sp macro="" textlink="">
      <xdr:nvSpPr>
        <xdr:cNvPr id="7534" name="Text Box 366"/>
        <xdr:cNvSpPr txBox="1">
          <a:spLocks noChangeArrowheads="1"/>
        </xdr:cNvSpPr>
      </xdr:nvSpPr>
      <xdr:spPr bwMode="auto">
        <a:xfrm>
          <a:off x="3905250" y="33299400"/>
          <a:ext cx="1685925" cy="447675"/>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strike="noStrike">
              <a:solidFill>
                <a:srgbClr val="000000"/>
              </a:solidFill>
              <a:latin typeface="Arial"/>
              <a:cs typeface="Arial"/>
            </a:rPr>
            <a:t>Recommended fiber pattern for highly loaded structures</a:t>
          </a:r>
        </a:p>
      </xdr:txBody>
    </xdr:sp>
    <xdr:clientData/>
  </xdr:twoCellAnchor>
  <xdr:twoCellAnchor>
    <xdr:from>
      <xdr:col>4</xdr:col>
      <xdr:colOff>333375</xdr:colOff>
      <xdr:row>231</xdr:row>
      <xdr:rowOff>28575</xdr:rowOff>
    </xdr:from>
    <xdr:to>
      <xdr:col>5</xdr:col>
      <xdr:colOff>209550</xdr:colOff>
      <xdr:row>234</xdr:row>
      <xdr:rowOff>47625</xdr:rowOff>
    </xdr:to>
    <xdr:sp macro="" textlink="">
      <xdr:nvSpPr>
        <xdr:cNvPr id="7655" name="Line 367"/>
        <xdr:cNvSpPr>
          <a:spLocks noChangeShapeType="1"/>
        </xdr:cNvSpPr>
      </xdr:nvSpPr>
      <xdr:spPr bwMode="auto">
        <a:xfrm flipH="1">
          <a:off x="3419475" y="33661350"/>
          <a:ext cx="647700" cy="533400"/>
        </a:xfrm>
        <a:prstGeom prst="line">
          <a:avLst/>
        </a:prstGeom>
        <a:noFill/>
        <a:ln w="9525">
          <a:solidFill>
            <a:srgbClr val="000000"/>
          </a:solidFill>
          <a:round/>
          <a:headEnd/>
          <a:tailEnd type="triangle" w="med" len="lg"/>
        </a:ln>
      </xdr:spPr>
    </xdr:sp>
    <xdr:clientData/>
  </xdr:twoCellAnchor>
  <xdr:twoCellAnchor>
    <xdr:from>
      <xdr:col>4</xdr:col>
      <xdr:colOff>209550</xdr:colOff>
      <xdr:row>224</xdr:row>
      <xdr:rowOff>66675</xdr:rowOff>
    </xdr:from>
    <xdr:to>
      <xdr:col>6</xdr:col>
      <xdr:colOff>161925</xdr:colOff>
      <xdr:row>227</xdr:row>
      <xdr:rowOff>47625</xdr:rowOff>
    </xdr:to>
    <xdr:sp macro="" textlink="">
      <xdr:nvSpPr>
        <xdr:cNvPr id="7536" name="Text Box 368"/>
        <xdr:cNvSpPr txBox="1">
          <a:spLocks noChangeArrowheads="1"/>
        </xdr:cNvSpPr>
      </xdr:nvSpPr>
      <xdr:spPr bwMode="auto">
        <a:xfrm>
          <a:off x="3295650" y="32499300"/>
          <a:ext cx="1495425" cy="495300"/>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strike="noStrike">
              <a:solidFill>
                <a:srgbClr val="000000"/>
              </a:solidFill>
              <a:latin typeface="Arial"/>
              <a:cs typeface="Arial"/>
            </a:rPr>
            <a:t>Design regime for lightly loaded structures</a:t>
          </a:r>
        </a:p>
      </xdr:txBody>
    </xdr:sp>
    <xdr:clientData/>
  </xdr:twoCellAnchor>
  <xdr:twoCellAnchor>
    <xdr:from>
      <xdr:col>3</xdr:col>
      <xdr:colOff>266700</xdr:colOff>
      <xdr:row>221</xdr:row>
      <xdr:rowOff>76200</xdr:rowOff>
    </xdr:from>
    <xdr:to>
      <xdr:col>6</xdr:col>
      <xdr:colOff>257175</xdr:colOff>
      <xdr:row>224</xdr:row>
      <xdr:rowOff>95250</xdr:rowOff>
    </xdr:to>
    <xdr:sp macro="" textlink="">
      <xdr:nvSpPr>
        <xdr:cNvPr id="7537" name="Text Box 369"/>
        <xdr:cNvSpPr txBox="1">
          <a:spLocks noChangeArrowheads="1"/>
        </xdr:cNvSpPr>
      </xdr:nvSpPr>
      <xdr:spPr bwMode="auto">
        <a:xfrm>
          <a:off x="2581275" y="31994475"/>
          <a:ext cx="2305050" cy="533400"/>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strike="noStrike">
              <a:solidFill>
                <a:srgbClr val="000000"/>
              </a:solidFill>
              <a:latin typeface="Arial"/>
              <a:cs typeface="Arial"/>
            </a:rPr>
            <a:t>Fiber patterns to be avoided, particularly for structures with high fastener loads</a:t>
          </a:r>
        </a:p>
      </xdr:txBody>
    </xdr:sp>
    <xdr:clientData/>
  </xdr:twoCellAnchor>
  <xdr:twoCellAnchor>
    <xdr:from>
      <xdr:col>3</xdr:col>
      <xdr:colOff>561975</xdr:colOff>
      <xdr:row>226</xdr:row>
      <xdr:rowOff>123825</xdr:rowOff>
    </xdr:from>
    <xdr:to>
      <xdr:col>4</xdr:col>
      <xdr:colOff>352425</xdr:colOff>
      <xdr:row>229</xdr:row>
      <xdr:rowOff>76200</xdr:rowOff>
    </xdr:to>
    <xdr:sp macro="" textlink="">
      <xdr:nvSpPr>
        <xdr:cNvPr id="7658" name="Line 370"/>
        <xdr:cNvSpPr>
          <a:spLocks noChangeShapeType="1"/>
        </xdr:cNvSpPr>
      </xdr:nvSpPr>
      <xdr:spPr bwMode="auto">
        <a:xfrm flipH="1">
          <a:off x="2876550" y="32899350"/>
          <a:ext cx="561975" cy="466725"/>
        </a:xfrm>
        <a:prstGeom prst="line">
          <a:avLst/>
        </a:prstGeom>
        <a:noFill/>
        <a:ln w="9525">
          <a:solidFill>
            <a:srgbClr val="000000"/>
          </a:solidFill>
          <a:round/>
          <a:headEnd/>
          <a:tailEnd type="triangle" w="med" len="lg"/>
        </a:ln>
      </xdr:spPr>
    </xdr:sp>
    <xdr:clientData/>
  </xdr:twoCellAnchor>
  <xdr:twoCellAnchor>
    <xdr:from>
      <xdr:col>2</xdr:col>
      <xdr:colOff>714375</xdr:colOff>
      <xdr:row>223</xdr:row>
      <xdr:rowOff>114300</xdr:rowOff>
    </xdr:from>
    <xdr:to>
      <xdr:col>3</xdr:col>
      <xdr:colOff>504825</xdr:colOff>
      <xdr:row>226</xdr:row>
      <xdr:rowOff>66675</xdr:rowOff>
    </xdr:to>
    <xdr:sp macro="" textlink="">
      <xdr:nvSpPr>
        <xdr:cNvPr id="7659" name="Line 371"/>
        <xdr:cNvSpPr>
          <a:spLocks noChangeShapeType="1"/>
        </xdr:cNvSpPr>
      </xdr:nvSpPr>
      <xdr:spPr bwMode="auto">
        <a:xfrm flipH="1">
          <a:off x="2257425" y="32375475"/>
          <a:ext cx="561975" cy="466725"/>
        </a:xfrm>
        <a:prstGeom prst="line">
          <a:avLst/>
        </a:prstGeom>
        <a:noFill/>
        <a:ln w="9525">
          <a:solidFill>
            <a:srgbClr val="000000"/>
          </a:solidFill>
          <a:round/>
          <a:headEnd/>
          <a:tailEnd type="oval" w="med" len="med"/>
        </a:ln>
      </xdr:spPr>
    </xdr:sp>
    <xdr:clientData/>
  </xdr:twoCellAnchor>
  <xdr:twoCellAnchor>
    <xdr:from>
      <xdr:col>2</xdr:col>
      <xdr:colOff>47625</xdr:colOff>
      <xdr:row>216</xdr:row>
      <xdr:rowOff>9525</xdr:rowOff>
    </xdr:from>
    <xdr:to>
      <xdr:col>3</xdr:col>
      <xdr:colOff>266700</xdr:colOff>
      <xdr:row>217</xdr:row>
      <xdr:rowOff>66675</xdr:rowOff>
    </xdr:to>
    <xdr:sp macro="" textlink="">
      <xdr:nvSpPr>
        <xdr:cNvPr id="7541" name="Text Box 373"/>
        <xdr:cNvSpPr txBox="1">
          <a:spLocks noChangeArrowheads="1"/>
        </xdr:cNvSpPr>
      </xdr:nvSpPr>
      <xdr:spPr bwMode="auto">
        <a:xfrm>
          <a:off x="1590675" y="31070550"/>
          <a:ext cx="9906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strike="noStrike">
              <a:solidFill>
                <a:srgbClr val="000000"/>
              </a:solidFill>
              <a:latin typeface="Arial"/>
              <a:cs typeface="Arial"/>
            </a:rPr>
            <a:t>90° Plies, %</a:t>
          </a:r>
        </a:p>
      </xdr:txBody>
    </xdr:sp>
    <xdr:clientData/>
  </xdr:twoCellAnchor>
  <xdr:twoCellAnchor>
    <xdr:from>
      <xdr:col>1</xdr:col>
      <xdr:colOff>514350</xdr:colOff>
      <xdr:row>216</xdr:row>
      <xdr:rowOff>114300</xdr:rowOff>
    </xdr:from>
    <xdr:to>
      <xdr:col>2</xdr:col>
      <xdr:colOff>47625</xdr:colOff>
      <xdr:row>217</xdr:row>
      <xdr:rowOff>76200</xdr:rowOff>
    </xdr:to>
    <xdr:sp macro="" textlink="">
      <xdr:nvSpPr>
        <xdr:cNvPr id="7661" name="Line 374"/>
        <xdr:cNvSpPr>
          <a:spLocks noChangeShapeType="1"/>
        </xdr:cNvSpPr>
      </xdr:nvSpPr>
      <xdr:spPr bwMode="auto">
        <a:xfrm flipH="1">
          <a:off x="1285875" y="31175325"/>
          <a:ext cx="304800" cy="133350"/>
        </a:xfrm>
        <a:prstGeom prst="line">
          <a:avLst/>
        </a:prstGeom>
        <a:noFill/>
        <a:ln w="9525">
          <a:solidFill>
            <a:srgbClr val="000000"/>
          </a:solidFill>
          <a:round/>
          <a:headEnd/>
          <a:tailEnd type="triangle" w="med" len="lg"/>
        </a:ln>
      </xdr:spPr>
    </xdr:sp>
    <xdr:clientData/>
  </xdr:twoCellAnchor>
  <xdr:twoCellAnchor>
    <xdr:from>
      <xdr:col>0</xdr:col>
      <xdr:colOff>371475</xdr:colOff>
      <xdr:row>227</xdr:row>
      <xdr:rowOff>66675</xdr:rowOff>
    </xdr:from>
    <xdr:to>
      <xdr:col>0</xdr:col>
      <xdr:colOff>723900</xdr:colOff>
      <xdr:row>233</xdr:row>
      <xdr:rowOff>104775</xdr:rowOff>
    </xdr:to>
    <xdr:sp macro="" textlink="">
      <xdr:nvSpPr>
        <xdr:cNvPr id="7543" name="Text Box 375"/>
        <xdr:cNvSpPr txBox="1">
          <a:spLocks noChangeArrowheads="1"/>
        </xdr:cNvSpPr>
      </xdr:nvSpPr>
      <xdr:spPr bwMode="auto">
        <a:xfrm>
          <a:off x="371475" y="33013650"/>
          <a:ext cx="352425" cy="1066800"/>
        </a:xfrm>
        <a:prstGeom prst="rect">
          <a:avLst/>
        </a:prstGeom>
        <a:noFill/>
        <a:ln w="9525">
          <a:noFill/>
          <a:miter lim="800000"/>
          <a:headEnd/>
          <a:tailEnd/>
        </a:ln>
      </xdr:spPr>
      <xdr:txBody>
        <a:bodyPr vertOverflow="clip" vert="vert270" wrap="square" lIns="27432" tIns="22860" rIns="0" bIns="0" anchor="t" upright="1"/>
        <a:lstStyle/>
        <a:p>
          <a:pPr algn="r" rtl="0">
            <a:defRPr sz="1000"/>
          </a:pPr>
          <a:r>
            <a:rPr lang="en-CA" sz="1000" b="0" i="0" strike="noStrike">
              <a:solidFill>
                <a:srgbClr val="000000"/>
              </a:solidFill>
              <a:latin typeface="Arial"/>
              <a:cs typeface="Arial"/>
            </a:rPr>
            <a:t>0° Plies, %</a:t>
          </a:r>
        </a:p>
      </xdr:txBody>
    </xdr:sp>
    <xdr:clientData/>
  </xdr:twoCellAnchor>
  <xdr:twoCellAnchor>
    <xdr:from>
      <xdr:col>3</xdr:col>
      <xdr:colOff>342900</xdr:colOff>
      <xdr:row>243</xdr:row>
      <xdr:rowOff>104775</xdr:rowOff>
    </xdr:from>
    <xdr:to>
      <xdr:col>4</xdr:col>
      <xdr:colOff>561975</xdr:colOff>
      <xdr:row>244</xdr:row>
      <xdr:rowOff>161925</xdr:rowOff>
    </xdr:to>
    <xdr:sp macro="" textlink="">
      <xdr:nvSpPr>
        <xdr:cNvPr id="7544" name="Text Box 376"/>
        <xdr:cNvSpPr txBox="1">
          <a:spLocks noChangeArrowheads="1"/>
        </xdr:cNvSpPr>
      </xdr:nvSpPr>
      <xdr:spPr bwMode="auto">
        <a:xfrm>
          <a:off x="2657475" y="35794950"/>
          <a:ext cx="9906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strike="noStrike">
              <a:solidFill>
                <a:srgbClr val="000000"/>
              </a:solidFill>
              <a:latin typeface="Arial"/>
              <a:cs typeface="Arial"/>
            </a:rPr>
            <a:t>±45° Plies, %</a:t>
          </a:r>
        </a:p>
      </xdr:txBody>
    </xdr:sp>
    <xdr:clientData/>
  </xdr:twoCellAnchor>
  <xdr:twoCellAnchor>
    <xdr:from>
      <xdr:col>2</xdr:col>
      <xdr:colOff>514350</xdr:colOff>
      <xdr:row>229</xdr:row>
      <xdr:rowOff>85725</xdr:rowOff>
    </xdr:from>
    <xdr:to>
      <xdr:col>5</xdr:col>
      <xdr:colOff>361950</xdr:colOff>
      <xdr:row>238</xdr:row>
      <xdr:rowOff>142875</xdr:rowOff>
    </xdr:to>
    <xdr:sp macro="" textlink="">
      <xdr:nvSpPr>
        <xdr:cNvPr id="7664" name="Freeform 377"/>
        <xdr:cNvSpPr>
          <a:spLocks/>
        </xdr:cNvSpPr>
      </xdr:nvSpPr>
      <xdr:spPr bwMode="auto">
        <a:xfrm>
          <a:off x="2057400" y="33375600"/>
          <a:ext cx="2162175" cy="1600200"/>
        </a:xfrm>
        <a:custGeom>
          <a:avLst/>
          <a:gdLst>
            <a:gd name="T0" fmla="*/ 2147483647 w 227"/>
            <a:gd name="T1" fmla="*/ 2147483647 h 168"/>
            <a:gd name="T2" fmla="*/ 2147483647 w 227"/>
            <a:gd name="T3" fmla="*/ 2147483647 h 168"/>
            <a:gd name="T4" fmla="*/ 0 w 227"/>
            <a:gd name="T5" fmla="*/ 2147483647 h 168"/>
            <a:gd name="T6" fmla="*/ 2147483647 w 227"/>
            <a:gd name="T7" fmla="*/ 0 h 168"/>
            <a:gd name="T8" fmla="*/ 2147483647 w 227"/>
            <a:gd name="T9" fmla="*/ 2147483647 h 168"/>
            <a:gd name="T10" fmla="*/ 0 60000 65536"/>
            <a:gd name="T11" fmla="*/ 0 60000 65536"/>
            <a:gd name="T12" fmla="*/ 0 60000 65536"/>
            <a:gd name="T13" fmla="*/ 0 60000 65536"/>
            <a:gd name="T14" fmla="*/ 0 60000 65536"/>
            <a:gd name="T15" fmla="*/ 0 w 227"/>
            <a:gd name="T16" fmla="*/ 0 h 168"/>
            <a:gd name="T17" fmla="*/ 227 w 227"/>
            <a:gd name="T18" fmla="*/ 168 h 168"/>
          </a:gdLst>
          <a:ahLst/>
          <a:cxnLst>
            <a:cxn ang="T10">
              <a:pos x="T0" y="T1"/>
            </a:cxn>
            <a:cxn ang="T11">
              <a:pos x="T2" y="T3"/>
            </a:cxn>
            <a:cxn ang="T12">
              <a:pos x="T4" y="T5"/>
            </a:cxn>
            <a:cxn ang="T13">
              <a:pos x="T6" y="T7"/>
            </a:cxn>
            <a:cxn ang="T14">
              <a:pos x="T8" y="T9"/>
            </a:cxn>
          </a:cxnLst>
          <a:rect l="T15" t="T16" r="T17" b="T18"/>
          <a:pathLst>
            <a:path w="227" h="168">
              <a:moveTo>
                <a:pt x="227" y="168"/>
              </a:moveTo>
              <a:lnTo>
                <a:pt x="55" y="168"/>
              </a:lnTo>
              <a:lnTo>
                <a:pt x="0" y="55"/>
              </a:lnTo>
              <a:lnTo>
                <a:pt x="55" y="0"/>
              </a:lnTo>
              <a:lnTo>
                <a:pt x="227" y="168"/>
              </a:lnTo>
              <a:close/>
            </a:path>
          </a:pathLst>
        </a:custGeom>
        <a:solidFill>
          <a:srgbClr val="0000FF">
            <a:alpha val="10196"/>
          </a:srgbClr>
        </a:solidFill>
        <a:ln w="9525">
          <a:noFill/>
          <a:round/>
          <a:headEnd/>
          <a:tailEnd/>
        </a:ln>
      </xdr:spPr>
    </xdr:sp>
    <xdr:clientData/>
  </xdr:twoCellAnchor>
  <xdr:twoCellAnchor>
    <xdr:from>
      <xdr:col>0</xdr:col>
      <xdr:colOff>0</xdr:colOff>
      <xdr:row>79</xdr:row>
      <xdr:rowOff>0</xdr:rowOff>
    </xdr:from>
    <xdr:to>
      <xdr:col>6</xdr:col>
      <xdr:colOff>0</xdr:colOff>
      <xdr:row>93</xdr:row>
      <xdr:rowOff>132547</xdr:rowOff>
    </xdr:to>
    <xdr:graphicFrame macro="">
      <xdr:nvGraphicFramePr>
        <xdr:cNvPr id="25" name="Chart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79</xdr:row>
      <xdr:rowOff>0</xdr:rowOff>
    </xdr:from>
    <xdr:to>
      <xdr:col>11</xdr:col>
      <xdr:colOff>0</xdr:colOff>
      <xdr:row>93</xdr:row>
      <xdr:rowOff>133350</xdr:rowOff>
    </xdr:to>
    <xdr:graphicFrame macro="">
      <xdr:nvGraphicFramePr>
        <xdr:cNvPr id="29" name="Chart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561974</xdr:colOff>
      <xdr:row>93</xdr:row>
      <xdr:rowOff>114300</xdr:rowOff>
    </xdr:from>
    <xdr:to>
      <xdr:col>10</xdr:col>
      <xdr:colOff>571499</xdr:colOff>
      <xdr:row>114</xdr:row>
      <xdr:rowOff>0</xdr:rowOff>
    </xdr:to>
    <xdr:graphicFrame macro="">
      <xdr:nvGraphicFramePr>
        <xdr:cNvPr id="30" name="Chart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94</xdr:row>
      <xdr:rowOff>0</xdr:rowOff>
    </xdr:from>
    <xdr:to>
      <xdr:col>5</xdr:col>
      <xdr:colOff>0</xdr:colOff>
      <xdr:row>114</xdr:row>
      <xdr:rowOff>0</xdr:rowOff>
    </xdr:to>
    <xdr:graphicFrame macro="">
      <xdr:nvGraphicFramePr>
        <xdr:cNvPr id="31" name="Chart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255684</xdr:colOff>
      <xdr:row>55</xdr:row>
      <xdr:rowOff>180974</xdr:rowOff>
    </xdr:from>
    <xdr:to>
      <xdr:col>4</xdr:col>
      <xdr:colOff>336282</xdr:colOff>
      <xdr:row>58</xdr:row>
      <xdr:rowOff>0</xdr:rowOff>
    </xdr:to>
    <xdr:sp macro="" textlink="">
      <xdr:nvSpPr>
        <xdr:cNvPr id="33" name="Double Bracket 32"/>
        <xdr:cNvSpPr/>
      </xdr:nvSpPr>
      <xdr:spPr>
        <a:xfrm>
          <a:off x="1970184" y="9124949"/>
          <a:ext cx="652098" cy="36195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0</xdr:colOff>
      <xdr:row>56</xdr:row>
      <xdr:rowOff>0</xdr:rowOff>
    </xdr:from>
    <xdr:to>
      <xdr:col>4</xdr:col>
      <xdr:colOff>0</xdr:colOff>
      <xdr:row>58</xdr:row>
      <xdr:rowOff>0</xdr:rowOff>
    </xdr:to>
    <xdr:cxnSp macro="">
      <xdr:nvCxnSpPr>
        <xdr:cNvPr id="34" name="Straight Connector 33"/>
        <xdr:cNvCxnSpPr/>
      </xdr:nvCxnSpPr>
      <xdr:spPr>
        <a:xfrm>
          <a:off x="2286000" y="9124950"/>
          <a:ext cx="0" cy="3619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285750</xdr:colOff>
      <xdr:row>56</xdr:row>
      <xdr:rowOff>177584</xdr:rowOff>
    </xdr:from>
    <xdr:to>
      <xdr:col>4</xdr:col>
      <xdr:colOff>298938</xdr:colOff>
      <xdr:row>56</xdr:row>
      <xdr:rowOff>177584</xdr:rowOff>
    </xdr:to>
    <xdr:cxnSp macro="">
      <xdr:nvCxnSpPr>
        <xdr:cNvPr id="35" name="Straight Connector 34"/>
        <xdr:cNvCxnSpPr/>
      </xdr:nvCxnSpPr>
      <xdr:spPr>
        <a:xfrm>
          <a:off x="2000250" y="9302534"/>
          <a:ext cx="58468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329712</xdr:colOff>
      <xdr:row>56</xdr:row>
      <xdr:rowOff>29308</xdr:rowOff>
    </xdr:from>
    <xdr:ext cx="254942" cy="264560"/>
    <xdr:sp macro="" textlink="">
      <xdr:nvSpPr>
        <xdr:cNvPr id="36" name="TextBox 35"/>
        <xdr:cNvSpPr txBox="1"/>
      </xdr:nvSpPr>
      <xdr:spPr>
        <a:xfrm>
          <a:off x="2615712" y="9154258"/>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0</xdr:col>
      <xdr:colOff>40822</xdr:colOff>
      <xdr:row>62</xdr:row>
      <xdr:rowOff>40821</xdr:rowOff>
    </xdr:from>
    <xdr:to>
      <xdr:col>4</xdr:col>
      <xdr:colOff>66675</xdr:colOff>
      <xdr:row>65</xdr:row>
      <xdr:rowOff>145236</xdr:rowOff>
    </xdr:to>
    <xdr:grpSp>
      <xdr:nvGrpSpPr>
        <xdr:cNvPr id="24" name="Group 23"/>
        <xdr:cNvGrpSpPr/>
      </xdr:nvGrpSpPr>
      <xdr:grpSpPr>
        <a:xfrm>
          <a:off x="40822" y="10213521"/>
          <a:ext cx="2372813" cy="630195"/>
          <a:chOff x="40822" y="1267641"/>
          <a:chExt cx="2570933" cy="630195"/>
        </a:xfrm>
      </xdr:grpSpPr>
      <xdr:pic>
        <xdr:nvPicPr>
          <xdr:cNvPr id="28" name="Picture 27">
            <a:hlinkClick xmlns:r="http://schemas.openxmlformats.org/officeDocument/2006/relationships" r:id="rId6"/>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2" name="Picture 31" descr="PayPal - The safer, easier way to pay online!">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37" name="Group 36"/>
        <xdr:cNvGrpSpPr/>
      </xdr:nvGrpSpPr>
      <xdr:grpSpPr>
        <a:xfrm>
          <a:off x="40822" y="1252401"/>
          <a:ext cx="2372813" cy="630195"/>
          <a:chOff x="40822" y="1267641"/>
          <a:chExt cx="2570933" cy="630195"/>
        </a:xfrm>
      </xdr:grpSpPr>
      <xdr:pic>
        <xdr:nvPicPr>
          <xdr:cNvPr id="38" name="Picture 37">
            <a:hlinkClick xmlns:r="http://schemas.openxmlformats.org/officeDocument/2006/relationships" r:id="rId6"/>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9" name="Picture 38" descr="PayPal - The safer, easier way to pay online!">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E10" sqref="E10"/>
    </sheetView>
  </sheetViews>
  <sheetFormatPr defaultColWidth="9.109375" defaultRowHeight="15.6" x14ac:dyDescent="0.3"/>
  <cols>
    <col min="1" max="2" width="9.109375" style="258"/>
    <col min="3" max="3" width="10.6640625" style="258" bestFit="1" customWidth="1"/>
    <col min="4" max="11" width="9.109375" style="258"/>
    <col min="12" max="12" width="5.44140625" style="217" customWidth="1"/>
    <col min="13" max="17" width="5.33203125" style="251" customWidth="1"/>
    <col min="18" max="19" width="5.33203125" style="252" customWidth="1"/>
    <col min="20" max="25" width="9.109375" style="261"/>
    <col min="26" max="16384" width="9.109375" style="258"/>
  </cols>
  <sheetData>
    <row r="1" spans="1:25" s="217" customFormat="1" ht="13.8" x14ac:dyDescent="0.3">
      <c r="A1" s="242"/>
      <c r="B1" s="243" t="s">
        <v>199</v>
      </c>
      <c r="C1" s="244" t="s">
        <v>72</v>
      </c>
      <c r="D1" s="242"/>
      <c r="E1" s="242"/>
      <c r="F1" s="243" t="s">
        <v>220</v>
      </c>
      <c r="G1" s="245"/>
      <c r="H1" s="242"/>
      <c r="I1" s="242"/>
      <c r="J1" s="242"/>
      <c r="K1" s="242"/>
      <c r="M1" s="246"/>
      <c r="N1" s="246"/>
      <c r="O1" s="246"/>
      <c r="P1" s="246"/>
      <c r="Q1" s="246"/>
      <c r="R1" s="246"/>
      <c r="S1" s="246"/>
      <c r="T1" s="247"/>
      <c r="U1" s="247"/>
      <c r="V1" s="247"/>
      <c r="W1" s="248"/>
      <c r="X1" s="249"/>
      <c r="Y1" s="247"/>
    </row>
    <row r="2" spans="1:25" s="217" customFormat="1" ht="13.8" x14ac:dyDescent="0.3">
      <c r="A2" s="242"/>
      <c r="B2" s="243" t="s">
        <v>201</v>
      </c>
      <c r="C2" s="244" t="s">
        <v>196</v>
      </c>
      <c r="D2" s="242"/>
      <c r="E2" s="242"/>
      <c r="F2" s="243" t="s">
        <v>202</v>
      </c>
      <c r="G2" s="244"/>
      <c r="H2" s="242"/>
      <c r="I2" s="242"/>
      <c r="J2" s="242"/>
      <c r="K2" s="242"/>
      <c r="M2" s="246"/>
      <c r="N2" s="246"/>
      <c r="O2" s="246"/>
      <c r="P2" s="246"/>
      <c r="Q2" s="246"/>
      <c r="R2" s="246"/>
      <c r="S2" s="246"/>
      <c r="T2" s="247"/>
      <c r="U2" s="247"/>
      <c r="V2" s="247"/>
      <c r="W2" s="248"/>
      <c r="X2" s="249"/>
      <c r="Y2" s="247"/>
    </row>
    <row r="3" spans="1:25" s="217" customFormat="1" ht="13.8" x14ac:dyDescent="0.3">
      <c r="A3" s="242"/>
      <c r="B3" s="243" t="s">
        <v>66</v>
      </c>
      <c r="C3" s="250"/>
      <c r="D3" s="242"/>
      <c r="E3" s="242"/>
      <c r="F3" s="243" t="s">
        <v>65</v>
      </c>
      <c r="G3" s="244"/>
      <c r="H3" s="242"/>
      <c r="I3" s="242"/>
      <c r="J3" s="242"/>
      <c r="K3" s="242"/>
      <c r="M3" s="246"/>
      <c r="N3" s="246"/>
      <c r="O3" s="246"/>
      <c r="P3" s="246"/>
      <c r="Q3" s="246"/>
      <c r="R3" s="246"/>
      <c r="S3" s="246"/>
      <c r="T3" s="247"/>
      <c r="U3" s="247"/>
      <c r="V3" s="247"/>
      <c r="W3" s="248"/>
      <c r="X3" s="249"/>
      <c r="Y3" s="247"/>
    </row>
    <row r="4" spans="1:25" s="217" customFormat="1" ht="13.8" x14ac:dyDescent="0.3">
      <c r="A4" s="242"/>
      <c r="B4" s="243" t="s">
        <v>203</v>
      </c>
      <c r="C4" s="245"/>
      <c r="D4" s="242"/>
      <c r="E4" s="242"/>
      <c r="F4" s="243" t="s">
        <v>204</v>
      </c>
      <c r="G4" s="244" t="s">
        <v>221</v>
      </c>
      <c r="H4" s="242"/>
      <c r="I4" s="242"/>
      <c r="J4" s="242"/>
      <c r="K4" s="242"/>
      <c r="M4" s="246"/>
      <c r="N4" s="246"/>
      <c r="O4" s="246"/>
      <c r="P4" s="246"/>
      <c r="Q4" s="251"/>
      <c r="R4" s="252"/>
      <c r="S4" s="252"/>
      <c r="T4" s="247"/>
      <c r="U4" s="247"/>
      <c r="V4" s="247"/>
      <c r="W4" s="248"/>
      <c r="X4" s="249"/>
      <c r="Y4" s="247"/>
    </row>
    <row r="5" spans="1:25" s="217" customFormat="1" ht="13.8" x14ac:dyDescent="0.3">
      <c r="A5" s="242"/>
      <c r="B5" s="243" t="s">
        <v>205</v>
      </c>
      <c r="C5" s="245"/>
      <c r="D5" s="242"/>
      <c r="E5" s="243"/>
      <c r="F5" s="242"/>
      <c r="G5" s="242"/>
      <c r="H5" s="242"/>
      <c r="I5" s="242"/>
      <c r="J5" s="242"/>
      <c r="K5" s="242"/>
      <c r="M5" s="246"/>
      <c r="N5" s="246"/>
      <c r="O5" s="246"/>
      <c r="P5" s="246"/>
      <c r="Q5" s="251"/>
      <c r="R5" s="252"/>
      <c r="S5" s="252"/>
      <c r="T5" s="247"/>
      <c r="U5" s="247"/>
      <c r="V5" s="247"/>
      <c r="W5" s="248"/>
      <c r="X5" s="249"/>
      <c r="Y5" s="247"/>
    </row>
    <row r="6" spans="1:25" s="217" customFormat="1" ht="13.8" x14ac:dyDescent="0.3">
      <c r="A6" s="242"/>
      <c r="B6" s="242" t="s">
        <v>207</v>
      </c>
      <c r="C6" s="253"/>
      <c r="D6" s="242"/>
      <c r="E6" s="242"/>
      <c r="F6" s="242"/>
      <c r="G6" s="242"/>
      <c r="H6" s="242"/>
      <c r="I6" s="242"/>
      <c r="J6" s="242"/>
      <c r="K6" s="242"/>
      <c r="M6" s="246"/>
      <c r="N6" s="246"/>
      <c r="O6" s="246"/>
      <c r="P6" s="246"/>
      <c r="Q6" s="251"/>
      <c r="R6" s="252"/>
      <c r="S6" s="252"/>
      <c r="T6" s="247"/>
      <c r="U6" s="247"/>
      <c r="V6" s="247"/>
      <c r="W6" s="248"/>
      <c r="X6" s="249"/>
      <c r="Y6" s="247"/>
    </row>
    <row r="7" spans="1:25" s="217" customFormat="1" ht="13.8" x14ac:dyDescent="0.3">
      <c r="A7" s="242"/>
      <c r="B7" s="242"/>
      <c r="C7" s="242"/>
      <c r="D7" s="242"/>
      <c r="E7" s="242"/>
      <c r="F7" s="242"/>
      <c r="G7" s="242"/>
      <c r="H7" s="242"/>
      <c r="I7" s="242"/>
      <c r="J7" s="242"/>
      <c r="K7" s="242"/>
      <c r="M7" s="246"/>
      <c r="N7" s="246"/>
      <c r="O7" s="246"/>
      <c r="P7" s="246"/>
      <c r="Q7" s="251"/>
      <c r="R7" s="252"/>
      <c r="S7" s="252"/>
      <c r="T7" s="247"/>
      <c r="U7" s="247"/>
      <c r="V7" s="247"/>
      <c r="W7" s="248"/>
      <c r="X7" s="249"/>
      <c r="Y7" s="247"/>
    </row>
    <row r="8" spans="1:25" s="217" customFormat="1" ht="13.8" x14ac:dyDescent="0.3">
      <c r="A8" s="254"/>
      <c r="E8" s="218"/>
      <c r="F8" s="219"/>
      <c r="H8" s="221"/>
      <c r="I8" s="218"/>
      <c r="J8" s="255"/>
      <c r="K8" s="256"/>
      <c r="L8" s="257"/>
      <c r="M8" s="246"/>
      <c r="N8" s="246"/>
      <c r="O8" s="246"/>
      <c r="P8" s="246"/>
      <c r="Q8" s="251"/>
      <c r="R8" s="252"/>
      <c r="S8" s="252"/>
      <c r="T8" s="247"/>
      <c r="U8" s="247"/>
      <c r="V8" s="247"/>
      <c r="W8" s="247"/>
      <c r="X8" s="247"/>
      <c r="Y8" s="247"/>
    </row>
    <row r="9" spans="1:25" s="217" customFormat="1" ht="13.8" x14ac:dyDescent="0.3">
      <c r="E9" s="218"/>
      <c r="F9" s="221"/>
      <c r="H9" s="221"/>
      <c r="I9" s="218"/>
      <c r="J9" s="256"/>
      <c r="K9" s="256"/>
      <c r="L9" s="257"/>
      <c r="M9" s="246"/>
      <c r="N9" s="246"/>
      <c r="O9" s="246"/>
      <c r="P9" s="246"/>
      <c r="Q9" s="251"/>
      <c r="R9" s="252"/>
      <c r="S9" s="252"/>
      <c r="T9" s="247"/>
      <c r="U9" s="247"/>
      <c r="V9" s="247"/>
      <c r="W9" s="247"/>
      <c r="X9" s="247"/>
      <c r="Y9" s="247"/>
    </row>
    <row r="10" spans="1:25" s="217" customFormat="1" ht="13.8" x14ac:dyDescent="0.3">
      <c r="E10" s="218"/>
      <c r="F10" s="221"/>
      <c r="H10" s="221"/>
      <c r="I10" s="218"/>
      <c r="J10" s="219"/>
      <c r="K10" s="221"/>
      <c r="L10" s="257"/>
      <c r="M10" s="246"/>
      <c r="N10" s="246"/>
      <c r="O10" s="246"/>
      <c r="P10" s="246"/>
      <c r="Q10" s="251"/>
      <c r="R10" s="252"/>
      <c r="S10" s="252"/>
      <c r="T10" s="247"/>
      <c r="U10" s="247"/>
      <c r="V10" s="247"/>
      <c r="W10" s="247"/>
      <c r="X10" s="247"/>
      <c r="Y10" s="247"/>
    </row>
    <row r="11" spans="1:25" s="217" customFormat="1" ht="13.8" x14ac:dyDescent="0.3">
      <c r="E11" s="218"/>
      <c r="F11" s="221"/>
      <c r="I11" s="224"/>
      <c r="J11" s="219"/>
      <c r="M11" s="246"/>
      <c r="N11" s="246"/>
      <c r="O11" s="246"/>
      <c r="P11" s="246"/>
      <c r="Q11" s="246"/>
      <c r="R11" s="246"/>
      <c r="S11" s="246"/>
      <c r="T11" s="247"/>
      <c r="U11" s="247"/>
      <c r="V11" s="247"/>
      <c r="W11" s="247"/>
      <c r="X11" s="247"/>
      <c r="Y11" s="247"/>
    </row>
    <row r="12" spans="1:25" x14ac:dyDescent="0.3">
      <c r="C12" s="259" t="str">
        <f>G4</f>
        <v>IMPORTANT INFORMATION</v>
      </c>
      <c r="M12" s="246"/>
      <c r="N12" s="246"/>
      <c r="O12" s="246"/>
      <c r="P12" s="246"/>
      <c r="Q12" s="260"/>
      <c r="R12" s="260"/>
      <c r="S12" s="260"/>
    </row>
    <row r="13" spans="1:25" s="217" customFormat="1" ht="13.8" x14ac:dyDescent="0.3">
      <c r="M13" s="246"/>
      <c r="N13" s="246"/>
      <c r="O13" s="246"/>
      <c r="P13" s="246"/>
      <c r="Q13" s="246"/>
      <c r="R13" s="246"/>
      <c r="S13" s="246"/>
      <c r="T13" s="247"/>
      <c r="U13" s="247"/>
      <c r="V13" s="247"/>
      <c r="W13" s="247"/>
      <c r="X13" s="247"/>
      <c r="Y13" s="247"/>
    </row>
    <row r="14" spans="1:25" s="217" customFormat="1" ht="13.8" x14ac:dyDescent="0.3">
      <c r="B14" s="262" t="s">
        <v>222</v>
      </c>
      <c r="M14" s="246"/>
      <c r="N14" s="246"/>
      <c r="O14" s="246"/>
      <c r="P14" s="246"/>
      <c r="Q14" s="246"/>
      <c r="R14" s="246"/>
      <c r="S14" s="246"/>
      <c r="T14" s="247"/>
      <c r="U14" s="247"/>
      <c r="V14" s="247"/>
      <c r="W14" s="247"/>
      <c r="X14" s="247"/>
      <c r="Y14" s="247"/>
    </row>
    <row r="15" spans="1:25" s="217" customFormat="1" ht="13.8" x14ac:dyDescent="0.3">
      <c r="A15" s="263"/>
      <c r="K15" s="263"/>
      <c r="M15" s="251"/>
      <c r="N15" s="251"/>
      <c r="O15" s="251"/>
      <c r="P15" s="251"/>
      <c r="Q15" s="251"/>
      <c r="R15" s="252"/>
      <c r="S15" s="252"/>
      <c r="T15" s="247"/>
      <c r="U15" s="247"/>
      <c r="V15" s="247"/>
      <c r="W15" s="247"/>
      <c r="X15" s="247"/>
      <c r="Y15" s="247"/>
    </row>
    <row r="16" spans="1:25" s="217" customFormat="1" ht="12.75" customHeight="1" x14ac:dyDescent="0.3">
      <c r="B16" s="375" t="s">
        <v>223</v>
      </c>
      <c r="C16" s="375"/>
      <c r="D16" s="375"/>
      <c r="E16" s="375"/>
      <c r="F16" s="375"/>
      <c r="G16" s="375"/>
      <c r="H16" s="375"/>
      <c r="I16" s="375"/>
      <c r="J16" s="375"/>
      <c r="M16" s="251"/>
      <c r="N16" s="251"/>
      <c r="O16" s="251"/>
      <c r="P16" s="251"/>
      <c r="Q16" s="251"/>
      <c r="R16" s="252"/>
      <c r="S16" s="252"/>
      <c r="T16" s="247"/>
      <c r="U16" s="247"/>
      <c r="V16" s="247"/>
      <c r="W16" s="247"/>
      <c r="X16" s="247"/>
      <c r="Y16" s="247"/>
    </row>
    <row r="17" spans="1:25" s="217" customFormat="1" ht="13.8" x14ac:dyDescent="0.3">
      <c r="B17" s="375"/>
      <c r="C17" s="375"/>
      <c r="D17" s="375"/>
      <c r="E17" s="375"/>
      <c r="F17" s="375"/>
      <c r="G17" s="375"/>
      <c r="H17" s="375"/>
      <c r="I17" s="375"/>
      <c r="J17" s="375"/>
      <c r="M17" s="251"/>
      <c r="N17" s="251"/>
      <c r="O17" s="251"/>
      <c r="P17" s="251"/>
      <c r="Q17" s="251"/>
      <c r="R17" s="252"/>
      <c r="S17" s="252"/>
      <c r="T17" s="247"/>
      <c r="U17" s="247"/>
      <c r="V17" s="247"/>
      <c r="W17" s="247"/>
      <c r="X17" s="247"/>
      <c r="Y17" s="247"/>
    </row>
    <row r="18" spans="1:25" s="217" customFormat="1" ht="13.8" x14ac:dyDescent="0.3">
      <c r="B18" s="375"/>
      <c r="C18" s="375"/>
      <c r="D18" s="375"/>
      <c r="E18" s="375"/>
      <c r="F18" s="375"/>
      <c r="G18" s="375"/>
      <c r="H18" s="375"/>
      <c r="I18" s="375"/>
      <c r="J18" s="375"/>
      <c r="M18" s="251"/>
      <c r="N18" s="251"/>
      <c r="O18" s="251"/>
      <c r="P18" s="251"/>
      <c r="Q18" s="251"/>
      <c r="R18" s="252"/>
      <c r="S18" s="252"/>
      <c r="T18" s="247"/>
      <c r="U18" s="247"/>
      <c r="V18" s="247"/>
      <c r="W18" s="247"/>
      <c r="X18" s="247"/>
      <c r="Y18" s="247"/>
    </row>
    <row r="19" spans="1:25" s="217" customFormat="1" ht="13.8" x14ac:dyDescent="0.3">
      <c r="B19" s="375"/>
      <c r="C19" s="375"/>
      <c r="D19" s="375"/>
      <c r="E19" s="375"/>
      <c r="F19" s="375"/>
      <c r="G19" s="375"/>
      <c r="H19" s="375"/>
      <c r="I19" s="375"/>
      <c r="J19" s="375"/>
      <c r="M19" s="251"/>
      <c r="N19" s="251"/>
      <c r="O19" s="251"/>
      <c r="P19" s="251"/>
      <c r="Q19" s="251"/>
      <c r="R19" s="252"/>
      <c r="S19" s="252"/>
      <c r="T19" s="247"/>
      <c r="U19" s="247"/>
      <c r="V19" s="247"/>
      <c r="W19" s="247"/>
      <c r="X19" s="247"/>
      <c r="Y19" s="247"/>
    </row>
    <row r="20" spans="1:25" s="217" customFormat="1" ht="12.75" customHeight="1" x14ac:dyDescent="0.3">
      <c r="A20" s="263"/>
      <c r="B20" s="264" t="s">
        <v>224</v>
      </c>
      <c r="C20" s="263"/>
      <c r="D20" s="263"/>
      <c r="E20" s="263"/>
      <c r="F20" s="263"/>
      <c r="G20" s="263"/>
      <c r="H20" s="263"/>
      <c r="I20" s="263"/>
      <c r="J20" s="263"/>
      <c r="K20" s="263"/>
      <c r="M20" s="251"/>
      <c r="N20" s="251"/>
      <c r="O20" s="251"/>
      <c r="P20" s="251"/>
      <c r="Q20" s="251"/>
      <c r="R20" s="252"/>
      <c r="S20" s="252"/>
      <c r="T20" s="247"/>
      <c r="U20" s="247"/>
      <c r="V20" s="247"/>
      <c r="W20" s="247"/>
      <c r="X20" s="247"/>
      <c r="Y20" s="247"/>
    </row>
    <row r="21" spans="1:25" s="217" customFormat="1" ht="13.8" x14ac:dyDescent="0.3">
      <c r="A21" s="263"/>
      <c r="B21" s="264"/>
      <c r="C21" s="263"/>
      <c r="D21" s="263"/>
      <c r="E21" s="263"/>
      <c r="F21" s="263"/>
      <c r="G21" s="263"/>
      <c r="H21" s="263"/>
      <c r="I21" s="263"/>
      <c r="J21" s="263"/>
      <c r="K21" s="263"/>
      <c r="M21" s="251"/>
      <c r="N21" s="251"/>
      <c r="O21" s="251"/>
      <c r="P21" s="251"/>
      <c r="Q21" s="251"/>
      <c r="R21" s="252"/>
      <c r="S21" s="252"/>
      <c r="T21" s="247"/>
      <c r="U21" s="247"/>
      <c r="V21" s="247"/>
      <c r="W21" s="247"/>
      <c r="X21" s="247"/>
      <c r="Y21" s="247"/>
    </row>
    <row r="22" spans="1:25" s="217" customFormat="1" ht="13.8" x14ac:dyDescent="0.3">
      <c r="A22" s="263"/>
      <c r="B22" s="375" t="s">
        <v>225</v>
      </c>
      <c r="C22" s="375"/>
      <c r="D22" s="375"/>
      <c r="E22" s="375"/>
      <c r="F22" s="375"/>
      <c r="G22" s="375"/>
      <c r="H22" s="375"/>
      <c r="I22" s="375"/>
      <c r="J22" s="375"/>
      <c r="K22" s="263"/>
      <c r="M22" s="251"/>
      <c r="N22" s="251"/>
      <c r="O22" s="251"/>
      <c r="P22" s="251"/>
      <c r="Q22" s="251"/>
      <c r="R22" s="252"/>
      <c r="S22" s="252"/>
      <c r="T22" s="247"/>
      <c r="U22" s="247"/>
      <c r="V22" s="247"/>
      <c r="W22" s="247"/>
      <c r="X22" s="247"/>
      <c r="Y22" s="247"/>
    </row>
    <row r="23" spans="1:25" s="217" customFormat="1" ht="13.8" x14ac:dyDescent="0.3">
      <c r="A23" s="263"/>
      <c r="B23" s="375"/>
      <c r="C23" s="375"/>
      <c r="D23" s="375"/>
      <c r="E23" s="375"/>
      <c r="F23" s="375"/>
      <c r="G23" s="375"/>
      <c r="H23" s="375"/>
      <c r="I23" s="375"/>
      <c r="J23" s="375"/>
      <c r="K23" s="263"/>
      <c r="M23" s="251"/>
      <c r="N23" s="251"/>
      <c r="O23" s="251"/>
      <c r="P23" s="251"/>
      <c r="Q23" s="251"/>
      <c r="R23" s="252"/>
      <c r="S23" s="265"/>
      <c r="T23" s="247"/>
      <c r="U23" s="247"/>
      <c r="V23" s="247"/>
      <c r="W23" s="247"/>
      <c r="X23" s="247"/>
      <c r="Y23" s="247"/>
    </row>
    <row r="24" spans="1:25" s="217" customFormat="1" ht="13.8" x14ac:dyDescent="0.3">
      <c r="A24" s="263"/>
      <c r="B24" s="375"/>
      <c r="C24" s="375"/>
      <c r="D24" s="375"/>
      <c r="E24" s="375"/>
      <c r="F24" s="375"/>
      <c r="G24" s="375"/>
      <c r="H24" s="375"/>
      <c r="I24" s="375"/>
      <c r="J24" s="375"/>
      <c r="K24" s="263"/>
      <c r="M24" s="251"/>
      <c r="N24" s="251"/>
      <c r="O24" s="251"/>
      <c r="P24" s="251"/>
      <c r="Q24" s="251"/>
      <c r="R24" s="252"/>
      <c r="S24" s="265"/>
      <c r="T24" s="247"/>
      <c r="U24" s="247"/>
      <c r="V24" s="247"/>
      <c r="W24" s="247"/>
      <c r="X24" s="247"/>
      <c r="Y24" s="247"/>
    </row>
    <row r="25" spans="1:25" s="217" customFormat="1" ht="12.75" customHeight="1" x14ac:dyDescent="0.3">
      <c r="A25" s="263"/>
      <c r="B25" s="268"/>
      <c r="C25" s="268"/>
      <c r="D25" s="268"/>
      <c r="E25" s="268"/>
      <c r="F25" s="270" t="s">
        <v>237</v>
      </c>
      <c r="G25" s="268"/>
      <c r="H25" s="268"/>
      <c r="I25" s="268"/>
      <c r="J25" s="268"/>
      <c r="K25" s="263"/>
      <c r="M25" s="251"/>
      <c r="N25" s="251"/>
      <c r="O25" s="251"/>
      <c r="P25" s="251"/>
      <c r="Q25" s="251"/>
      <c r="R25" s="252"/>
      <c r="S25" s="252"/>
      <c r="T25" s="247"/>
      <c r="U25" s="247"/>
      <c r="V25" s="247"/>
      <c r="W25" s="247"/>
      <c r="X25" s="247"/>
      <c r="Y25" s="247"/>
    </row>
    <row r="26" spans="1:25" s="217" customFormat="1" ht="13.8" x14ac:dyDescent="0.3">
      <c r="A26" s="263"/>
      <c r="B26" s="375" t="s">
        <v>226</v>
      </c>
      <c r="C26" s="375"/>
      <c r="D26" s="375"/>
      <c r="E26" s="375"/>
      <c r="F26" s="375"/>
      <c r="G26" s="375"/>
      <c r="H26" s="375"/>
      <c r="I26" s="375"/>
      <c r="J26" s="375"/>
      <c r="K26" s="263"/>
      <c r="M26" s="251"/>
      <c r="N26" s="251"/>
      <c r="O26" s="251"/>
      <c r="P26" s="251"/>
      <c r="Q26" s="251"/>
      <c r="R26" s="252"/>
      <c r="S26" s="252"/>
      <c r="T26" s="247"/>
      <c r="U26" s="247"/>
      <c r="V26" s="247"/>
      <c r="W26" s="247"/>
      <c r="X26" s="247"/>
      <c r="Y26" s="247"/>
    </row>
    <row r="27" spans="1:25" s="217" customFormat="1" ht="13.8" x14ac:dyDescent="0.3">
      <c r="A27" s="263"/>
      <c r="B27" s="375"/>
      <c r="C27" s="375"/>
      <c r="D27" s="375"/>
      <c r="E27" s="375"/>
      <c r="F27" s="375"/>
      <c r="G27" s="375"/>
      <c r="H27" s="375"/>
      <c r="I27" s="375"/>
      <c r="J27" s="375"/>
      <c r="K27" s="263"/>
      <c r="M27" s="251"/>
      <c r="N27" s="251"/>
      <c r="O27" s="251"/>
      <c r="P27" s="251"/>
      <c r="Q27" s="251"/>
      <c r="R27" s="252"/>
      <c r="S27" s="252"/>
      <c r="T27" s="247"/>
      <c r="U27" s="247"/>
      <c r="V27" s="247"/>
      <c r="W27" s="247"/>
      <c r="X27" s="247"/>
      <c r="Y27" s="247"/>
    </row>
    <row r="28" spans="1:25" s="217" customFormat="1" ht="13.8" x14ac:dyDescent="0.3">
      <c r="A28" s="263"/>
      <c r="B28" s="268"/>
      <c r="C28" s="268"/>
      <c r="D28" s="268"/>
      <c r="E28" s="268"/>
      <c r="F28" s="268"/>
      <c r="G28" s="268"/>
      <c r="H28" s="268"/>
      <c r="I28" s="268"/>
      <c r="J28" s="268"/>
      <c r="K28" s="263"/>
      <c r="M28" s="251"/>
      <c r="N28" s="251"/>
      <c r="O28" s="251"/>
      <c r="P28" s="251"/>
      <c r="Q28" s="251"/>
      <c r="R28" s="252"/>
      <c r="S28" s="252"/>
      <c r="T28" s="247"/>
      <c r="U28" s="247"/>
      <c r="V28" s="247"/>
      <c r="W28" s="247"/>
      <c r="X28" s="247"/>
      <c r="Y28" s="247"/>
    </row>
    <row r="29" spans="1:25" s="217" customFormat="1" ht="13.8" x14ac:dyDescent="0.3">
      <c r="A29" s="263"/>
      <c r="B29" s="375" t="s">
        <v>227</v>
      </c>
      <c r="C29" s="375"/>
      <c r="D29" s="375"/>
      <c r="E29" s="375"/>
      <c r="F29" s="375"/>
      <c r="G29" s="375"/>
      <c r="H29" s="375"/>
      <c r="I29" s="375"/>
      <c r="J29" s="375"/>
      <c r="K29" s="263"/>
      <c r="M29" s="251"/>
      <c r="N29" s="251"/>
      <c r="O29" s="251"/>
      <c r="P29" s="251"/>
      <c r="Q29" s="251"/>
      <c r="R29" s="252"/>
      <c r="S29" s="252"/>
      <c r="T29" s="247"/>
      <c r="U29" s="247"/>
      <c r="V29" s="247"/>
      <c r="W29" s="247"/>
      <c r="X29" s="247"/>
      <c r="Y29" s="247"/>
    </row>
    <row r="30" spans="1:25" s="217" customFormat="1" ht="13.8" x14ac:dyDescent="0.3">
      <c r="A30" s="263"/>
      <c r="B30" s="375"/>
      <c r="C30" s="375"/>
      <c r="D30" s="375"/>
      <c r="E30" s="375"/>
      <c r="F30" s="375"/>
      <c r="G30" s="375"/>
      <c r="H30" s="375"/>
      <c r="I30" s="375"/>
      <c r="J30" s="375"/>
      <c r="K30" s="263"/>
      <c r="M30" s="251"/>
      <c r="N30" s="251"/>
      <c r="O30" s="251"/>
      <c r="P30" s="251"/>
      <c r="Q30" s="251"/>
      <c r="R30" s="252"/>
      <c r="S30" s="252"/>
      <c r="T30" s="247"/>
      <c r="U30" s="247"/>
      <c r="V30" s="247"/>
      <c r="W30" s="247"/>
      <c r="X30" s="247"/>
      <c r="Y30" s="247"/>
    </row>
    <row r="31" spans="1:25" s="217" customFormat="1" ht="12.75" customHeight="1" x14ac:dyDescent="0.3">
      <c r="A31" s="263"/>
      <c r="B31" s="375"/>
      <c r="C31" s="375"/>
      <c r="D31" s="375"/>
      <c r="E31" s="375"/>
      <c r="F31" s="375"/>
      <c r="G31" s="375"/>
      <c r="H31" s="375"/>
      <c r="I31" s="375"/>
      <c r="J31" s="375"/>
      <c r="K31" s="263"/>
      <c r="M31" s="251"/>
      <c r="N31" s="251"/>
      <c r="O31" s="251"/>
      <c r="P31" s="251"/>
      <c r="Q31" s="251"/>
      <c r="R31" s="252"/>
      <c r="S31" s="252"/>
      <c r="T31" s="247"/>
      <c r="U31" s="247"/>
      <c r="V31" s="247"/>
      <c r="W31" s="247"/>
      <c r="X31" s="247"/>
      <c r="Y31" s="247"/>
    </row>
    <row r="32" spans="1:25" s="217" customFormat="1" ht="13.8" x14ac:dyDescent="0.3">
      <c r="A32" s="263"/>
      <c r="B32" s="375"/>
      <c r="C32" s="375"/>
      <c r="D32" s="375"/>
      <c r="E32" s="375"/>
      <c r="F32" s="375"/>
      <c r="G32" s="375"/>
      <c r="H32" s="375"/>
      <c r="I32" s="375"/>
      <c r="J32" s="375"/>
      <c r="K32" s="263"/>
      <c r="M32" s="251"/>
      <c r="N32" s="251"/>
      <c r="O32" s="251"/>
      <c r="P32" s="251"/>
      <c r="Q32" s="251"/>
      <c r="R32" s="252"/>
      <c r="S32" s="252"/>
      <c r="T32" s="247"/>
      <c r="U32" s="247"/>
      <c r="V32" s="247"/>
      <c r="W32" s="247"/>
      <c r="X32" s="247"/>
      <c r="Y32" s="247"/>
    </row>
    <row r="33" spans="1:25" s="217" customFormat="1" ht="12.75" customHeight="1" x14ac:dyDescent="0.3">
      <c r="A33" s="263"/>
      <c r="B33" s="375"/>
      <c r="C33" s="375"/>
      <c r="D33" s="375"/>
      <c r="E33" s="375"/>
      <c r="F33" s="375"/>
      <c r="G33" s="375"/>
      <c r="H33" s="375"/>
      <c r="I33" s="375"/>
      <c r="J33" s="375"/>
      <c r="K33" s="263"/>
      <c r="M33" s="251"/>
      <c r="N33" s="251"/>
      <c r="O33" s="251"/>
      <c r="P33" s="251"/>
      <c r="Q33" s="251"/>
      <c r="R33" s="252"/>
      <c r="S33" s="252"/>
      <c r="T33" s="247"/>
      <c r="U33" s="247"/>
      <c r="V33" s="247"/>
      <c r="W33" s="247"/>
      <c r="X33" s="247"/>
      <c r="Y33" s="247"/>
    </row>
    <row r="34" spans="1:25" s="217" customFormat="1" ht="13.8" x14ac:dyDescent="0.3">
      <c r="A34" s="263"/>
      <c r="B34" s="268"/>
      <c r="C34" s="268"/>
      <c r="D34" s="377" t="s">
        <v>228</v>
      </c>
      <c r="E34" s="377"/>
      <c r="F34" s="377"/>
      <c r="G34" s="377"/>
      <c r="H34" s="377"/>
      <c r="I34" s="268"/>
      <c r="J34" s="268"/>
      <c r="K34" s="263"/>
      <c r="M34" s="251"/>
      <c r="N34" s="251"/>
      <c r="O34" s="251"/>
      <c r="P34" s="251"/>
      <c r="Q34" s="251"/>
      <c r="R34" s="252"/>
      <c r="S34" s="265"/>
      <c r="T34" s="247"/>
      <c r="U34" s="247"/>
      <c r="V34" s="247"/>
      <c r="W34" s="247"/>
      <c r="X34" s="247"/>
      <c r="Y34" s="247"/>
    </row>
    <row r="35" spans="1:25" s="217" customFormat="1" ht="13.8" x14ac:dyDescent="0.3">
      <c r="A35" s="263"/>
      <c r="B35" s="263"/>
      <c r="C35" s="263"/>
      <c r="I35" s="263"/>
      <c r="J35" s="263"/>
      <c r="K35" s="263"/>
      <c r="M35" s="251"/>
      <c r="N35" s="251"/>
      <c r="O35" s="251"/>
      <c r="P35" s="251"/>
      <c r="Q35" s="251"/>
      <c r="R35" s="252"/>
      <c r="S35" s="265"/>
      <c r="T35" s="247"/>
      <c r="U35" s="247"/>
      <c r="V35" s="247"/>
      <c r="W35" s="247"/>
      <c r="X35" s="247"/>
      <c r="Y35" s="247"/>
    </row>
    <row r="36" spans="1:25" s="217" customFormat="1" ht="12.75" customHeight="1" x14ac:dyDescent="0.3">
      <c r="A36" s="263"/>
      <c r="B36" s="264" t="s">
        <v>229</v>
      </c>
      <c r="C36" s="263"/>
      <c r="D36" s="263"/>
      <c r="E36" s="263"/>
      <c r="F36" s="271"/>
      <c r="G36" s="263"/>
      <c r="H36" s="263"/>
      <c r="I36" s="263"/>
      <c r="J36" s="263"/>
      <c r="K36" s="263"/>
      <c r="M36" s="251"/>
      <c r="N36" s="251"/>
      <c r="O36" s="251"/>
      <c r="P36" s="251"/>
      <c r="Q36" s="251"/>
      <c r="R36" s="252"/>
      <c r="S36" s="252"/>
      <c r="T36" s="247"/>
      <c r="U36" s="247"/>
      <c r="V36" s="247"/>
      <c r="W36" s="247"/>
      <c r="X36" s="247"/>
      <c r="Y36" s="247"/>
    </row>
    <row r="37" spans="1:25" s="217" customFormat="1" ht="13.8" x14ac:dyDescent="0.3">
      <c r="A37" s="263"/>
      <c r="B37" s="264"/>
      <c r="C37" s="263"/>
      <c r="D37" s="263"/>
      <c r="E37" s="263"/>
      <c r="F37" s="271"/>
      <c r="G37" s="263"/>
      <c r="H37" s="263"/>
      <c r="I37" s="263"/>
      <c r="J37" s="263"/>
      <c r="K37" s="263"/>
      <c r="M37" s="251"/>
      <c r="N37" s="251"/>
      <c r="O37" s="251"/>
      <c r="P37" s="251"/>
      <c r="Q37" s="251"/>
      <c r="R37" s="252"/>
      <c r="S37" s="252"/>
      <c r="T37" s="247"/>
      <c r="U37" s="247"/>
      <c r="V37" s="247"/>
      <c r="W37" s="247"/>
      <c r="X37" s="247"/>
      <c r="Y37" s="247"/>
    </row>
    <row r="38" spans="1:25" s="217" customFormat="1" ht="13.8" x14ac:dyDescent="0.3">
      <c r="A38" s="263"/>
      <c r="B38" s="375" t="s">
        <v>230</v>
      </c>
      <c r="C38" s="375"/>
      <c r="D38" s="375"/>
      <c r="E38" s="375"/>
      <c r="F38" s="375"/>
      <c r="G38" s="375"/>
      <c r="H38" s="375"/>
      <c r="I38" s="375"/>
      <c r="J38" s="375"/>
      <c r="K38" s="263"/>
      <c r="M38" s="251"/>
      <c r="N38" s="251"/>
      <c r="O38" s="251"/>
      <c r="P38" s="251"/>
      <c r="Q38" s="251"/>
      <c r="R38" s="252"/>
      <c r="S38" s="252"/>
      <c r="T38" s="247"/>
      <c r="U38" s="247"/>
      <c r="V38" s="247"/>
      <c r="W38" s="247"/>
      <c r="X38" s="247"/>
      <c r="Y38" s="247"/>
    </row>
    <row r="39" spans="1:25" s="217" customFormat="1" ht="13.8" x14ac:dyDescent="0.3">
      <c r="A39" s="263"/>
      <c r="B39" s="375"/>
      <c r="C39" s="375"/>
      <c r="D39" s="375"/>
      <c r="E39" s="375"/>
      <c r="F39" s="375"/>
      <c r="G39" s="375"/>
      <c r="H39" s="375"/>
      <c r="I39" s="375"/>
      <c r="J39" s="375"/>
      <c r="K39" s="263"/>
      <c r="M39" s="251"/>
      <c r="N39" s="251"/>
      <c r="O39" s="251"/>
      <c r="P39" s="251"/>
      <c r="Q39" s="251"/>
      <c r="R39" s="252"/>
      <c r="S39" s="252"/>
      <c r="T39" s="247"/>
      <c r="U39" s="247"/>
      <c r="V39" s="247"/>
      <c r="W39" s="247"/>
      <c r="X39" s="247"/>
      <c r="Y39" s="247"/>
    </row>
    <row r="40" spans="1:25" s="217" customFormat="1" ht="13.8" x14ac:dyDescent="0.3">
      <c r="A40" s="263"/>
      <c r="B40" s="268"/>
      <c r="C40" s="268"/>
      <c r="D40" s="268"/>
      <c r="E40" s="268"/>
      <c r="F40" s="268"/>
      <c r="G40" s="268"/>
      <c r="H40" s="268"/>
      <c r="I40" s="268"/>
      <c r="J40" s="268"/>
      <c r="K40" s="263"/>
      <c r="M40" s="251"/>
      <c r="N40" s="251"/>
      <c r="O40" s="251"/>
      <c r="P40" s="251"/>
      <c r="Q40" s="251"/>
      <c r="R40" s="252"/>
      <c r="S40" s="252"/>
      <c r="T40" s="247"/>
      <c r="U40" s="247"/>
      <c r="V40" s="247"/>
      <c r="W40" s="247"/>
      <c r="X40" s="247"/>
      <c r="Y40" s="247"/>
    </row>
    <row r="41" spans="1:25" s="217" customFormat="1" ht="13.8" x14ac:dyDescent="0.3">
      <c r="A41" s="263"/>
      <c r="B41" s="375" t="s">
        <v>231</v>
      </c>
      <c r="C41" s="375"/>
      <c r="D41" s="375"/>
      <c r="E41" s="375"/>
      <c r="F41" s="375"/>
      <c r="G41" s="375"/>
      <c r="H41" s="375"/>
      <c r="I41" s="375"/>
      <c r="J41" s="375"/>
      <c r="K41" s="263"/>
      <c r="M41" s="251"/>
      <c r="N41" s="251"/>
      <c r="O41" s="251"/>
      <c r="P41" s="251"/>
      <c r="Q41" s="251"/>
      <c r="R41" s="252"/>
      <c r="S41" s="252"/>
      <c r="T41" s="247"/>
      <c r="U41" s="247"/>
      <c r="V41" s="247"/>
      <c r="W41" s="247"/>
      <c r="X41" s="247"/>
      <c r="Y41" s="247"/>
    </row>
    <row r="42" spans="1:25" s="217" customFormat="1" ht="13.8" x14ac:dyDescent="0.3">
      <c r="A42" s="263"/>
      <c r="B42" s="375"/>
      <c r="C42" s="375"/>
      <c r="D42" s="375"/>
      <c r="E42" s="375"/>
      <c r="F42" s="375"/>
      <c r="G42" s="375"/>
      <c r="H42" s="375"/>
      <c r="I42" s="375"/>
      <c r="J42" s="375"/>
      <c r="K42" s="263"/>
      <c r="M42" s="251"/>
      <c r="N42" s="251"/>
      <c r="O42" s="251"/>
      <c r="P42" s="251"/>
      <c r="Q42" s="251"/>
      <c r="R42" s="252"/>
      <c r="S42" s="252"/>
      <c r="T42" s="247"/>
      <c r="U42" s="247"/>
      <c r="V42" s="247"/>
      <c r="W42" s="247"/>
      <c r="X42" s="247"/>
      <c r="Y42" s="247"/>
    </row>
    <row r="43" spans="1:25" s="217" customFormat="1" ht="13.8" x14ac:dyDescent="0.3">
      <c r="A43" s="263"/>
      <c r="B43" s="375"/>
      <c r="C43" s="375"/>
      <c r="D43" s="375"/>
      <c r="E43" s="375"/>
      <c r="F43" s="375"/>
      <c r="G43" s="375"/>
      <c r="H43" s="375"/>
      <c r="I43" s="375"/>
      <c r="J43" s="375"/>
      <c r="K43" s="263"/>
      <c r="M43" s="251"/>
      <c r="N43" s="251"/>
      <c r="O43" s="251"/>
      <c r="P43" s="251"/>
      <c r="Q43" s="251"/>
      <c r="R43" s="252"/>
      <c r="S43" s="252"/>
      <c r="T43" s="247"/>
      <c r="U43" s="247"/>
      <c r="V43" s="247"/>
      <c r="W43" s="247"/>
      <c r="X43" s="247"/>
      <c r="Y43" s="247"/>
    </row>
    <row r="44" spans="1:25" s="217" customFormat="1" ht="13.8" x14ac:dyDescent="0.3">
      <c r="A44" s="263"/>
      <c r="B44" s="268"/>
      <c r="C44" s="268"/>
      <c r="D44" s="268"/>
      <c r="E44" s="268"/>
      <c r="F44" s="268"/>
      <c r="G44" s="268"/>
      <c r="H44" s="268"/>
      <c r="I44" s="268"/>
      <c r="J44" s="268"/>
      <c r="K44" s="263"/>
      <c r="M44" s="251"/>
      <c r="N44" s="251"/>
      <c r="O44" s="251"/>
      <c r="P44" s="251"/>
      <c r="Q44" s="251"/>
      <c r="R44" s="252"/>
      <c r="S44" s="252"/>
      <c r="T44" s="247"/>
      <c r="U44" s="247"/>
      <c r="V44" s="247"/>
      <c r="W44" s="247"/>
      <c r="X44" s="247"/>
      <c r="Y44" s="247"/>
    </row>
    <row r="45" spans="1:25" s="217" customFormat="1" ht="12.75" customHeight="1" x14ac:dyDescent="0.3">
      <c r="A45" s="263"/>
      <c r="B45" s="375" t="s">
        <v>232</v>
      </c>
      <c r="C45" s="375"/>
      <c r="D45" s="375"/>
      <c r="E45" s="375"/>
      <c r="F45" s="375"/>
      <c r="G45" s="375"/>
      <c r="H45" s="375"/>
      <c r="I45" s="375"/>
      <c r="J45" s="375"/>
      <c r="K45" s="263"/>
      <c r="M45" s="251"/>
      <c r="N45" s="251"/>
      <c r="O45" s="251"/>
      <c r="P45" s="251"/>
      <c r="Q45" s="251"/>
      <c r="R45" s="252"/>
      <c r="S45" s="252"/>
      <c r="T45" s="247"/>
      <c r="U45" s="247"/>
      <c r="V45" s="247"/>
      <c r="W45" s="247"/>
      <c r="X45" s="247"/>
      <c r="Y45" s="247"/>
    </row>
    <row r="46" spans="1:25" s="217" customFormat="1" ht="13.8" x14ac:dyDescent="0.3">
      <c r="A46" s="263"/>
      <c r="B46" s="375"/>
      <c r="C46" s="375"/>
      <c r="D46" s="375"/>
      <c r="E46" s="375"/>
      <c r="F46" s="375"/>
      <c r="G46" s="375"/>
      <c r="H46" s="375"/>
      <c r="I46" s="375"/>
      <c r="J46" s="375"/>
      <c r="K46" s="263"/>
      <c r="M46" s="251"/>
      <c r="N46" s="251"/>
      <c r="O46" s="251"/>
      <c r="P46" s="251"/>
      <c r="Q46" s="251"/>
      <c r="R46" s="252"/>
      <c r="S46" s="252"/>
      <c r="T46" s="247"/>
      <c r="U46" s="247"/>
      <c r="V46" s="247"/>
      <c r="W46" s="247"/>
      <c r="X46" s="247"/>
      <c r="Y46" s="247"/>
    </row>
    <row r="47" spans="1:25" s="217" customFormat="1" ht="13.8" x14ac:dyDescent="0.3">
      <c r="A47" s="263"/>
      <c r="B47" s="375"/>
      <c r="C47" s="375"/>
      <c r="D47" s="375"/>
      <c r="E47" s="375"/>
      <c r="F47" s="375"/>
      <c r="G47" s="375"/>
      <c r="H47" s="375"/>
      <c r="I47" s="375"/>
      <c r="J47" s="375"/>
      <c r="K47" s="263"/>
      <c r="M47" s="251"/>
      <c r="N47" s="251"/>
      <c r="O47" s="251"/>
      <c r="P47" s="251"/>
      <c r="Q47" s="251"/>
      <c r="R47" s="252"/>
      <c r="S47" s="252"/>
      <c r="T47" s="247"/>
      <c r="U47" s="247"/>
      <c r="V47" s="247"/>
      <c r="W47" s="247"/>
      <c r="X47" s="247"/>
      <c r="Y47" s="247"/>
    </row>
    <row r="48" spans="1:25" s="217" customFormat="1" ht="12.75" customHeight="1" x14ac:dyDescent="0.3">
      <c r="A48" s="263"/>
      <c r="B48" s="375"/>
      <c r="C48" s="375"/>
      <c r="D48" s="375"/>
      <c r="E48" s="375"/>
      <c r="F48" s="375"/>
      <c r="G48" s="375"/>
      <c r="H48" s="375"/>
      <c r="I48" s="375"/>
      <c r="J48" s="375"/>
      <c r="K48" s="263"/>
      <c r="M48" s="251"/>
      <c r="N48" s="251"/>
      <c r="O48" s="251"/>
      <c r="P48" s="251"/>
      <c r="Q48" s="251"/>
      <c r="R48" s="252"/>
      <c r="S48" s="252"/>
      <c r="T48" s="247"/>
      <c r="U48" s="247"/>
      <c r="V48" s="247"/>
      <c r="W48" s="247"/>
      <c r="X48" s="247"/>
      <c r="Y48" s="247"/>
    </row>
    <row r="49" spans="1:25" s="217" customFormat="1" ht="13.8" x14ac:dyDescent="0.3">
      <c r="A49" s="263"/>
      <c r="B49" s="263" t="s">
        <v>233</v>
      </c>
      <c r="C49" s="263"/>
      <c r="D49" s="263"/>
      <c r="E49" s="263"/>
      <c r="F49" s="263"/>
      <c r="G49" s="263"/>
      <c r="H49" s="263"/>
      <c r="I49" s="263"/>
      <c r="J49" s="263"/>
      <c r="K49" s="263"/>
      <c r="M49" s="251"/>
      <c r="N49" s="251"/>
      <c r="O49" s="251"/>
      <c r="P49" s="251"/>
      <c r="Q49" s="251"/>
      <c r="R49" s="252"/>
      <c r="S49" s="252"/>
      <c r="T49" s="247"/>
      <c r="U49" s="247"/>
      <c r="V49" s="247"/>
      <c r="W49" s="247"/>
      <c r="X49" s="247"/>
      <c r="Y49" s="247"/>
    </row>
    <row r="50" spans="1:25" s="217" customFormat="1" ht="13.8" x14ac:dyDescent="0.3">
      <c r="A50" s="263"/>
      <c r="B50" s="263"/>
      <c r="C50" s="263"/>
      <c r="D50" s="263"/>
      <c r="F50" s="270" t="s">
        <v>238</v>
      </c>
      <c r="G50" s="271"/>
      <c r="H50" s="263"/>
      <c r="I50" s="263"/>
      <c r="J50" s="263"/>
      <c r="K50" s="263"/>
      <c r="M50" s="251"/>
      <c r="N50" s="251"/>
      <c r="O50" s="251"/>
      <c r="P50" s="251"/>
      <c r="Q50" s="251"/>
      <c r="R50" s="252"/>
      <c r="S50" s="252"/>
      <c r="T50" s="247"/>
      <c r="U50" s="247"/>
      <c r="V50" s="247"/>
      <c r="W50" s="247"/>
      <c r="X50" s="247"/>
      <c r="Y50" s="247"/>
    </row>
    <row r="51" spans="1:25" s="217" customFormat="1" ht="13.8" x14ac:dyDescent="0.3">
      <c r="A51" s="263"/>
      <c r="B51" s="263"/>
      <c r="C51" s="263"/>
      <c r="D51" s="263"/>
      <c r="E51" s="263"/>
      <c r="F51" s="263"/>
      <c r="G51" s="263"/>
      <c r="H51" s="263"/>
      <c r="I51" s="263"/>
      <c r="J51" s="263"/>
      <c r="K51" s="263"/>
      <c r="M51" s="251"/>
      <c r="N51" s="251"/>
      <c r="O51" s="251"/>
      <c r="P51" s="251"/>
      <c r="Q51" s="251"/>
      <c r="R51" s="252"/>
      <c r="S51" s="252"/>
      <c r="T51" s="247"/>
      <c r="U51" s="247"/>
      <c r="V51" s="247"/>
      <c r="W51" s="247"/>
      <c r="X51" s="247"/>
      <c r="Y51" s="247"/>
    </row>
    <row r="52" spans="1:25" s="217" customFormat="1" ht="12.75" customHeight="1" x14ac:dyDescent="0.3">
      <c r="A52" s="263"/>
      <c r="B52" s="264" t="s">
        <v>234</v>
      </c>
      <c r="C52" s="263"/>
      <c r="D52" s="263"/>
      <c r="E52" s="263"/>
      <c r="F52" s="263"/>
      <c r="G52" s="263"/>
      <c r="H52" s="263"/>
      <c r="I52" s="263"/>
      <c r="J52" s="263"/>
      <c r="K52" s="263"/>
      <c r="M52" s="251"/>
      <c r="N52" s="251"/>
      <c r="O52" s="251"/>
      <c r="P52" s="251"/>
      <c r="Q52" s="251"/>
      <c r="R52" s="252"/>
      <c r="S52" s="252"/>
      <c r="T52" s="247"/>
      <c r="U52" s="247"/>
      <c r="V52" s="247"/>
      <c r="W52" s="247"/>
      <c r="X52" s="247"/>
      <c r="Y52" s="247"/>
    </row>
    <row r="53" spans="1:25" s="217" customFormat="1" ht="13.8" x14ac:dyDescent="0.3">
      <c r="A53" s="263"/>
      <c r="B53" s="263"/>
      <c r="C53" s="263"/>
      <c r="D53" s="263"/>
      <c r="E53" s="263"/>
      <c r="F53" s="263"/>
      <c r="G53" s="263"/>
      <c r="H53" s="263"/>
      <c r="I53" s="263"/>
      <c r="J53" s="263"/>
      <c r="K53" s="263"/>
      <c r="M53" s="251"/>
      <c r="N53" s="251"/>
      <c r="O53" s="251"/>
      <c r="P53" s="251"/>
      <c r="Q53" s="251"/>
      <c r="R53" s="252"/>
      <c r="S53" s="252"/>
      <c r="T53" s="247"/>
      <c r="U53" s="247"/>
      <c r="V53" s="247"/>
      <c r="W53" s="247"/>
      <c r="X53" s="247"/>
      <c r="Y53" s="247"/>
    </row>
    <row r="54" spans="1:25" s="217" customFormat="1" ht="13.8" x14ac:dyDescent="0.3">
      <c r="A54" s="263"/>
      <c r="B54" s="376" t="s">
        <v>235</v>
      </c>
      <c r="C54" s="376"/>
      <c r="D54" s="376"/>
      <c r="E54" s="376"/>
      <c r="F54" s="376"/>
      <c r="G54" s="376"/>
      <c r="H54" s="376"/>
      <c r="I54" s="376"/>
      <c r="J54" s="376"/>
      <c r="K54" s="263"/>
      <c r="M54" s="251"/>
      <c r="N54" s="251"/>
      <c r="O54" s="251"/>
      <c r="P54" s="251"/>
      <c r="Q54" s="251"/>
      <c r="R54" s="252"/>
      <c r="S54" s="252"/>
      <c r="T54" s="247"/>
      <c r="U54" s="247"/>
      <c r="V54" s="247"/>
      <c r="W54" s="247"/>
      <c r="X54" s="247"/>
      <c r="Y54" s="247"/>
    </row>
    <row r="55" spans="1:25" s="217" customFormat="1" ht="13.8" x14ac:dyDescent="0.3">
      <c r="A55" s="263"/>
      <c r="B55" s="376"/>
      <c r="C55" s="376"/>
      <c r="D55" s="376"/>
      <c r="E55" s="376"/>
      <c r="F55" s="376"/>
      <c r="G55" s="376"/>
      <c r="H55" s="376"/>
      <c r="I55" s="376"/>
      <c r="J55" s="376"/>
      <c r="K55" s="263"/>
      <c r="M55" s="251"/>
      <c r="N55" s="251"/>
      <c r="O55" s="251"/>
      <c r="P55" s="251"/>
      <c r="Q55" s="251"/>
      <c r="R55" s="252"/>
      <c r="S55" s="252"/>
      <c r="T55" s="247"/>
      <c r="U55" s="247"/>
      <c r="V55" s="247"/>
      <c r="W55" s="247"/>
      <c r="X55" s="247"/>
      <c r="Y55" s="247"/>
    </row>
    <row r="56" spans="1:25" s="217" customFormat="1" ht="13.8" x14ac:dyDescent="0.3">
      <c r="A56" s="263"/>
      <c r="B56" s="376"/>
      <c r="C56" s="376"/>
      <c r="D56" s="376"/>
      <c r="E56" s="376"/>
      <c r="F56" s="376"/>
      <c r="G56" s="376"/>
      <c r="H56" s="376"/>
      <c r="I56" s="376"/>
      <c r="J56" s="376"/>
      <c r="K56" s="263"/>
      <c r="M56" s="251"/>
      <c r="N56" s="251"/>
      <c r="O56"/>
      <c r="P56" s="251"/>
      <c r="Q56" s="251"/>
      <c r="R56" s="252"/>
      <c r="S56" s="252"/>
      <c r="T56" s="247"/>
      <c r="U56" s="247"/>
      <c r="V56" s="247"/>
      <c r="W56" s="247"/>
      <c r="X56" s="247"/>
      <c r="Y56" s="247"/>
    </row>
    <row r="57" spans="1:25" s="217" customFormat="1" ht="13.8" x14ac:dyDescent="0.3">
      <c r="A57" s="263"/>
      <c r="B57" s="263"/>
      <c r="C57" s="263"/>
      <c r="D57" s="263"/>
      <c r="F57" s="271"/>
      <c r="G57" s="263"/>
      <c r="H57" s="263"/>
      <c r="I57" s="263"/>
      <c r="J57" s="263"/>
      <c r="K57" s="263"/>
      <c r="M57" s="251"/>
      <c r="N57" s="251"/>
      <c r="O57" s="251"/>
      <c r="P57" s="251"/>
      <c r="Q57" s="251"/>
      <c r="R57" s="252"/>
      <c r="S57" s="252"/>
      <c r="T57" s="247"/>
      <c r="U57" s="247"/>
      <c r="V57" s="247"/>
      <c r="W57" s="247"/>
      <c r="X57" s="247"/>
      <c r="Y57" s="247"/>
    </row>
    <row r="58" spans="1:25" s="217" customFormat="1" ht="13.8" x14ac:dyDescent="0.3">
      <c r="A58" s="263"/>
      <c r="B58" s="263"/>
      <c r="C58" s="263"/>
      <c r="D58" s="263"/>
      <c r="E58" s="263"/>
      <c r="F58" s="263"/>
      <c r="G58" s="263"/>
      <c r="H58" s="263"/>
      <c r="I58" s="263"/>
      <c r="J58" s="263"/>
      <c r="K58" s="263"/>
      <c r="M58" s="251"/>
      <c r="N58" s="251"/>
      <c r="O58" s="251"/>
      <c r="P58" s="251"/>
      <c r="Q58" s="251"/>
      <c r="R58" s="252"/>
      <c r="S58" s="252"/>
      <c r="T58" s="247"/>
      <c r="U58" s="247"/>
      <c r="V58" s="247"/>
      <c r="W58" s="247"/>
      <c r="X58" s="247"/>
      <c r="Y58" s="247"/>
    </row>
    <row r="59" spans="1:25" s="217" customFormat="1" ht="13.8" x14ac:dyDescent="0.3">
      <c r="K59" s="263"/>
      <c r="M59" s="251"/>
      <c r="N59" s="251"/>
      <c r="O59" s="272"/>
      <c r="P59" s="251"/>
      <c r="Q59" s="251"/>
      <c r="R59" s="252"/>
      <c r="S59" s="252"/>
      <c r="T59" s="247"/>
      <c r="U59" s="247"/>
      <c r="V59" s="247"/>
      <c r="W59" s="247"/>
      <c r="X59" s="247"/>
      <c r="Y59" s="247"/>
    </row>
    <row r="60" spans="1:25" s="217" customFormat="1" ht="13.8" x14ac:dyDescent="0.3">
      <c r="A60" s="263"/>
      <c r="B60" s="263" t="s">
        <v>236</v>
      </c>
      <c r="C60" s="263"/>
      <c r="D60" s="263"/>
      <c r="E60" s="263"/>
      <c r="F60" s="263"/>
      <c r="G60" s="263"/>
      <c r="H60" s="263"/>
      <c r="I60" s="263"/>
      <c r="J60" s="263"/>
      <c r="K60" s="263"/>
      <c r="M60" s="251"/>
      <c r="N60" s="251"/>
      <c r="O60" s="251"/>
      <c r="P60" s="251"/>
      <c r="Q60" s="251"/>
      <c r="R60" s="252"/>
      <c r="S60" s="252"/>
      <c r="T60" s="247"/>
      <c r="U60" s="247"/>
      <c r="V60" s="247"/>
      <c r="W60" s="247"/>
      <c r="X60" s="247"/>
      <c r="Y60" s="247"/>
    </row>
    <row r="61" spans="1:25" s="217" customFormat="1" ht="13.8" x14ac:dyDescent="0.3">
      <c r="A61" s="263"/>
      <c r="C61" s="263"/>
      <c r="D61" s="263"/>
      <c r="F61" s="270" t="s">
        <v>239</v>
      </c>
      <c r="G61" s="273"/>
      <c r="H61" s="263"/>
      <c r="I61" s="263"/>
      <c r="J61" s="263"/>
      <c r="K61" s="263"/>
      <c r="M61" s="251"/>
      <c r="N61" s="251"/>
      <c r="O61" s="251"/>
      <c r="P61" s="251"/>
      <c r="Q61" s="251"/>
      <c r="R61" s="252"/>
      <c r="S61" s="252"/>
      <c r="T61" s="247"/>
      <c r="U61" s="247"/>
      <c r="V61" s="247"/>
      <c r="W61" s="247"/>
      <c r="X61" s="247"/>
      <c r="Y61" s="247"/>
    </row>
    <row r="62" spans="1:25" s="217" customFormat="1" ht="13.8" x14ac:dyDescent="0.3">
      <c r="A62" s="263"/>
      <c r="B62" s="263"/>
      <c r="C62" s="263"/>
      <c r="D62" s="263"/>
      <c r="E62" s="263"/>
      <c r="F62" s="263"/>
      <c r="G62" s="263"/>
      <c r="H62" s="263"/>
      <c r="I62" s="263"/>
      <c r="J62" s="263"/>
      <c r="K62" s="263"/>
      <c r="M62" s="251"/>
      <c r="N62" s="251"/>
      <c r="O62" s="251"/>
      <c r="P62" s="251"/>
      <c r="Q62" s="251"/>
      <c r="R62" s="252"/>
      <c r="S62" s="252"/>
      <c r="T62" s="247"/>
      <c r="U62" s="247"/>
      <c r="V62" s="247"/>
      <c r="W62" s="247"/>
      <c r="X62" s="247"/>
      <c r="Y62" s="24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50"/>
  </sheetPr>
  <dimension ref="A1:IU402"/>
  <sheetViews>
    <sheetView tabSelected="1" view="pageBreakPreview" zoomScaleNormal="100" zoomScaleSheetLayoutView="100" workbookViewId="0">
      <selection activeCell="B13" sqref="B13:K13"/>
    </sheetView>
  </sheetViews>
  <sheetFormatPr defaultColWidth="9.109375" defaultRowHeight="13.8" x14ac:dyDescent="0.3"/>
  <cols>
    <col min="1" max="11" width="8.5546875" style="39" customWidth="1"/>
    <col min="12" max="12" width="6.44140625" style="36" customWidth="1"/>
    <col min="13" max="15" width="4" style="40" customWidth="1"/>
    <col min="16" max="19" width="4" style="41" customWidth="1"/>
    <col min="20" max="20" width="3.5546875" style="40" customWidth="1"/>
    <col min="21" max="27" width="9.33203125" style="36" customWidth="1"/>
    <col min="28" max="29" width="9.44140625" style="39" bestFit="1" customWidth="1"/>
    <col min="30" max="35" width="9.5546875" style="39" bestFit="1" customWidth="1"/>
    <col min="36" max="36" width="9.44140625" style="39" bestFit="1" customWidth="1"/>
    <col min="37" max="38" width="10.6640625" style="39" bestFit="1" customWidth="1"/>
    <col min="39" max="39" width="10.44140625" style="39" bestFit="1" customWidth="1"/>
    <col min="40" max="41" width="10.5546875" style="39" bestFit="1" customWidth="1"/>
    <col min="42" max="42" width="10.44140625" style="39" bestFit="1" customWidth="1"/>
    <col min="43" max="44" width="9.44140625" style="39" bestFit="1" customWidth="1"/>
    <col min="45" max="45" width="9.109375" style="39"/>
    <col min="46" max="46" width="9.77734375" style="39" bestFit="1" customWidth="1"/>
    <col min="47" max="48" width="9.44140625" style="39" bestFit="1" customWidth="1"/>
    <col min="49" max="49" width="12" style="39" bestFit="1" customWidth="1"/>
    <col min="50" max="50" width="11.5546875" style="39" bestFit="1" customWidth="1"/>
    <col min="51" max="54" width="9.44140625" style="39" bestFit="1" customWidth="1"/>
    <col min="55" max="55" width="2.109375" style="39" customWidth="1"/>
    <col min="56" max="64" width="9.44140625" style="39" bestFit="1" customWidth="1"/>
    <col min="65" max="65" width="2.33203125" style="39" customWidth="1"/>
    <col min="66" max="74" width="9.44140625" style="39" bestFit="1" customWidth="1"/>
    <col min="75" max="75" width="1.88671875" style="39" customWidth="1"/>
    <col min="76" max="84" width="9.44140625" style="39" bestFit="1" customWidth="1"/>
    <col min="85" max="85" width="2.109375" style="39" customWidth="1"/>
    <col min="86" max="94" width="9.44140625" style="39" bestFit="1" customWidth="1"/>
    <col min="95" max="95" width="9.109375" style="39"/>
    <col min="96" max="96" width="9.5546875" style="39" bestFit="1" customWidth="1"/>
    <col min="97" max="99" width="9.109375" style="39"/>
    <col min="100" max="100" width="9.5546875" style="39" bestFit="1" customWidth="1"/>
    <col min="101" max="101" width="9.109375" style="39"/>
    <col min="102" max="104" width="9.5546875" style="39" bestFit="1" customWidth="1"/>
    <col min="105" max="105" width="9.109375" style="39"/>
    <col min="106" max="106" width="9.5546875" style="39" bestFit="1" customWidth="1"/>
    <col min="107" max="107" width="9.109375" style="39"/>
    <col min="108" max="113" width="9.44140625" style="39" bestFit="1" customWidth="1"/>
    <col min="114" max="114" width="9.5546875" style="39" bestFit="1" customWidth="1"/>
    <col min="115" max="117" width="9.109375" style="39"/>
    <col min="118" max="118" width="9.5546875" style="39" bestFit="1" customWidth="1"/>
    <col min="119" max="121" width="9.109375" style="39"/>
    <col min="122" max="122" width="9.5546875" style="39" bestFit="1" customWidth="1"/>
    <col min="123" max="123" width="9.109375" style="39"/>
    <col min="124" max="126" width="9.5546875" style="39" bestFit="1" customWidth="1"/>
    <col min="127" max="127" width="9.109375" style="39"/>
    <col min="128" max="128" width="10.77734375" style="39" bestFit="1" customWidth="1"/>
    <col min="129" max="129" width="9.109375" style="39"/>
    <col min="130" max="130" width="10.77734375" style="39" bestFit="1" customWidth="1"/>
    <col min="131" max="131" width="9.109375" style="39"/>
    <col min="132" max="158" width="9.44140625" style="39" bestFit="1" customWidth="1"/>
    <col min="159" max="160" width="9.88671875" style="39" bestFit="1" customWidth="1"/>
    <col min="161" max="162" width="9.44140625" style="39" bestFit="1" customWidth="1"/>
    <col min="163" max="163" width="13.21875" style="39" bestFit="1" customWidth="1"/>
    <col min="164" max="165" width="9.44140625" style="39" bestFit="1" customWidth="1"/>
    <col min="166" max="170" width="10" style="39" bestFit="1" customWidth="1"/>
    <col min="171" max="171" width="9.77734375" style="39" bestFit="1" customWidth="1"/>
    <col min="172" max="172" width="23.21875" style="39" bestFit="1" customWidth="1"/>
    <col min="173" max="173" width="3.5546875" style="39" customWidth="1"/>
    <col min="174" max="174" width="4" style="39" customWidth="1"/>
    <col min="175" max="180" width="9.5546875" style="39" bestFit="1" customWidth="1"/>
    <col min="181" max="181" width="3.5546875" style="39" customWidth="1"/>
    <col min="182" max="187" width="9.5546875" style="39" bestFit="1" customWidth="1"/>
    <col min="188" max="188" width="4" style="39" customWidth="1"/>
    <col min="189" max="202" width="9.5546875" style="39" bestFit="1" customWidth="1"/>
    <col min="203" max="203" width="23.21875" style="39" bestFit="1" customWidth="1"/>
    <col min="204" max="215" width="9.109375" style="39"/>
    <col min="216" max="217" width="9.44140625" style="39" bestFit="1" customWidth="1"/>
    <col min="218" max="223" width="9.109375" style="39"/>
    <col min="224" max="224" width="9.44140625" style="39" bestFit="1" customWidth="1"/>
    <col min="225" max="225" width="10" style="39" bestFit="1" customWidth="1"/>
    <col min="226" max="227" width="9.44140625" style="39" bestFit="1" customWidth="1"/>
    <col min="228" max="228" width="9.5546875" style="39" bestFit="1" customWidth="1"/>
    <col min="229" max="229" width="9.44140625" style="39" bestFit="1" customWidth="1"/>
    <col min="230" max="230" width="9.109375" style="39"/>
    <col min="231" max="235" width="9.44140625" style="39" bestFit="1" customWidth="1"/>
    <col min="236" max="239" width="9.5546875" style="39" bestFit="1" customWidth="1"/>
    <col min="240" max="240" width="9.44140625" style="39" bestFit="1" customWidth="1"/>
    <col min="241" max="241" width="9.5546875" style="39" bestFit="1" customWidth="1"/>
    <col min="242" max="242" width="9.44140625" style="39" bestFit="1" customWidth="1"/>
    <col min="243" max="243" width="9.109375" style="39"/>
    <col min="244" max="245" width="9.44140625" style="39" bestFit="1" customWidth="1"/>
    <col min="246" max="246" width="13.21875" style="39" bestFit="1" customWidth="1"/>
    <col min="247" max="247" width="9.44140625" style="39" bestFit="1" customWidth="1"/>
    <col min="248" max="16384" width="9.109375" style="39"/>
  </cols>
  <sheetData>
    <row r="1" spans="1:250" x14ac:dyDescent="0.3">
      <c r="B1" s="213" t="s">
        <v>199</v>
      </c>
      <c r="C1" s="214" t="s">
        <v>72</v>
      </c>
      <c r="D1" s="215"/>
      <c r="F1" s="213" t="s">
        <v>200</v>
      </c>
      <c r="G1" s="214">
        <v>1</v>
      </c>
      <c r="H1" s="215"/>
      <c r="I1" s="166"/>
      <c r="J1" s="166"/>
      <c r="M1" s="37"/>
      <c r="N1" s="37"/>
      <c r="O1" s="37"/>
      <c r="P1" s="38"/>
      <c r="Q1" s="38"/>
      <c r="R1" s="38"/>
      <c r="S1" s="38"/>
      <c r="T1" s="37"/>
    </row>
    <row r="2" spans="1:250" x14ac:dyDescent="0.3">
      <c r="B2" s="213" t="s">
        <v>201</v>
      </c>
      <c r="C2" s="214" t="s">
        <v>196</v>
      </c>
      <c r="D2" s="215"/>
      <c r="F2" s="213" t="s">
        <v>202</v>
      </c>
      <c r="G2" s="214" t="s">
        <v>208</v>
      </c>
      <c r="H2" s="215"/>
      <c r="I2" s="167"/>
      <c r="J2" s="167"/>
    </row>
    <row r="3" spans="1:250" x14ac:dyDescent="0.3">
      <c r="B3" s="213" t="s">
        <v>66</v>
      </c>
      <c r="C3" s="216">
        <v>41334</v>
      </c>
      <c r="D3" s="215"/>
      <c r="F3" s="213" t="s">
        <v>65</v>
      </c>
      <c r="G3" s="214" t="s">
        <v>14</v>
      </c>
      <c r="H3" s="215"/>
    </row>
    <row r="4" spans="1:250" x14ac:dyDescent="0.3">
      <c r="A4" s="217"/>
      <c r="B4" s="218" t="s">
        <v>203</v>
      </c>
      <c r="C4" s="219"/>
      <c r="D4" s="217"/>
      <c r="F4" s="217"/>
      <c r="G4" s="218" t="s">
        <v>204</v>
      </c>
      <c r="H4" s="220" t="s">
        <v>209</v>
      </c>
      <c r="I4" s="217"/>
    </row>
    <row r="5" spans="1:250" ht="13.5" customHeight="1" x14ac:dyDescent="0.3">
      <c r="A5" s="217"/>
      <c r="B5" s="218" t="s">
        <v>205</v>
      </c>
      <c r="C5" s="221" t="s">
        <v>206</v>
      </c>
      <c r="D5" s="217"/>
      <c r="E5" s="218"/>
      <c r="F5" s="217"/>
      <c r="G5" s="217"/>
      <c r="H5" s="217"/>
      <c r="I5" s="217"/>
      <c r="L5" s="39"/>
      <c r="U5" s="39"/>
      <c r="V5" s="39"/>
      <c r="W5" s="39"/>
      <c r="X5" s="39"/>
      <c r="Y5" s="39"/>
      <c r="Z5" s="39"/>
      <c r="AA5" s="39"/>
    </row>
    <row r="6" spans="1:250" ht="13.5" customHeight="1" x14ac:dyDescent="0.3">
      <c r="A6" s="217"/>
      <c r="B6" s="217" t="s">
        <v>207</v>
      </c>
      <c r="C6" s="221"/>
      <c r="D6" s="217"/>
      <c r="E6" s="218"/>
      <c r="F6" s="217"/>
      <c r="G6" s="217"/>
      <c r="H6" s="217"/>
      <c r="I6" s="217"/>
      <c r="L6" s="39"/>
      <c r="U6" s="39"/>
      <c r="V6" s="39"/>
      <c r="W6" s="39"/>
      <c r="X6" s="39"/>
      <c r="Y6" s="39"/>
      <c r="Z6" s="39"/>
      <c r="AA6" s="39"/>
    </row>
    <row r="7" spans="1:250" x14ac:dyDescent="0.3">
      <c r="A7" s="217"/>
      <c r="C7" s="222"/>
      <c r="D7" s="217"/>
      <c r="E7" s="217"/>
      <c r="F7" s="217"/>
      <c r="G7" s="217"/>
      <c r="H7" s="217"/>
      <c r="I7" s="217"/>
      <c r="J7" s="36"/>
      <c r="K7" s="36"/>
    </row>
    <row r="8" spans="1:250" x14ac:dyDescent="0.3">
      <c r="A8" s="254"/>
      <c r="B8" s="217"/>
      <c r="C8" s="217"/>
      <c r="D8" s="217"/>
      <c r="E8" s="218" t="s">
        <v>199</v>
      </c>
      <c r="F8" s="219" t="str">
        <f>$C$1</f>
        <v>R. Abbott</v>
      </c>
      <c r="G8" s="217"/>
      <c r="H8" s="221"/>
      <c r="I8" s="218" t="s">
        <v>210</v>
      </c>
      <c r="J8" s="255" t="str">
        <f>$G$2</f>
        <v>AA-SM-101-108</v>
      </c>
      <c r="K8" s="256"/>
      <c r="L8" s="257"/>
      <c r="M8" s="266"/>
      <c r="N8" s="266"/>
    </row>
    <row r="9" spans="1:250" s="53" customFormat="1" x14ac:dyDescent="0.3">
      <c r="A9" s="217"/>
      <c r="B9" s="217"/>
      <c r="C9" s="217"/>
      <c r="D9" s="217"/>
      <c r="E9" s="218" t="s">
        <v>201</v>
      </c>
      <c r="F9" s="221" t="str">
        <f>$C$2</f>
        <v xml:space="preserve"> </v>
      </c>
      <c r="G9" s="217"/>
      <c r="H9" s="221"/>
      <c r="I9" s="218" t="s">
        <v>211</v>
      </c>
      <c r="J9" s="256" t="str">
        <f>$G$3</f>
        <v>A</v>
      </c>
      <c r="K9" s="256"/>
      <c r="L9" s="257"/>
      <c r="M9" s="266">
        <v>1</v>
      </c>
      <c r="N9" s="266"/>
      <c r="O9" s="205"/>
      <c r="P9" s="41"/>
      <c r="Q9" s="41"/>
      <c r="R9" s="41"/>
      <c r="S9" s="41"/>
      <c r="T9" s="40"/>
      <c r="U9" s="50"/>
      <c r="V9" s="50"/>
      <c r="W9" s="50"/>
      <c r="X9" s="50"/>
      <c r="Y9" s="50"/>
      <c r="Z9" s="50"/>
      <c r="AA9" s="50"/>
    </row>
    <row r="10" spans="1:250" x14ac:dyDescent="0.3">
      <c r="A10" s="217"/>
      <c r="B10" s="217"/>
      <c r="C10" s="217"/>
      <c r="D10" s="217"/>
      <c r="E10" s="218" t="s">
        <v>66</v>
      </c>
      <c r="F10" s="267">
        <f>$C$3</f>
        <v>41334</v>
      </c>
      <c r="G10" s="217"/>
      <c r="H10" s="221"/>
      <c r="I10" s="218" t="s">
        <v>212</v>
      </c>
      <c r="J10" s="219" t="str">
        <f>L10&amp;" of "&amp;$G$1</f>
        <v>1 of 1</v>
      </c>
      <c r="K10" s="221"/>
      <c r="L10" s="257">
        <f>SUM($M$1:M9)</f>
        <v>1</v>
      </c>
      <c r="M10" s="266"/>
      <c r="N10" s="266"/>
      <c r="O10" s="205"/>
      <c r="P10" s="52"/>
      <c r="Q10" s="52"/>
      <c r="R10" s="52"/>
      <c r="S10" s="52"/>
      <c r="T10" s="51"/>
    </row>
    <row r="11" spans="1:250" x14ac:dyDescent="0.3">
      <c r="A11" s="215"/>
      <c r="B11" s="215"/>
      <c r="C11" s="215"/>
      <c r="D11" s="215"/>
      <c r="E11" s="218" t="s">
        <v>67</v>
      </c>
      <c r="F11" s="221" t="str">
        <f>$C$5</f>
        <v>STANDARD SPREADSHEET METHOD</v>
      </c>
      <c r="G11" s="217"/>
      <c r="H11" s="217"/>
      <c r="I11" s="224"/>
      <c r="J11" s="219"/>
      <c r="K11" s="217"/>
      <c r="L11" s="217"/>
      <c r="M11" s="266"/>
      <c r="N11" s="266"/>
      <c r="O11" s="205"/>
      <c r="FJ11" s="36"/>
      <c r="FK11" s="36"/>
      <c r="FL11" s="36"/>
      <c r="FM11" s="36"/>
      <c r="FN11" s="36"/>
      <c r="FO11" s="36"/>
      <c r="FP11" s="36"/>
    </row>
    <row r="12" spans="1:250" s="35" customFormat="1" ht="15.6" x14ac:dyDescent="0.3">
      <c r="A12" s="227"/>
      <c r="B12" s="225" t="str">
        <f>$H$4</f>
        <v>LAMINATE STRESS ANALYSIS</v>
      </c>
      <c r="C12" s="227"/>
      <c r="D12" s="227"/>
      <c r="E12" s="227"/>
      <c r="F12" s="227"/>
      <c r="G12" s="227"/>
      <c r="H12" s="227"/>
      <c r="I12" s="228"/>
      <c r="J12" s="229"/>
      <c r="K12" s="227"/>
      <c r="L12" s="227"/>
      <c r="M12" s="230"/>
      <c r="N12" s="231"/>
      <c r="O12" s="231"/>
      <c r="P12" s="232"/>
      <c r="Q12" s="232"/>
      <c r="R12" s="232"/>
      <c r="S12" s="232"/>
      <c r="T12" s="233"/>
      <c r="U12" s="42"/>
      <c r="V12" s="42"/>
      <c r="W12" s="42"/>
      <c r="X12" s="42"/>
      <c r="Y12" s="42"/>
      <c r="Z12" s="42"/>
      <c r="AA12" s="42"/>
      <c r="ET12" s="234" t="s">
        <v>135</v>
      </c>
      <c r="EU12" s="235"/>
      <c r="EV12" s="235"/>
      <c r="EW12" s="235"/>
      <c r="EX12" s="235"/>
      <c r="EY12" s="236"/>
      <c r="EZ12" s="236"/>
      <c r="FA12" s="236"/>
      <c r="FB12" s="236"/>
      <c r="FC12" s="236"/>
      <c r="FD12" s="236"/>
      <c r="FE12" s="235"/>
      <c r="FF12" s="235"/>
      <c r="FJ12" s="237" t="s">
        <v>136</v>
      </c>
      <c r="FK12" s="238"/>
      <c r="FL12" s="238"/>
      <c r="FM12" s="42"/>
      <c r="FN12" s="42"/>
      <c r="FO12" s="42"/>
      <c r="FP12" s="42"/>
      <c r="GO12" s="237" t="s">
        <v>136</v>
      </c>
      <c r="GP12" s="238"/>
      <c r="GQ12" s="238"/>
      <c r="GR12" s="42"/>
      <c r="GS12" s="42"/>
      <c r="GT12" s="42"/>
      <c r="GU12" s="42"/>
    </row>
    <row r="13" spans="1:250" ht="13.5" customHeight="1" x14ac:dyDescent="0.35">
      <c r="A13" s="73"/>
      <c r="B13" s="382" t="s">
        <v>240</v>
      </c>
      <c r="C13" s="382"/>
      <c r="D13" s="382"/>
      <c r="E13" s="382"/>
      <c r="F13" s="382"/>
      <c r="G13" s="382"/>
      <c r="H13" s="382"/>
      <c r="I13" s="382"/>
      <c r="J13" s="382"/>
      <c r="K13" s="382"/>
      <c r="M13" s="76"/>
      <c r="N13" s="63"/>
      <c r="O13" s="76"/>
      <c r="BN13" s="60" t="s">
        <v>146</v>
      </c>
      <c r="BO13" s="61" t="s">
        <v>147</v>
      </c>
      <c r="BP13" s="61" t="s">
        <v>148</v>
      </c>
      <c r="BQ13" s="61" t="s">
        <v>149</v>
      </c>
      <c r="BR13" s="61" t="s">
        <v>150</v>
      </c>
      <c r="BS13" s="61" t="s">
        <v>151</v>
      </c>
      <c r="BT13" s="61" t="s">
        <v>152</v>
      </c>
      <c r="BU13" s="61" t="s">
        <v>153</v>
      </c>
      <c r="BV13" s="62" t="s">
        <v>154</v>
      </c>
      <c r="BW13" s="63"/>
      <c r="BX13" s="61" t="s">
        <v>155</v>
      </c>
      <c r="BY13" s="61" t="s">
        <v>156</v>
      </c>
      <c r="BZ13" s="61" t="s">
        <v>157</v>
      </c>
      <c r="CA13" s="61" t="s">
        <v>158</v>
      </c>
      <c r="CB13" s="61" t="s">
        <v>159</v>
      </c>
      <c r="CC13" s="61" t="s">
        <v>160</v>
      </c>
      <c r="CD13" s="61" t="s">
        <v>161</v>
      </c>
      <c r="CE13" s="61" t="s">
        <v>162</v>
      </c>
      <c r="CF13" s="61" t="s">
        <v>163</v>
      </c>
      <c r="CG13" s="63"/>
      <c r="CH13" s="60" t="s">
        <v>164</v>
      </c>
      <c r="CI13" s="61" t="s">
        <v>165</v>
      </c>
      <c r="CJ13" s="61" t="s">
        <v>166</v>
      </c>
      <c r="CK13" s="61" t="s">
        <v>167</v>
      </c>
      <c r="CL13" s="61" t="s">
        <v>168</v>
      </c>
      <c r="CM13" s="61" t="s">
        <v>169</v>
      </c>
      <c r="CN13" s="61" t="s">
        <v>170</v>
      </c>
      <c r="CO13" s="61" t="s">
        <v>171</v>
      </c>
      <c r="CP13" s="62" t="s">
        <v>172</v>
      </c>
      <c r="EB13" s="64" t="s">
        <v>112</v>
      </c>
      <c r="EC13" s="65"/>
      <c r="ED13" s="66"/>
      <c r="EE13" s="67" t="s">
        <v>113</v>
      </c>
      <c r="EF13" s="65"/>
      <c r="EG13" s="65"/>
      <c r="EH13" s="65"/>
      <c r="EI13" s="65"/>
      <c r="EJ13" s="66"/>
      <c r="EK13" s="68" t="s">
        <v>114</v>
      </c>
      <c r="EL13" s="69"/>
      <c r="EM13" s="69"/>
      <c r="EN13" s="69"/>
      <c r="EO13" s="69"/>
      <c r="EP13" s="70"/>
      <c r="EQ13" s="57" t="s">
        <v>118</v>
      </c>
      <c r="ER13" s="57"/>
      <c r="ES13" s="57"/>
      <c r="ET13" s="57" t="s">
        <v>116</v>
      </c>
      <c r="EU13" s="57"/>
      <c r="EV13" s="57"/>
      <c r="EW13" s="57"/>
      <c r="EX13" s="57"/>
      <c r="EY13" s="71" t="s">
        <v>117</v>
      </c>
      <c r="EZ13" s="58"/>
      <c r="FA13" s="58"/>
      <c r="FB13" s="58"/>
      <c r="FC13" s="58"/>
      <c r="FD13" s="58"/>
      <c r="FE13" s="57"/>
      <c r="FF13" s="57"/>
      <c r="FG13" s="72" t="s">
        <v>120</v>
      </c>
      <c r="FH13" s="44"/>
      <c r="FI13" s="44"/>
      <c r="FJ13" s="44"/>
      <c r="FK13" s="44" t="s">
        <v>119</v>
      </c>
      <c r="FL13" s="44"/>
      <c r="FM13" s="36"/>
      <c r="FN13" s="59" t="s">
        <v>121</v>
      </c>
      <c r="FO13" s="44"/>
      <c r="FP13" s="44"/>
      <c r="GO13" s="44"/>
      <c r="GP13" s="44" t="s">
        <v>119</v>
      </c>
      <c r="GQ13" s="44"/>
      <c r="GR13" s="36"/>
      <c r="GS13" s="59" t="s">
        <v>121</v>
      </c>
      <c r="GT13" s="44"/>
      <c r="GU13" s="44"/>
    </row>
    <row r="14" spans="1:250" s="278" customFormat="1" ht="11.4" x14ac:dyDescent="0.25">
      <c r="A14" s="269" t="s">
        <v>190</v>
      </c>
      <c r="B14" s="269" t="s">
        <v>2</v>
      </c>
      <c r="C14" s="269" t="s">
        <v>3</v>
      </c>
      <c r="D14" s="381" t="s">
        <v>68</v>
      </c>
      <c r="E14" s="381"/>
      <c r="F14" s="269" t="s">
        <v>3</v>
      </c>
      <c r="G14" s="274"/>
      <c r="H14" s="274"/>
      <c r="I14" s="274"/>
      <c r="J14" s="274"/>
      <c r="K14" s="274"/>
      <c r="L14" s="275"/>
      <c r="M14" s="276"/>
      <c r="N14" s="276"/>
      <c r="O14" s="276"/>
      <c r="P14" s="277"/>
      <c r="Q14" s="277"/>
      <c r="R14" s="277"/>
      <c r="S14" s="277"/>
      <c r="T14" s="276"/>
      <c r="U14" s="275"/>
      <c r="V14" s="275"/>
      <c r="W14" s="275"/>
      <c r="X14" s="275"/>
      <c r="Y14" s="275"/>
      <c r="Z14" s="275"/>
      <c r="AA14" s="275"/>
      <c r="AC14" s="279" t="s">
        <v>9</v>
      </c>
      <c r="AD14" s="279" t="s">
        <v>4</v>
      </c>
      <c r="AE14" s="279" t="s">
        <v>4</v>
      </c>
      <c r="AF14" s="279" t="s">
        <v>4</v>
      </c>
      <c r="AG14" s="279" t="s">
        <v>5</v>
      </c>
      <c r="AH14" s="280" t="s">
        <v>241</v>
      </c>
      <c r="AI14" s="280" t="s">
        <v>242</v>
      </c>
      <c r="AJ14" s="279" t="s">
        <v>243</v>
      </c>
      <c r="AK14" s="279" t="s">
        <v>244</v>
      </c>
      <c r="AL14" s="279" t="s">
        <v>245</v>
      </c>
      <c r="AM14" s="279" t="s">
        <v>246</v>
      </c>
      <c r="AN14" s="279" t="s">
        <v>247</v>
      </c>
      <c r="AO14" s="279" t="s">
        <v>248</v>
      </c>
      <c r="AP14" s="279" t="s">
        <v>249</v>
      </c>
      <c r="AQ14" s="279" t="s">
        <v>250</v>
      </c>
      <c r="AR14" s="279"/>
      <c r="AS14" s="279"/>
      <c r="AT14" s="281"/>
      <c r="AU14" s="282"/>
      <c r="AV14" s="282"/>
      <c r="AW14" s="282"/>
      <c r="AX14" s="282"/>
      <c r="AY14" s="282"/>
      <c r="AZ14" s="282"/>
      <c r="BA14" s="282"/>
      <c r="BB14" s="283"/>
      <c r="BC14" s="284"/>
      <c r="BD14" s="281"/>
      <c r="BE14" s="282"/>
      <c r="BF14" s="282"/>
      <c r="BG14" s="282"/>
      <c r="BH14" s="282"/>
      <c r="BI14" s="282"/>
      <c r="BJ14" s="285"/>
      <c r="BK14" s="285"/>
      <c r="BL14" s="286"/>
      <c r="BM14" s="287"/>
      <c r="BN14" s="288">
        <f t="shared" ref="BN14:BV14" ca="1" si="0">SUM(BN16:BN50)</f>
        <v>1064669.6195517574</v>
      </c>
      <c r="BO14" s="289">
        <f t="shared" ca="1" si="0"/>
        <v>1064669.6195517574</v>
      </c>
      <c r="BP14" s="289">
        <f t="shared" ca="1" si="0"/>
        <v>342971.92679228442</v>
      </c>
      <c r="BQ14" s="289">
        <f t="shared" ca="1" si="0"/>
        <v>342971.92679228442</v>
      </c>
      <c r="BR14" s="289">
        <f t="shared" ca="1" si="0"/>
        <v>0</v>
      </c>
      <c r="BS14" s="289">
        <f t="shared" ca="1" si="0"/>
        <v>0</v>
      </c>
      <c r="BT14" s="289">
        <f t="shared" ca="1" si="0"/>
        <v>0</v>
      </c>
      <c r="BU14" s="289">
        <f t="shared" ca="1" si="0"/>
        <v>0</v>
      </c>
      <c r="BV14" s="290">
        <f t="shared" ca="1" si="0"/>
        <v>360848.84637973661</v>
      </c>
      <c r="BW14" s="291"/>
      <c r="BX14" s="289">
        <f t="shared" ref="BX14:CF14" ca="1" si="1">SUM(BX16:BX50)</f>
        <v>1.0913936421275139E-11</v>
      </c>
      <c r="BY14" s="289">
        <f t="shared" ca="1" si="1"/>
        <v>1.0913936421275139E-11</v>
      </c>
      <c r="BZ14" s="289">
        <f t="shared" ca="1" si="1"/>
        <v>2.7284841053187847E-12</v>
      </c>
      <c r="CA14" s="289">
        <f t="shared" ca="1" si="1"/>
        <v>2.7284841053187847E-12</v>
      </c>
      <c r="CB14" s="289">
        <f t="shared" ca="1" si="1"/>
        <v>0</v>
      </c>
      <c r="CC14" s="289">
        <f t="shared" ca="1" si="1"/>
        <v>0</v>
      </c>
      <c r="CD14" s="289">
        <f t="shared" ca="1" si="1"/>
        <v>0</v>
      </c>
      <c r="CE14" s="289">
        <f t="shared" ca="1" si="1"/>
        <v>0</v>
      </c>
      <c r="CF14" s="289">
        <f t="shared" ca="1" si="1"/>
        <v>5.0022208597511053E-12</v>
      </c>
      <c r="CG14" s="291"/>
      <c r="CH14" s="288">
        <f t="shared" ref="CH14:CP14" ca="1" si="2">SUM(CH16:CH50)</f>
        <v>2682.4807469250877</v>
      </c>
      <c r="CI14" s="289">
        <f t="shared" ca="1" si="2"/>
        <v>2682.4807469250877</v>
      </c>
      <c r="CJ14" s="289">
        <f t="shared" ca="1" si="2"/>
        <v>786.55405357835616</v>
      </c>
      <c r="CK14" s="289">
        <f t="shared" ca="1" si="2"/>
        <v>786.55405357835616</v>
      </c>
      <c r="CL14" s="289">
        <f t="shared" ca="1" si="2"/>
        <v>0</v>
      </c>
      <c r="CM14" s="289">
        <f t="shared" ca="1" si="2"/>
        <v>0</v>
      </c>
      <c r="CN14" s="289">
        <f t="shared" ca="1" si="2"/>
        <v>0</v>
      </c>
      <c r="CO14" s="289">
        <f t="shared" ca="1" si="2"/>
        <v>0</v>
      </c>
      <c r="CP14" s="290">
        <f t="shared" ca="1" si="2"/>
        <v>830.61047997166725</v>
      </c>
      <c r="CR14" s="292"/>
      <c r="CS14" s="293" t="s">
        <v>126</v>
      </c>
      <c r="CT14" s="285"/>
      <c r="CU14" s="285"/>
      <c r="CV14" s="286"/>
      <c r="CW14" s="294"/>
      <c r="CX14" s="294"/>
      <c r="CY14" s="294"/>
      <c r="CZ14" s="294"/>
      <c r="DA14" s="294"/>
      <c r="DB14" s="295"/>
      <c r="DC14" s="294"/>
      <c r="DD14" s="281" t="s">
        <v>7</v>
      </c>
      <c r="DE14" s="282" t="s">
        <v>7</v>
      </c>
      <c r="DF14" s="282" t="s">
        <v>8</v>
      </c>
      <c r="DG14" s="282" t="s">
        <v>8</v>
      </c>
      <c r="DH14" s="282" t="s">
        <v>115</v>
      </c>
      <c r="DI14" s="283" t="s">
        <v>115</v>
      </c>
      <c r="DJ14" s="294"/>
      <c r="DK14" s="294"/>
      <c r="DL14" s="294"/>
      <c r="DM14" s="294"/>
      <c r="DN14" s="296"/>
      <c r="DO14" s="294"/>
      <c r="DP14" s="294"/>
      <c r="DQ14" s="294"/>
      <c r="DR14" s="296"/>
      <c r="DS14" s="294"/>
      <c r="DT14" s="294"/>
      <c r="DU14" s="294"/>
      <c r="DV14" s="294"/>
      <c r="DW14" s="294"/>
      <c r="DX14" s="297"/>
      <c r="DY14" s="297"/>
      <c r="DZ14" s="297"/>
      <c r="EB14" s="298" t="s">
        <v>7</v>
      </c>
      <c r="EC14" s="299" t="s">
        <v>8</v>
      </c>
      <c r="ED14" s="300" t="s">
        <v>115</v>
      </c>
      <c r="EE14" s="298" t="s">
        <v>7</v>
      </c>
      <c r="EF14" s="299" t="s">
        <v>7</v>
      </c>
      <c r="EG14" s="299" t="s">
        <v>8</v>
      </c>
      <c r="EH14" s="299" t="s">
        <v>8</v>
      </c>
      <c r="EI14" s="299" t="s">
        <v>115</v>
      </c>
      <c r="EJ14" s="300" t="s">
        <v>115</v>
      </c>
      <c r="EK14" s="298" t="s">
        <v>7</v>
      </c>
      <c r="EL14" s="299" t="s">
        <v>7</v>
      </c>
      <c r="EM14" s="299" t="s">
        <v>8</v>
      </c>
      <c r="EN14" s="299" t="s">
        <v>8</v>
      </c>
      <c r="EO14" s="299" t="s">
        <v>115</v>
      </c>
      <c r="EP14" s="300" t="s">
        <v>115</v>
      </c>
      <c r="EQ14" s="301" t="s">
        <v>251</v>
      </c>
      <c r="ER14" s="301" t="s">
        <v>252</v>
      </c>
      <c r="ES14" s="301" t="s">
        <v>253</v>
      </c>
      <c r="ET14" s="301" t="s">
        <v>254</v>
      </c>
      <c r="EU14" s="301" t="s">
        <v>255</v>
      </c>
      <c r="EV14" s="301" t="s">
        <v>256</v>
      </c>
      <c r="EW14" s="301" t="s">
        <v>257</v>
      </c>
      <c r="EX14" s="301" t="s">
        <v>258</v>
      </c>
      <c r="EY14" s="301" t="s">
        <v>259</v>
      </c>
      <c r="EZ14" s="301" t="s">
        <v>260</v>
      </c>
      <c r="FA14" s="301" t="s">
        <v>261</v>
      </c>
      <c r="FB14" s="301" t="s">
        <v>262</v>
      </c>
      <c r="FC14" s="301" t="s">
        <v>263</v>
      </c>
      <c r="FD14" s="301" t="s">
        <v>264</v>
      </c>
      <c r="FE14" s="301" t="s">
        <v>14</v>
      </c>
      <c r="FF14" s="301" t="s">
        <v>122</v>
      </c>
      <c r="FG14" s="301" t="s">
        <v>265</v>
      </c>
      <c r="FH14" s="301" t="s">
        <v>14</v>
      </c>
      <c r="FI14" s="301" t="s">
        <v>122</v>
      </c>
      <c r="FJ14" s="282" t="s">
        <v>123</v>
      </c>
      <c r="FK14" s="282" t="s">
        <v>123</v>
      </c>
      <c r="FL14" s="282" t="s">
        <v>124</v>
      </c>
      <c r="FM14" s="301" t="s">
        <v>125</v>
      </c>
      <c r="FN14" s="301" t="s">
        <v>263</v>
      </c>
      <c r="FO14" s="301" t="s">
        <v>264</v>
      </c>
      <c r="FP14" s="301" t="s">
        <v>266</v>
      </c>
      <c r="FR14" s="302" t="s">
        <v>137</v>
      </c>
      <c r="FS14" s="282"/>
      <c r="FT14" s="282"/>
      <c r="FU14" s="282"/>
      <c r="FV14" s="303"/>
      <c r="FW14" s="304"/>
      <c r="FX14" s="305"/>
      <c r="FY14" s="302" t="s">
        <v>138</v>
      </c>
      <c r="FZ14" s="282"/>
      <c r="GA14" s="282"/>
      <c r="GB14" s="285"/>
      <c r="GC14" s="285"/>
      <c r="GD14" s="282"/>
      <c r="GE14" s="286"/>
      <c r="GF14" s="306" t="s">
        <v>139</v>
      </c>
      <c r="GG14" s="307"/>
      <c r="GH14" s="279"/>
      <c r="GI14" s="294"/>
      <c r="GJ14" s="294"/>
      <c r="GK14" s="294"/>
      <c r="GL14" s="294"/>
      <c r="GO14" s="282" t="s">
        <v>123</v>
      </c>
      <c r="GP14" s="282" t="s">
        <v>123</v>
      </c>
      <c r="GQ14" s="282" t="s">
        <v>124</v>
      </c>
      <c r="GR14" s="301" t="s">
        <v>125</v>
      </c>
      <c r="GS14" s="301" t="s">
        <v>263</v>
      </c>
      <c r="GT14" s="301" t="s">
        <v>264</v>
      </c>
      <c r="GU14" s="301" t="s">
        <v>266</v>
      </c>
    </row>
    <row r="15" spans="1:250" s="278" customFormat="1" ht="11.4" x14ac:dyDescent="0.25">
      <c r="A15" s="269" t="s">
        <v>191</v>
      </c>
      <c r="B15" s="269" t="s">
        <v>6</v>
      </c>
      <c r="C15" s="269" t="s">
        <v>192</v>
      </c>
      <c r="D15" s="198"/>
      <c r="E15" s="198"/>
      <c r="F15" s="269" t="s">
        <v>192</v>
      </c>
      <c r="G15" s="274"/>
      <c r="H15" s="274"/>
      <c r="I15" s="274"/>
      <c r="J15" s="274"/>
      <c r="K15" s="274"/>
      <c r="L15" s="275"/>
      <c r="M15" s="276"/>
      <c r="N15" s="276"/>
      <c r="O15" s="276"/>
      <c r="P15" s="277"/>
      <c r="Q15" s="277"/>
      <c r="R15" s="277"/>
      <c r="S15" s="277"/>
      <c r="T15" s="276"/>
      <c r="U15" s="275"/>
      <c r="V15" s="275"/>
      <c r="W15" s="275"/>
      <c r="X15" s="275"/>
      <c r="Y15" s="275"/>
      <c r="Z15" s="275"/>
      <c r="AA15" s="275"/>
      <c r="AC15" s="308"/>
      <c r="AD15" s="279"/>
      <c r="AE15" s="279"/>
      <c r="AF15" s="279"/>
      <c r="AG15" s="308"/>
      <c r="AH15" s="279" t="s">
        <v>12</v>
      </c>
      <c r="AI15" s="279" t="s">
        <v>12</v>
      </c>
      <c r="AJ15" s="279"/>
      <c r="AK15" s="279"/>
      <c r="AL15" s="279" t="s">
        <v>12</v>
      </c>
      <c r="AM15" s="279" t="s">
        <v>12</v>
      </c>
      <c r="AN15" s="279" t="s">
        <v>12</v>
      </c>
      <c r="AO15" s="279" t="s">
        <v>12</v>
      </c>
      <c r="AP15" s="279" t="s">
        <v>12</v>
      </c>
      <c r="AQ15" s="279" t="s">
        <v>12</v>
      </c>
      <c r="AR15" s="279"/>
      <c r="AS15" s="279"/>
      <c r="AT15" s="281" t="s">
        <v>267</v>
      </c>
      <c r="AU15" s="282" t="s">
        <v>268</v>
      </c>
      <c r="AV15" s="282" t="s">
        <v>269</v>
      </c>
      <c r="AW15" s="282" t="s">
        <v>270</v>
      </c>
      <c r="AX15" s="282" t="s">
        <v>271</v>
      </c>
      <c r="AY15" s="282" t="s">
        <v>272</v>
      </c>
      <c r="AZ15" s="282" t="s">
        <v>273</v>
      </c>
      <c r="BA15" s="282" t="s">
        <v>274</v>
      </c>
      <c r="BB15" s="283" t="s">
        <v>275</v>
      </c>
      <c r="BC15" s="284"/>
      <c r="BD15" s="281" t="s">
        <v>267</v>
      </c>
      <c r="BE15" s="282" t="s">
        <v>268</v>
      </c>
      <c r="BF15" s="282" t="s">
        <v>269</v>
      </c>
      <c r="BG15" s="282" t="s">
        <v>270</v>
      </c>
      <c r="BH15" s="282" t="s">
        <v>271</v>
      </c>
      <c r="BI15" s="282" t="s">
        <v>272</v>
      </c>
      <c r="BJ15" s="282" t="s">
        <v>273</v>
      </c>
      <c r="BK15" s="282" t="s">
        <v>274</v>
      </c>
      <c r="BL15" s="283" t="s">
        <v>275</v>
      </c>
      <c r="BM15" s="284"/>
      <c r="BN15" s="292"/>
      <c r="BO15" s="285"/>
      <c r="BP15" s="285"/>
      <c r="BQ15" s="285"/>
      <c r="BR15" s="285"/>
      <c r="BS15" s="285"/>
      <c r="BT15" s="285"/>
      <c r="BU15" s="285"/>
      <c r="BV15" s="286"/>
      <c r="BW15" s="287"/>
      <c r="BX15" s="285"/>
      <c r="BY15" s="285"/>
      <c r="BZ15" s="285"/>
      <c r="CA15" s="285"/>
      <c r="CB15" s="285"/>
      <c r="CC15" s="285"/>
      <c r="CD15" s="285"/>
      <c r="CE15" s="285"/>
      <c r="CF15" s="285"/>
      <c r="CG15" s="287"/>
      <c r="CH15" s="292"/>
      <c r="CI15" s="285"/>
      <c r="CJ15" s="285"/>
      <c r="CK15" s="285"/>
      <c r="CL15" s="285"/>
      <c r="CM15" s="285"/>
      <c r="CN15" s="285"/>
      <c r="CO15" s="285"/>
      <c r="CP15" s="286"/>
      <c r="CR15" s="292"/>
      <c r="CS15" s="285"/>
      <c r="CT15" s="285"/>
      <c r="CU15" s="285"/>
      <c r="CV15" s="286"/>
      <c r="CW15" s="294"/>
      <c r="CX15" s="294"/>
      <c r="CY15" s="294"/>
      <c r="CZ15" s="294"/>
      <c r="DA15" s="294"/>
      <c r="DB15" s="295"/>
      <c r="DC15" s="294"/>
      <c r="DD15" s="281"/>
      <c r="DE15" s="282"/>
      <c r="DF15" s="282"/>
      <c r="DG15" s="282"/>
      <c r="DH15" s="285"/>
      <c r="DI15" s="286"/>
      <c r="DJ15" s="294"/>
      <c r="DK15" s="294"/>
      <c r="DL15" s="294"/>
      <c r="DM15" s="294"/>
      <c r="DN15" s="296"/>
      <c r="DO15" s="294"/>
      <c r="DP15" s="294"/>
      <c r="DQ15" s="294"/>
      <c r="DR15" s="296"/>
      <c r="DS15" s="294"/>
      <c r="DT15" s="294" t="s">
        <v>128</v>
      </c>
      <c r="DU15" s="294"/>
      <c r="DV15" s="294"/>
      <c r="DW15" s="294"/>
      <c r="DX15" s="297"/>
      <c r="DY15" s="297"/>
      <c r="DZ15" s="297"/>
      <c r="EB15" s="281" t="s">
        <v>12</v>
      </c>
      <c r="EC15" s="282" t="s">
        <v>12</v>
      </c>
      <c r="ED15" s="283" t="s">
        <v>12</v>
      </c>
      <c r="EE15" s="281" t="s">
        <v>12</v>
      </c>
      <c r="EF15" s="282" t="s">
        <v>12</v>
      </c>
      <c r="EG15" s="282" t="s">
        <v>12</v>
      </c>
      <c r="EH15" s="282" t="s">
        <v>12</v>
      </c>
      <c r="EI15" s="282" t="s">
        <v>12</v>
      </c>
      <c r="EJ15" s="283" t="s">
        <v>12</v>
      </c>
      <c r="EK15" s="281" t="s">
        <v>12</v>
      </c>
      <c r="EL15" s="282" t="s">
        <v>12</v>
      </c>
      <c r="EM15" s="282" t="s">
        <v>12</v>
      </c>
      <c r="EN15" s="282" t="s">
        <v>12</v>
      </c>
      <c r="EO15" s="282" t="s">
        <v>12</v>
      </c>
      <c r="EP15" s="283" t="s">
        <v>12</v>
      </c>
      <c r="EQ15" s="294"/>
      <c r="ER15" s="294"/>
      <c r="ES15" s="294"/>
      <c r="ET15" s="294"/>
      <c r="EU15" s="294"/>
      <c r="EV15" s="294"/>
      <c r="EW15" s="294"/>
      <c r="EX15" s="294"/>
      <c r="EY15" s="279"/>
      <c r="EZ15" s="279"/>
      <c r="FA15" s="279"/>
      <c r="FB15" s="279"/>
      <c r="FC15" s="279"/>
      <c r="FD15" s="279"/>
      <c r="FE15" s="294"/>
      <c r="FF15" s="294"/>
      <c r="FG15" s="285"/>
      <c r="FH15" s="285"/>
      <c r="FI15" s="285"/>
      <c r="FJ15" s="282" t="s">
        <v>127</v>
      </c>
      <c r="FK15" s="282" t="s">
        <v>127</v>
      </c>
      <c r="FL15" s="282" t="s">
        <v>127</v>
      </c>
      <c r="FM15" s="282" t="s">
        <v>127</v>
      </c>
      <c r="FN15" s="285"/>
      <c r="FO15" s="285"/>
      <c r="FP15" s="285"/>
      <c r="FR15" s="302"/>
      <c r="FS15" s="282" t="s">
        <v>7</v>
      </c>
      <c r="FT15" s="282"/>
      <c r="FU15" s="282" t="s">
        <v>8</v>
      </c>
      <c r="FV15" s="303"/>
      <c r="FW15" s="304" t="s">
        <v>115</v>
      </c>
      <c r="FX15" s="305"/>
      <c r="FY15" s="302"/>
      <c r="FZ15" s="282"/>
      <c r="GA15" s="282"/>
      <c r="GB15" s="285"/>
      <c r="GC15" s="285"/>
      <c r="GD15" s="282"/>
      <c r="GE15" s="286"/>
      <c r="GF15" s="306"/>
      <c r="GG15" s="307"/>
      <c r="GH15" s="279"/>
      <c r="GI15" s="294"/>
      <c r="GJ15" s="294"/>
      <c r="GK15" s="294"/>
      <c r="GL15" s="294"/>
      <c r="GO15" s="282" t="s">
        <v>127</v>
      </c>
      <c r="GP15" s="282" t="s">
        <v>127</v>
      </c>
      <c r="GQ15" s="282" t="s">
        <v>127</v>
      </c>
      <c r="GR15" s="282" t="s">
        <v>127</v>
      </c>
      <c r="GS15" s="285"/>
      <c r="GT15" s="285"/>
      <c r="GU15" s="285"/>
      <c r="HH15" s="280" t="s">
        <v>87</v>
      </c>
      <c r="HI15" s="278" t="str">
        <f>Matl!B19</f>
        <v>Filled Hole Tensions Strain =</v>
      </c>
      <c r="HO15" s="294" t="s">
        <v>48</v>
      </c>
      <c r="HP15" s="294"/>
      <c r="HQ15" s="294"/>
      <c r="HR15" s="294"/>
      <c r="HS15" s="294"/>
      <c r="HT15" s="294"/>
      <c r="HU15" s="294"/>
      <c r="HV15" s="294"/>
      <c r="HW15" s="294"/>
      <c r="HX15" s="294"/>
      <c r="HY15" s="294"/>
      <c r="HZ15" s="294"/>
      <c r="IA15" s="309">
        <f>C123</f>
        <v>0</v>
      </c>
      <c r="IB15" s="309">
        <f>C124</f>
        <v>0</v>
      </c>
      <c r="IC15" s="294" t="s">
        <v>39</v>
      </c>
      <c r="ID15" s="294"/>
      <c r="IE15" s="294"/>
      <c r="IF15" s="294"/>
      <c r="IG15" s="294"/>
      <c r="IH15" s="294"/>
      <c r="II15" s="294"/>
      <c r="IJ15" s="294"/>
      <c r="IK15" s="294"/>
      <c r="IL15" s="294"/>
      <c r="IM15" s="294"/>
      <c r="IN15" s="294"/>
      <c r="IO15" s="294"/>
      <c r="IP15" s="294"/>
    </row>
    <row r="16" spans="1:250" s="314" customFormat="1" ht="12" x14ac:dyDescent="0.25">
      <c r="A16" s="310">
        <v>1</v>
      </c>
      <c r="B16" s="311">
        <v>45</v>
      </c>
      <c r="C16" s="311"/>
      <c r="D16" s="380" t="s">
        <v>109</v>
      </c>
      <c r="E16" s="380"/>
      <c r="F16" s="312">
        <f>IF(C16="",INDEX(Matl!$C$15:$K$15,MATCH(D16,Matl!$C$2:$K$2,0)),C16)</f>
        <v>8.5984251968503952E-3</v>
      </c>
      <c r="G16" s="313"/>
      <c r="H16" s="313"/>
      <c r="I16" s="313"/>
      <c r="J16" s="313"/>
      <c r="K16" s="313"/>
      <c r="M16" s="315"/>
      <c r="N16" s="315"/>
      <c r="O16" s="315"/>
      <c r="P16" s="316"/>
      <c r="Q16" s="316"/>
      <c r="R16" s="316"/>
      <c r="S16" s="316"/>
      <c r="T16" s="315"/>
      <c r="U16" s="317"/>
      <c r="V16" s="317"/>
      <c r="W16" s="317">
        <f t="shared" ref="W16:W50" si="3">IF(Z16=0,F16,0)</f>
        <v>8.5984251968503952E-3</v>
      </c>
      <c r="X16" s="317"/>
      <c r="Y16" s="317"/>
      <c r="Z16" s="318">
        <f t="shared" ref="Z16:Z50" si="4">IF(B16="","",IF(B16=0,1,))</f>
        <v>0</v>
      </c>
      <c r="AA16" s="319">
        <f t="shared" ref="AA16:AA50" si="5">IF(B16="","",IF(OR(D16=$AD$63,D16=$AD$65,D16=$AD$66,D16=$AD$67,D16=$AD$69)=TRUE,0.5,1))</f>
        <v>1</v>
      </c>
      <c r="AB16" s="314">
        <f t="shared" ref="AB16:AB50" si="6">IF(B16="","",AA16*Z16*F16)</f>
        <v>0</v>
      </c>
      <c r="AC16" s="320">
        <f t="shared" ref="AC16:AC50" si="7">B16*PI()/180</f>
        <v>0.78539816339744828</v>
      </c>
      <c r="AD16" s="320">
        <f>IF(D16="",0,SUM(F16:F16))</f>
        <v>8.5984251968503952E-3</v>
      </c>
      <c r="AE16" s="320">
        <f>IF(D16="",0,SUM(F16:F50)/2-AD16)</f>
        <v>7.7385826771653538E-2</v>
      </c>
      <c r="AF16" s="320">
        <f t="shared" ref="AF16:AF50" si="8">AE16+F16</f>
        <v>8.5984251968503927E-2</v>
      </c>
      <c r="AG16" s="320">
        <f>IF(D16="",0,(AD16+AD15)/2-SUM(F16:F50)/2)</f>
        <v>-8.1685039370078733E-2</v>
      </c>
      <c r="AH16" s="321">
        <f ca="1">IF(D16="",0,INDEX(INDIRECT($AE$60),MATCH(AH$14,Matl!$B$3:$B$17,0),MATCH(D16,Matl!$D$2:$K$2,0)))</f>
        <v>7702519.151965999</v>
      </c>
      <c r="AI16" s="321">
        <f ca="1">IF(D16="",0,INDEX(INDIRECT($AE$60),MATCH(AI$14,Matl!$B$3:$B$17,0),MATCH(D16,Matl!$D$2:$K$2,0)))</f>
        <v>7702519.151965999</v>
      </c>
      <c r="AJ16" s="321">
        <f ca="1">IF(D16="",0,INDEX(INDIRECT(AE60),MATCH(AJ14,Matl!B3:B15,0),MATCH(D16,Matl!D2:K2,0)))</f>
        <v>5.8999999999999997E-2</v>
      </c>
      <c r="AK16" s="322">
        <f t="shared" ref="AK16:AK50" ca="1" si="9">IF(D16="",0,AJ16*(AI16/AH16))</f>
        <v>5.8999999999999997E-2</v>
      </c>
      <c r="AL16" s="321">
        <f ca="1">IF(D16="",0,INDEX(INDIRECT(AE60),MATCH(AL14,Matl!B3:B15,0),MATCH(D16,Matl!D2:K2,0)))</f>
        <v>559990.70641799993</v>
      </c>
      <c r="AM16" s="323">
        <f ca="1">IF(D16="",0,INDEX(INDIRECT(AE60),MATCH(AM14,Matl!B3:B15,0),MATCH(D16,Matl!D2:K2,0)))</f>
        <v>86297.454109999991</v>
      </c>
      <c r="AN16" s="323">
        <f ca="1">IF(D16="",0,INDEX(INDIRECT(AE60),MATCH(AN14,Matl!B3:B15,0),MATCH(D16,Matl!D2:K2,0)))</f>
        <v>70488.34066799999</v>
      </c>
      <c r="AO16" s="323">
        <f ca="1">IF(D16="",0,INDEX(INDIRECT(AE60),MATCH(AO14,Matl!B3:B15,0),MATCH(D16,Matl!D2:K2,0)))</f>
        <v>52068.547941999997</v>
      </c>
      <c r="AP16" s="323">
        <f ca="1">IF(D16="",0,INDEX(INDIRECT(AE60),MATCH(AP14,Matl!B3:B15,0),MATCH(D16,Matl!D2:K2,0)))</f>
        <v>48297.566753999999</v>
      </c>
      <c r="AQ16" s="323">
        <f ca="1">IF(D16="",0,INDEX(INDIRECT(AE60),MATCH(AQ14,Matl!B3:B15,0),MATCH(D16,Matl!D2:K2,0)))</f>
        <v>11167.905825999998</v>
      </c>
      <c r="AR16" s="321"/>
      <c r="AS16" s="321"/>
      <c r="AT16" s="324">
        <f t="shared" ref="AT16:AT50" ca="1" si="10">AH16/(1-(AK16*AJ16))</f>
        <v>7729425.2813704489</v>
      </c>
      <c r="AU16" s="325">
        <f t="shared" ref="AU16:AU50" ca="1" si="11">AI16/(1-(AK16*AJ16))</f>
        <v>7729425.2813704489</v>
      </c>
      <c r="AV16" s="325">
        <f t="shared" ref="AV16:AV50" ca="1" si="12">(AK16*AH16)/(1-AK16*AJ16)</f>
        <v>456036.09160085651</v>
      </c>
      <c r="AW16" s="325">
        <f t="shared" ref="AW16:AW50" ca="1" si="13">(AJ16*AI16)/(1-AK16*AJ16)</f>
        <v>456036.09160085651</v>
      </c>
      <c r="AX16" s="326">
        <v>0</v>
      </c>
      <c r="AY16" s="326">
        <v>0</v>
      </c>
      <c r="AZ16" s="326">
        <v>0</v>
      </c>
      <c r="BA16" s="326">
        <v>0</v>
      </c>
      <c r="BB16" s="327">
        <f t="shared" ref="BB16:BB50" ca="1" si="14">AL16</f>
        <v>559990.70641799993</v>
      </c>
      <c r="BC16" s="328"/>
      <c r="BD16" s="324">
        <f t="shared" ref="BD16:BD50" ca="1" si="15">AT16*(COS(AC16)^4)+2*(AV16+2*BB16)*(SIN(AC16)^2)*(COS(AC16)^2)+AU16*(SIN(AC16)^4)</f>
        <v>4652721.392903653</v>
      </c>
      <c r="BE16" s="325">
        <f t="shared" ref="BE16:BE50" ca="1" si="16">AT16*(SIN(AC16)^4)+2*(AV16+2*BB16)*(SIN(AC16)^2)*(COS(AC16)^2)+AU16*(COS(AC16)^4)</f>
        <v>4652721.392903653</v>
      </c>
      <c r="BF16" s="325">
        <f t="shared" ref="BF16:BF50" ca="1" si="17">(AT16+AU16-4*BB16)*SIN(AC16)^2*COS(AC16)^2+AV16*(SIN(AC16)^4+COS(AC16)^4)</f>
        <v>3532739.9800676531</v>
      </c>
      <c r="BG16" s="325">
        <f t="shared" ref="BG16:BG50" ca="1" si="18">BF16</f>
        <v>3532739.9800676531</v>
      </c>
      <c r="BH16" s="325">
        <f t="shared" ref="BH16:BH50" ca="1" si="19">(AT16-AV16-2*BB16)*SIN(AC16)*COS(AC16)^3+(AV16-AU16+2*BB16)*SIN(AC16)^3*COS(AC16)</f>
        <v>0</v>
      </c>
      <c r="BI16" s="325">
        <f t="shared" ref="BI16:BI50" ca="1" si="20">BH16</f>
        <v>0</v>
      </c>
      <c r="BJ16" s="325">
        <f t="shared" ref="BJ16:BJ50" ca="1" si="21">(AT16-AV16-2*BB16)*SIN(AC16)^3*COS(AC16)+(AV16-AU16+2*BB16)*SIN(AC16)*COS(AC16)^3</f>
        <v>0</v>
      </c>
      <c r="BK16" s="325">
        <f t="shared" ref="BK16:BK50" ca="1" si="22">BJ16</f>
        <v>0</v>
      </c>
      <c r="BL16" s="329">
        <f t="shared" ref="BL16:BL50" ca="1" si="23">(AT16+AU16-2*AV16-2*BB16)*SIN(AC16)^2*COS(AC16)^2+BB16*(SIN(AC16)^4+COS(AC16)^4)</f>
        <v>3636694.5948847961</v>
      </c>
      <c r="BM16" s="330"/>
      <c r="BN16" s="324">
        <f t="shared" ref="BN16:BN50" ca="1" si="24">BD16*F16</f>
        <v>40006.076858667635</v>
      </c>
      <c r="BO16" s="325">
        <f t="shared" ref="BO16:BO50" ca="1" si="25">BE16*F16</f>
        <v>40006.076858667635</v>
      </c>
      <c r="BP16" s="325">
        <f t="shared" ref="BP16:BP50" ca="1" si="26">BF16*F16</f>
        <v>30376.000458534472</v>
      </c>
      <c r="BQ16" s="325">
        <f t="shared" ref="BQ16:BQ50" ca="1" si="27">BG16*F16</f>
        <v>30376.000458534472</v>
      </c>
      <c r="BR16" s="325">
        <f t="shared" ref="BR16:BR50" ca="1" si="28">BH16*F16</f>
        <v>0</v>
      </c>
      <c r="BS16" s="325">
        <f t="shared" ref="BS16:BS50" ca="1" si="29">BI16*F16</f>
        <v>0</v>
      </c>
      <c r="BT16" s="325">
        <f t="shared" ref="BT16:BT50" ca="1" si="30">BJ16*F16</f>
        <v>0</v>
      </c>
      <c r="BU16" s="325">
        <f t="shared" ref="BU16:BU50" ca="1" si="31">BK16*F16</f>
        <v>0</v>
      </c>
      <c r="BV16" s="329">
        <f t="shared" ref="BV16:BV50" ca="1" si="32">BL16*F16</f>
        <v>31269.846437907072</v>
      </c>
      <c r="BW16" s="330"/>
      <c r="BX16" s="325">
        <f t="shared" ref="BX16:BX50" ca="1" si="33">BD16*AG16*F16</f>
        <v>-3267.8979632426617</v>
      </c>
      <c r="BY16" s="325">
        <f t="shared" ref="BY16:BY50" ca="1" si="34">BE16*AG16*F16</f>
        <v>-3267.8979632426617</v>
      </c>
      <c r="BZ16" s="325">
        <f t="shared" ref="BZ16:BZ50" ca="1" si="35">BF16*AG16*F16</f>
        <v>-2481.2647933609178</v>
      </c>
      <c r="CA16" s="325">
        <f t="shared" ref="CA16:CA50" ca="1" si="36">BG16*AG16*F16</f>
        <v>-2481.2647933609178</v>
      </c>
      <c r="CB16" s="325">
        <f t="shared" ref="CB16:CB50" ca="1" si="37">BH16*AG16*F16</f>
        <v>0</v>
      </c>
      <c r="CC16" s="325">
        <f t="shared" ref="CC16:CC50" ca="1" si="38">BI16*AG16*F16</f>
        <v>0</v>
      </c>
      <c r="CD16" s="325">
        <f t="shared" ref="CD16:CD50" ca="1" si="39">BJ16*AG16*F16</f>
        <v>0</v>
      </c>
      <c r="CE16" s="325">
        <f t="shared" ref="CE16:CE50" ca="1" si="40">BK16*AG16*F16</f>
        <v>0</v>
      </c>
      <c r="CF16" s="325">
        <f t="shared" ref="CF16:CF50" ca="1" si="41">BL16*AG16*F16</f>
        <v>-2554.2786373767553</v>
      </c>
      <c r="CG16" s="330"/>
      <c r="CH16" s="331">
        <f t="shared" ref="CH16:CH50" ca="1" si="42">BD16*(F16^3/12+AG16^2*F16)</f>
        <v>267.18485427775306</v>
      </c>
      <c r="CI16" s="332">
        <f t="shared" ref="CI16:CI50" ca="1" si="43">BE16*(F16^3/12+AG16^2*F16)</f>
        <v>267.18485427775306</v>
      </c>
      <c r="CJ16" s="332">
        <f t="shared" ref="CJ16:CJ50" ca="1" si="44">BF16*(F16^3/12+AG16^2*F16)</f>
        <v>202.86936119046362</v>
      </c>
      <c r="CK16" s="332">
        <f t="shared" ref="CK16:CK50" ca="1" si="45">BG16*(F16^3/12+AG16^2*F16)</f>
        <v>202.86936119046362</v>
      </c>
      <c r="CL16" s="332">
        <f t="shared" ref="CL16:CL50" ca="1" si="46">BH16*(F16^3/12+AG16^2*F16)</f>
        <v>0</v>
      </c>
      <c r="CM16" s="332">
        <f t="shared" ref="CM16:CM50" ca="1" si="47">BI16*(F16^3/12+AG16^2*F16)</f>
        <v>0</v>
      </c>
      <c r="CN16" s="332">
        <f t="shared" ref="CN16:CN50" ca="1" si="48">BJ16*(F16^3/12+AG16^2*F16)</f>
        <v>0</v>
      </c>
      <c r="CO16" s="332">
        <f t="shared" ref="CO16:CO50" ca="1" si="49">BK16*(F16^3/12+AG16^2*F16)</f>
        <v>0</v>
      </c>
      <c r="CP16" s="333">
        <f t="shared" ref="CP16:CP50" ca="1" si="50">BL16*(F16^3/12+AG16^2*F16)</f>
        <v>208.83900696675724</v>
      </c>
      <c r="CR16" s="334">
        <v>1</v>
      </c>
      <c r="CS16" s="335"/>
      <c r="CT16" s="335"/>
      <c r="CU16" s="336" t="s">
        <v>129</v>
      </c>
      <c r="CV16" s="337">
        <f ca="1">AE70</f>
        <v>4.5648610417658959E-4</v>
      </c>
      <c r="CW16" s="338"/>
      <c r="CX16" s="339">
        <f ca="1">BD16</f>
        <v>4652721.392903653</v>
      </c>
      <c r="CY16" s="340">
        <f ca="1">BF16</f>
        <v>3532739.9800676531</v>
      </c>
      <c r="CZ16" s="341">
        <f ca="1">BH16</f>
        <v>0</v>
      </c>
      <c r="DA16" s="338"/>
      <c r="DB16" s="342">
        <f t="array" aca="1" ref="DB16:DB18" ca="1">MMULT(CX16:CZ18,CV16:CV18)</f>
        <v>2268.0369963811145</v>
      </c>
      <c r="DC16" s="338"/>
      <c r="DD16" s="343">
        <f ca="1">-AE75*AE16/F69</f>
        <v>-7.7268702054126706E-3</v>
      </c>
      <c r="DE16" s="344">
        <f ca="1">-AE75*AF16/F69</f>
        <v>-8.5854113393474107E-3</v>
      </c>
      <c r="DF16" s="344">
        <f ca="1">-AE76*AE16/F70</f>
        <v>-1.1961681867559998E-3</v>
      </c>
      <c r="DG16" s="344">
        <f ca="1">-AE76*AF16/F70</f>
        <v>-1.329075763062222E-3</v>
      </c>
      <c r="DH16" s="344">
        <f ca="1">-AE77*AE16/F69</f>
        <v>9.3167409559163309E-3</v>
      </c>
      <c r="DI16" s="345">
        <f ca="1">-AE77*AF16/F69</f>
        <v>1.0351934395462588E-2</v>
      </c>
      <c r="DJ16" s="338">
        <v>1</v>
      </c>
      <c r="DK16" s="338"/>
      <c r="DL16" s="338"/>
      <c r="DM16" s="346" t="s">
        <v>129</v>
      </c>
      <c r="DN16" s="347">
        <f ca="1">INDEX(DE16:DE115,MATCH(DJ16,A16:A50,0))</f>
        <v>-8.5854113393474107E-3</v>
      </c>
      <c r="DO16" s="338"/>
      <c r="DP16" s="338"/>
      <c r="DQ16" s="346" t="s">
        <v>130</v>
      </c>
      <c r="DR16" s="347">
        <f ca="1">INDEX(DD16:DD115,MATCH(DJ16,A16:A50,0))</f>
        <v>-7.7268702054126706E-3</v>
      </c>
      <c r="DS16" s="348"/>
      <c r="DT16" s="339">
        <f ca="1">CX16</f>
        <v>4652721.392903653</v>
      </c>
      <c r="DU16" s="340">
        <f t="shared" ref="DU16:DV18" ca="1" si="51">CY16</f>
        <v>3532739.9800676531</v>
      </c>
      <c r="DV16" s="341">
        <f t="shared" ca="1" si="51"/>
        <v>0</v>
      </c>
      <c r="DW16" s="338"/>
      <c r="DX16" s="349">
        <f t="array" aca="1" ref="DX16:DX18" ca="1">MMULT(DT16:DV18,DN16:DN18)</f>
        <v>-44640.806090168131</v>
      </c>
      <c r="DY16" s="349"/>
      <c r="DZ16" s="349">
        <f t="array" aca="1" ref="DZ16:DZ18" ca="1">MMULT(DT16:DV18,DR16:DR18)</f>
        <v>-40176.725481151327</v>
      </c>
      <c r="EB16" s="350">
        <f t="shared" ref="EB16:EB50" ca="1" si="52">INDEX(DB16:DB315,MATCH(A16,CR16:CR315,0))</f>
        <v>2268.0369963811145</v>
      </c>
      <c r="EC16" s="351">
        <f t="shared" ref="EC16:EC50" ca="1" si="53">INDEX(DB16:DB315,MATCH(A16,CR16:CR315,0)+1)</f>
        <v>1802.4758241316983</v>
      </c>
      <c r="ED16" s="352">
        <f t="shared" ref="ED16:ED50" ca="1" si="54">INDEX(DB16:DB315,MATCH(A16,CR16:CR315,0)+2)</f>
        <v>-1007.8166055871841</v>
      </c>
      <c r="EE16" s="350">
        <f t="shared" ref="EE16:EE50" ca="1" si="55">INDEX(DX16:DX315,MATCH(A16,CR16:CR315,0))</f>
        <v>-44640.806090168131</v>
      </c>
      <c r="EF16" s="351">
        <f t="shared" ref="EF16:EF50" ca="1" si="56">INDEX(DZ16:DZ315,MATCH(A16,CR16:CR315,0))</f>
        <v>-40176.725481151327</v>
      </c>
      <c r="EG16" s="351">
        <f t="shared" ref="EG16:EG50" ca="1" si="57">INDEX(DX16:DX315,MATCH(A16,CR16:CR315,0)+1)</f>
        <v>-36513.845119428122</v>
      </c>
      <c r="EH16" s="351">
        <f t="shared" ref="EH16:EH50" ca="1" si="58">INDEX(DZ16:DZ315,MATCH(A16,CR16:CR315,0)+1)</f>
        <v>-32862.460607485315</v>
      </c>
      <c r="EI16" s="351">
        <f t="shared" ref="EI16:EI50" ca="1" si="59">INDEX(DX16:DX315,MATCH(A16,CR16:CR315,0)+2)</f>
        <v>37646.823862580801</v>
      </c>
      <c r="EJ16" s="352">
        <f t="shared" ref="EJ16:EJ50" ca="1" si="60">INDEX(DZ16:DZ315,MATCH(A16,CR16:CR315,0)+2)</f>
        <v>33882.141476322729</v>
      </c>
      <c r="EK16" s="350">
        <f ca="1">EE16+EB16</f>
        <v>-42372.769093787014</v>
      </c>
      <c r="EL16" s="351">
        <f ca="1">EF16+EB16</f>
        <v>-37908.688484770209</v>
      </c>
      <c r="EM16" s="351">
        <f ca="1">EG16+EC16</f>
        <v>-34711.369295296427</v>
      </c>
      <c r="EN16" s="351">
        <f ca="1">EH16+EC16</f>
        <v>-31059.984783353615</v>
      </c>
      <c r="EO16" s="351">
        <f ca="1">EI16+ED16</f>
        <v>36639.007256993616</v>
      </c>
      <c r="EP16" s="352">
        <f ca="1">EJ16+ED16</f>
        <v>32874.324870735545</v>
      </c>
      <c r="EQ16" s="323">
        <f ca="1">IF(ABS(MIN(EK16:EL16))&gt;MAX(EK16:EL16),MIN(EK16:EL16),MAX(EK16:EL16))</f>
        <v>-42372.769093787014</v>
      </c>
      <c r="ER16" s="323">
        <f ca="1">IF(ABS(MIN(EM16:EN16))&gt;MAX(EM16:EN16),MIN(EM16:EN16),MAX(EM16:EN16))</f>
        <v>-34711.369295296427</v>
      </c>
      <c r="ES16" s="323">
        <f ca="1">IF(ABS(MIN(EO16:EP16))&gt;MAX(EO16:EP16),MIN(EO16:EP16),MAX(EO16:EP16))</f>
        <v>36639.007256993616</v>
      </c>
      <c r="ET16" s="323">
        <f ca="1">AM16</f>
        <v>86297.454109999991</v>
      </c>
      <c r="EU16" s="323">
        <f ca="1">AO16</f>
        <v>52068.547941999997</v>
      </c>
      <c r="EV16" s="323">
        <f ca="1">AN16</f>
        <v>70488.34066799999</v>
      </c>
      <c r="EW16" s="323">
        <f ca="1">AP16</f>
        <v>48297.566753999999</v>
      </c>
      <c r="EX16" s="323">
        <f ca="1">AQ16</f>
        <v>11167.905825999998</v>
      </c>
      <c r="EY16" s="353">
        <f ca="1">1/(ET16*EU16)</f>
        <v>2.2254946258207747E-10</v>
      </c>
      <c r="EZ16" s="353">
        <f ca="1">1/(EV16*EW16)</f>
        <v>2.9373619270409085E-10</v>
      </c>
      <c r="FA16" s="321">
        <f ca="1">1/EX16^2</f>
        <v>8.0178239087273853E-9</v>
      </c>
      <c r="FB16" s="354">
        <f ca="1">-1/(2*ET16*EU16)</f>
        <v>-1.1127473129103873E-10</v>
      </c>
      <c r="FC16" s="321">
        <f ca="1">(1/ET16-1/EU16)</f>
        <v>-7.6176246724607548E-6</v>
      </c>
      <c r="FD16" s="321">
        <f ca="1">(1/EV16-1/EW16)</f>
        <v>-6.5182334426556133E-6</v>
      </c>
      <c r="FE16" s="355">
        <f ca="1">EY16*EQ16^2+EZ16*ER16^2+2*FB16*EQ16*ER16+ES16^2*FA16</f>
        <v>11.189425837820272</v>
      </c>
      <c r="FF16" s="338">
        <f ca="1">EQ16*FC16+ER16*FD16</f>
        <v>0.5490366594702849</v>
      </c>
      <c r="FG16" s="335">
        <f ca="1">-0.5/(ET16*EU16*EV16*EW16)^0.5</f>
        <v>-1.2783860120010795E-10</v>
      </c>
      <c r="FH16" s="356">
        <f ca="1">EY16*EQ16^2+EZ16*ER16^2+2*FG16*EQ16*ER16+ES16^2*FA16</f>
        <v>11.140701000354516</v>
      </c>
      <c r="FI16" s="335">
        <f ca="1">EQ16*FC16+ER16*FD16</f>
        <v>0.5490366594702849</v>
      </c>
      <c r="FJ16" s="357">
        <f t="shared" ref="FJ16:FJ33" ca="1" si="61">(1/SQRT(EQ16^2/MIN(ET16:EU16)^2+ER16^2/MIN(EV16:EW16)^2+ES16^2/EX16^2-EQ16*ER16/MIN(ET16:EU16)^2))-1</f>
        <v>-0.70381945832433135</v>
      </c>
      <c r="FK16" s="357">
        <f t="shared" ref="FK16:FK33" ca="1" si="62">1/SQRT(  EQ16^2/(IF(EQ16&lt;0,EU16,ET16))^2  +  ER16^2/(IF(ER16&lt;0,EW16,EV16))^2  +   ES16^2/EX16^2  -  EQ16*ER16/(IF(EQ16&lt;0,EU16,ET16)*IF(ER16&lt;0,EW16,EV16))  )-1</f>
        <v>-0.70326764939975339</v>
      </c>
      <c r="FL16" s="357">
        <f t="shared" ref="FL16:FL33" ca="1" si="63">(-FF16+(FF16^2+4*FE16)^0.5/(2*FE16))-1</f>
        <v>-1.24908333922005</v>
      </c>
      <c r="FM16" s="357">
        <f t="shared" ref="FM16:FM33" ca="1" si="64">(-FI16+(FI16^2+4*FH16)^0.5/(2*FH16))-1</f>
        <v>-1.248423721014928</v>
      </c>
      <c r="FN16" s="357">
        <f t="shared" ref="FN16:FN33" ca="1" si="65">IF(EQ16&gt;0,ET16/EQ16-1,EU16/(ABS(EQ16))-1)</f>
        <v>0.22882098705308929</v>
      </c>
      <c r="FO16" s="357">
        <f ca="1">IF(ER16&gt;0,EV16/ER16-1,EW16/(ABS(ER16))-1)</f>
        <v>0.39140482598433746</v>
      </c>
      <c r="FP16" s="357">
        <f ca="1">EX16/ABS(ES16)-1</f>
        <v>-0.6951908181445533</v>
      </c>
      <c r="FR16" s="358">
        <v>1</v>
      </c>
      <c r="FS16" s="326">
        <v>0</v>
      </c>
      <c r="FT16" s="359">
        <f>INDEX(AF16:AF115,MATCH(GF16,A16:A115,0))</f>
        <v>8.5984251968503927E-2</v>
      </c>
      <c r="FU16" s="326">
        <v>0</v>
      </c>
      <c r="FV16" s="359">
        <f>FT16</f>
        <v>8.5984251968503927E-2</v>
      </c>
      <c r="FW16" s="359">
        <v>0</v>
      </c>
      <c r="FX16" s="360">
        <f>FV16</f>
        <v>8.5984251968503927E-2</v>
      </c>
      <c r="FY16" s="358">
        <v>1</v>
      </c>
      <c r="FZ16" s="326">
        <v>0</v>
      </c>
      <c r="GA16" s="359">
        <f>FT16</f>
        <v>8.5984251968503927E-2</v>
      </c>
      <c r="GB16" s="361">
        <v>0</v>
      </c>
      <c r="GC16" s="362">
        <f t="shared" ref="GC16:GC19" si="66">GA16</f>
        <v>8.5984251968503927E-2</v>
      </c>
      <c r="GD16" s="326">
        <v>0</v>
      </c>
      <c r="GE16" s="363">
        <f>GC16</f>
        <v>8.5984251968503927E-2</v>
      </c>
      <c r="GF16" s="364">
        <v>1</v>
      </c>
      <c r="GG16" s="365">
        <v>0</v>
      </c>
      <c r="GH16" s="320">
        <f>FT16</f>
        <v>8.5984251968503927E-2</v>
      </c>
      <c r="GI16" s="366">
        <v>0</v>
      </c>
      <c r="GJ16" s="366">
        <f t="shared" ref="GJ16:GJ19" si="67">GH16</f>
        <v>8.5984251968503927E-2</v>
      </c>
      <c r="GK16" s="366">
        <v>0</v>
      </c>
      <c r="GL16" s="366">
        <f t="shared" ref="GL16:GL19" si="68">GH16</f>
        <v>8.5984251968503927E-2</v>
      </c>
      <c r="GM16" s="358">
        <v>1</v>
      </c>
      <c r="GN16" s="359">
        <f t="shared" ref="GN16:GN47" si="69">GH16</f>
        <v>8.5984251968503927E-2</v>
      </c>
      <c r="GO16" s="367"/>
      <c r="GP16" s="367"/>
      <c r="GQ16" s="367"/>
      <c r="GR16" s="367"/>
      <c r="GS16" s="367"/>
      <c r="GT16" s="367"/>
      <c r="GU16" s="367"/>
      <c r="HO16" s="338"/>
      <c r="HP16" s="338" t="s">
        <v>49</v>
      </c>
      <c r="HQ16" s="338">
        <f ca="1">-AVERAGE(HH17:HH51)</f>
        <v>-3000</v>
      </c>
      <c r="HR16" s="338"/>
      <c r="HS16" s="338">
        <f ca="1">AVERAGE(HI17:HI51)</f>
        <v>4500</v>
      </c>
      <c r="HT16" s="338"/>
      <c r="HU16" s="338"/>
      <c r="HV16" s="338"/>
      <c r="HW16" s="338"/>
      <c r="HX16" s="338"/>
      <c r="HY16" s="338"/>
      <c r="HZ16" s="338"/>
      <c r="IA16" s="368">
        <f ca="1">AL76</f>
        <v>498.43935423816356</v>
      </c>
      <c r="IB16" s="368">
        <f ca="1">AL77</f>
        <v>-1.1536625661222408</v>
      </c>
      <c r="IC16" s="338" t="s">
        <v>51</v>
      </c>
      <c r="ID16" s="338"/>
      <c r="IE16" s="338"/>
      <c r="IF16" s="338"/>
      <c r="IG16" s="338"/>
      <c r="IH16" s="338"/>
      <c r="II16" s="338"/>
      <c r="IJ16" s="338"/>
      <c r="IK16" s="338"/>
      <c r="IL16" s="338"/>
      <c r="IM16" s="338"/>
      <c r="IN16" s="338"/>
      <c r="IO16" s="338"/>
      <c r="IP16" s="338"/>
    </row>
    <row r="17" spans="1:250" s="314" customFormat="1" ht="12" x14ac:dyDescent="0.25">
      <c r="A17" s="310">
        <v>2</v>
      </c>
      <c r="B17" s="311">
        <v>0</v>
      </c>
      <c r="C17" s="311"/>
      <c r="D17" s="380" t="s">
        <v>109</v>
      </c>
      <c r="E17" s="380"/>
      <c r="F17" s="312">
        <f>IF(C17="",INDEX(Matl!$C$15:$K$15,MATCH(D17,Matl!$C$2:$K$2,0)),C17)</f>
        <v>8.5984251968503952E-3</v>
      </c>
      <c r="G17" s="313"/>
      <c r="H17" s="313"/>
      <c r="I17" s="313"/>
      <c r="J17" s="313"/>
      <c r="K17" s="313"/>
      <c r="M17" s="315"/>
      <c r="N17" s="315"/>
      <c r="O17" s="315"/>
      <c r="P17" s="316"/>
      <c r="Q17" s="316"/>
      <c r="R17" s="316"/>
      <c r="S17" s="316"/>
      <c r="T17" s="315"/>
      <c r="U17" s="317"/>
      <c r="V17" s="317"/>
      <c r="W17" s="317">
        <f t="shared" si="3"/>
        <v>0</v>
      </c>
      <c r="X17" s="317"/>
      <c r="Y17" s="317"/>
      <c r="Z17" s="318">
        <f t="shared" si="4"/>
        <v>1</v>
      </c>
      <c r="AA17" s="319">
        <f t="shared" si="5"/>
        <v>1</v>
      </c>
      <c r="AB17" s="314">
        <f t="shared" si="6"/>
        <v>8.5984251968503952E-3</v>
      </c>
      <c r="AC17" s="320">
        <f t="shared" si="7"/>
        <v>0</v>
      </c>
      <c r="AD17" s="320">
        <f>IF(D17="",0,SUM(F15:F17))</f>
        <v>1.719685039370079E-2</v>
      </c>
      <c r="AE17" s="320">
        <f>IF(D17="",0,SUM(F16:F50)/2-AD17)</f>
        <v>6.8787401574803134E-2</v>
      </c>
      <c r="AF17" s="320">
        <f t="shared" si="8"/>
        <v>7.7385826771653524E-2</v>
      </c>
      <c r="AG17" s="320">
        <f>IF(D17="",0,(AD17+AD16)/2-SUM(F16:F50)/2)</f>
        <v>-7.3086614173228343E-2</v>
      </c>
      <c r="AH17" s="321">
        <f ca="1">IF(D17="",0,INDEX(INDIRECT($AE$60),MATCH(AH$14,Matl!$B$3:$B$17,0),MATCH(D17,Matl!$D$2:$K$2,0)))</f>
        <v>7702519.151965999</v>
      </c>
      <c r="AI17" s="321">
        <f ca="1">IF(D17="",0,INDEX(INDIRECT($AE$60),MATCH(AI$14,Matl!$B$3:$B$17,0),MATCH(D17,Matl!$D$2:$K$2,0)))</f>
        <v>7702519.151965999</v>
      </c>
      <c r="AJ17" s="321">
        <f ca="1">IF(D17="",0,INDEX(INDIRECT(AE60),MATCH(AJ14,Matl!B3:B15,0),MATCH(D17,Matl!D2:K2,0)))</f>
        <v>5.8999999999999997E-2</v>
      </c>
      <c r="AK17" s="322">
        <f t="shared" ca="1" si="9"/>
        <v>5.8999999999999997E-2</v>
      </c>
      <c r="AL17" s="321">
        <f ca="1">IF(D17="",0,INDEX(INDIRECT(AE60),MATCH(AL14,Matl!B3:B15,0),MATCH(D17,Matl!D2:K2,0)))</f>
        <v>559990.70641799993</v>
      </c>
      <c r="AM17" s="323">
        <f ca="1">IF(D17="",0,INDEX(INDIRECT(AE60),MATCH(AM14,Matl!B3:B15,0),MATCH(D17,Matl!D2:K2,0)))</f>
        <v>86297.454109999991</v>
      </c>
      <c r="AN17" s="323">
        <f ca="1">IF(D17="",0,INDEX(INDIRECT(AE60),MATCH(AN14,Matl!B3:B15,0),MATCH(D17,Matl!D2:K2,0)))</f>
        <v>70488.34066799999</v>
      </c>
      <c r="AO17" s="323">
        <f ca="1">IF(D17="",0,INDEX(INDIRECT(AE60),MATCH(AO14,Matl!B3:B15,0),MATCH(D17,Matl!D2:K2,0)))</f>
        <v>52068.547941999997</v>
      </c>
      <c r="AP17" s="323">
        <f ca="1">IF(D17="",0,INDEX(INDIRECT(AE60),MATCH(AP14,Matl!B3:B15,0),MATCH(D17,Matl!D2:K2,0)))</f>
        <v>48297.566753999999</v>
      </c>
      <c r="AQ17" s="323">
        <f ca="1">IF(D17="",0,INDEX(INDIRECT(AE60),MATCH(AQ14,Matl!B3:B15,0),MATCH(D17,Matl!D2:K2,0)))</f>
        <v>11167.905825999998</v>
      </c>
      <c r="AR17" s="321"/>
      <c r="AS17" s="321"/>
      <c r="AT17" s="324">
        <f t="shared" ca="1" si="10"/>
        <v>7729425.2813704489</v>
      </c>
      <c r="AU17" s="325">
        <f t="shared" ca="1" si="11"/>
        <v>7729425.2813704489</v>
      </c>
      <c r="AV17" s="325">
        <f t="shared" ca="1" si="12"/>
        <v>456036.09160085651</v>
      </c>
      <c r="AW17" s="325">
        <f t="shared" ca="1" si="13"/>
        <v>456036.09160085651</v>
      </c>
      <c r="AX17" s="326">
        <v>0</v>
      </c>
      <c r="AY17" s="326">
        <v>0</v>
      </c>
      <c r="AZ17" s="326">
        <v>0</v>
      </c>
      <c r="BA17" s="326">
        <v>0</v>
      </c>
      <c r="BB17" s="327">
        <f t="shared" ca="1" si="14"/>
        <v>559990.70641799993</v>
      </c>
      <c r="BC17" s="328"/>
      <c r="BD17" s="324">
        <f t="shared" ca="1" si="15"/>
        <v>7729425.2813704489</v>
      </c>
      <c r="BE17" s="325">
        <f t="shared" ca="1" si="16"/>
        <v>7729425.2813704489</v>
      </c>
      <c r="BF17" s="325">
        <f t="shared" ca="1" si="17"/>
        <v>456036.09160085651</v>
      </c>
      <c r="BG17" s="325">
        <f t="shared" ca="1" si="18"/>
        <v>456036.09160085651</v>
      </c>
      <c r="BH17" s="325">
        <f t="shared" ca="1" si="19"/>
        <v>0</v>
      </c>
      <c r="BI17" s="325">
        <f t="shared" ca="1" si="20"/>
        <v>0</v>
      </c>
      <c r="BJ17" s="325">
        <f t="shared" ca="1" si="21"/>
        <v>0</v>
      </c>
      <c r="BK17" s="325">
        <f t="shared" ca="1" si="22"/>
        <v>0</v>
      </c>
      <c r="BL17" s="329">
        <f t="shared" ca="1" si="23"/>
        <v>559990.70641799993</v>
      </c>
      <c r="BM17" s="330"/>
      <c r="BN17" s="324">
        <f t="shared" ca="1" si="24"/>
        <v>66460.885096508122</v>
      </c>
      <c r="BO17" s="325">
        <f t="shared" ca="1" si="25"/>
        <v>66460.885096508122</v>
      </c>
      <c r="BP17" s="325">
        <f t="shared" ca="1" si="26"/>
        <v>3921.1922206939794</v>
      </c>
      <c r="BQ17" s="325">
        <f t="shared" ca="1" si="27"/>
        <v>3921.1922206939794</v>
      </c>
      <c r="BR17" s="325">
        <f t="shared" ca="1" si="28"/>
        <v>0</v>
      </c>
      <c r="BS17" s="325">
        <f t="shared" ca="1" si="29"/>
        <v>0</v>
      </c>
      <c r="BT17" s="325">
        <f t="shared" ca="1" si="30"/>
        <v>0</v>
      </c>
      <c r="BU17" s="325">
        <f t="shared" ca="1" si="31"/>
        <v>0</v>
      </c>
      <c r="BV17" s="329">
        <f t="shared" ca="1" si="32"/>
        <v>4815.0382000665832</v>
      </c>
      <c r="BW17" s="330"/>
      <c r="BX17" s="325">
        <f t="shared" ca="1" si="33"/>
        <v>-4857.4010666597505</v>
      </c>
      <c r="BY17" s="325">
        <f t="shared" ca="1" si="34"/>
        <v>-4857.4010666597505</v>
      </c>
      <c r="BZ17" s="325">
        <f t="shared" ca="1" si="35"/>
        <v>-286.58666293292532</v>
      </c>
      <c r="CA17" s="325">
        <f t="shared" ca="1" si="36"/>
        <v>-286.58666293292532</v>
      </c>
      <c r="CB17" s="325">
        <f t="shared" ca="1" si="37"/>
        <v>0</v>
      </c>
      <c r="CC17" s="325">
        <f t="shared" ca="1" si="38"/>
        <v>0</v>
      </c>
      <c r="CD17" s="325">
        <f t="shared" ca="1" si="39"/>
        <v>0</v>
      </c>
      <c r="CE17" s="325">
        <f t="shared" ca="1" si="40"/>
        <v>0</v>
      </c>
      <c r="CF17" s="325">
        <f t="shared" ca="1" si="41"/>
        <v>-351.91483915762217</v>
      </c>
      <c r="CG17" s="330"/>
      <c r="CH17" s="331">
        <f t="shared" ca="1" si="42"/>
        <v>355.42046822910646</v>
      </c>
      <c r="CI17" s="332">
        <f t="shared" ca="1" si="43"/>
        <v>355.42046822910646</v>
      </c>
      <c r="CJ17" s="332">
        <f t="shared" ca="1" si="44"/>
        <v>20.96980762551728</v>
      </c>
      <c r="CK17" s="332">
        <f t="shared" ca="1" si="45"/>
        <v>20.96980762551728</v>
      </c>
      <c r="CL17" s="332">
        <f t="shared" ca="1" si="46"/>
        <v>0</v>
      </c>
      <c r="CM17" s="332">
        <f t="shared" ca="1" si="47"/>
        <v>0</v>
      </c>
      <c r="CN17" s="332">
        <f t="shared" ca="1" si="48"/>
        <v>0</v>
      </c>
      <c r="CO17" s="332">
        <f t="shared" ca="1" si="49"/>
        <v>0</v>
      </c>
      <c r="CP17" s="333">
        <f t="shared" ca="1" si="50"/>
        <v>25.749929889191534</v>
      </c>
      <c r="CR17" s="334"/>
      <c r="CS17" s="335"/>
      <c r="CT17" s="335"/>
      <c r="CU17" s="336" t="s">
        <v>131</v>
      </c>
      <c r="CV17" s="337">
        <f ca="1">AE71</f>
        <v>4.0799587495451728E-5</v>
      </c>
      <c r="CW17" s="338"/>
      <c r="CX17" s="324">
        <f ca="1">BG16</f>
        <v>3532739.9800676531</v>
      </c>
      <c r="CY17" s="325">
        <f ca="1">BE16</f>
        <v>4652721.392903653</v>
      </c>
      <c r="CZ17" s="329">
        <f ca="1">BK16</f>
        <v>0</v>
      </c>
      <c r="DA17" s="338"/>
      <c r="DB17" s="342">
        <f ca="1"/>
        <v>1802.4758241316983</v>
      </c>
      <c r="DC17" s="338"/>
      <c r="DD17" s="343">
        <f ca="1">-AE75*AE17/F69</f>
        <v>-6.868329071477928E-3</v>
      </c>
      <c r="DE17" s="344">
        <f ca="1">-AE75*AF17/F69</f>
        <v>-7.7268702054126689E-3</v>
      </c>
      <c r="DF17" s="344">
        <f ca="1">-AE76*AE17/F70</f>
        <v>-1.0632606104497774E-3</v>
      </c>
      <c r="DG17" s="344">
        <f ca="1">-AE76*AF17/F70</f>
        <v>-1.1961681867559996E-3</v>
      </c>
      <c r="DH17" s="344">
        <f ca="1">-AE77*AE17/F69</f>
        <v>8.2815475163700702E-3</v>
      </c>
      <c r="DI17" s="345">
        <f ca="1">-AE77*AF17/F69</f>
        <v>9.3167409559163292E-3</v>
      </c>
      <c r="DJ17" s="338"/>
      <c r="DK17" s="338"/>
      <c r="DL17" s="338"/>
      <c r="DM17" s="346" t="s">
        <v>131</v>
      </c>
      <c r="DN17" s="347">
        <f ca="1">INDEX(DG16:DG115,MATCH(DJ16,A16:A50,0))</f>
        <v>-1.329075763062222E-3</v>
      </c>
      <c r="DO17" s="338"/>
      <c r="DP17" s="338"/>
      <c r="DQ17" s="346" t="s">
        <v>132</v>
      </c>
      <c r="DR17" s="347">
        <f ca="1">INDEX(DF16:DF115,MATCH(DJ16,A16:A50,0))</f>
        <v>-1.1961681867559998E-3</v>
      </c>
      <c r="DS17" s="348"/>
      <c r="DT17" s="324">
        <f t="shared" ref="DT17:DT18" ca="1" si="70">CX17</f>
        <v>3532739.9800676531</v>
      </c>
      <c r="DU17" s="325">
        <f t="shared" ca="1" si="51"/>
        <v>4652721.392903653</v>
      </c>
      <c r="DV17" s="329">
        <f t="shared" ca="1" si="51"/>
        <v>0</v>
      </c>
      <c r="DW17" s="338"/>
      <c r="DX17" s="349">
        <f ca="1"/>
        <v>-36513.845119428122</v>
      </c>
      <c r="DY17" s="349"/>
      <c r="DZ17" s="349">
        <f ca="1"/>
        <v>-32862.460607485315</v>
      </c>
      <c r="EB17" s="350">
        <f t="shared" ca="1" si="52"/>
        <v>3546.9813186371889</v>
      </c>
      <c r="EC17" s="351">
        <f t="shared" ca="1" si="53"/>
        <v>523.53150187562358</v>
      </c>
      <c r="ED17" s="352">
        <f t="shared" ca="1" si="54"/>
        <v>-155.18705741647139</v>
      </c>
      <c r="EE17" s="350">
        <f t="shared" ca="1" si="55"/>
        <v>-60269.761776370244</v>
      </c>
      <c r="EF17" s="351">
        <f t="shared" ca="1" si="56"/>
        <v>-53573.121578995771</v>
      </c>
      <c r="EG17" s="351">
        <f t="shared" ca="1" si="57"/>
        <v>-12769.424312266372</v>
      </c>
      <c r="EH17" s="351">
        <f t="shared" ca="1" si="58"/>
        <v>-11350.599388681221</v>
      </c>
      <c r="EI17" s="351">
        <f t="shared" ca="1" si="59"/>
        <v>5217.2883494170974</v>
      </c>
      <c r="EJ17" s="352">
        <f t="shared" ca="1" si="60"/>
        <v>4637.5896439263088</v>
      </c>
      <c r="EK17" s="350">
        <f t="shared" ref="EK17:EK27" ca="1" si="71">EE17+EB17</f>
        <v>-56722.780457733053</v>
      </c>
      <c r="EL17" s="351">
        <f t="shared" ref="EL17:EL27" ca="1" si="72">EF17+EB17</f>
        <v>-50026.140260358581</v>
      </c>
      <c r="EM17" s="351">
        <f t="shared" ref="EM17:EM27" ca="1" si="73">EG17+EC17</f>
        <v>-12245.892810390749</v>
      </c>
      <c r="EN17" s="351">
        <f t="shared" ref="EN17:EN27" ca="1" si="74">EH17+EC17</f>
        <v>-10827.067886805598</v>
      </c>
      <c r="EO17" s="351">
        <f t="shared" ref="EO17:EO27" ca="1" si="75">EI17+ED17</f>
        <v>5062.101292000626</v>
      </c>
      <c r="EP17" s="352">
        <f t="shared" ref="EP17:EP27" ca="1" si="76">EJ17+ED17</f>
        <v>4482.4025865098374</v>
      </c>
      <c r="EQ17" s="323">
        <f t="shared" ref="EQ17:EQ27" ca="1" si="77">IF(ABS(MIN(EK17:EL17))&gt;MAX(EK17:EL17),MIN(EK17:EL17),MAX(EK17:EL17))</f>
        <v>-56722.780457733053</v>
      </c>
      <c r="ER17" s="323">
        <f t="shared" ref="ER17:ER27" ca="1" si="78">IF(ABS(MIN(EM17:EN17))&gt;MAX(EM17:EN17),MIN(EM17:EN17),MAX(EM17:EN17))</f>
        <v>-12245.892810390749</v>
      </c>
      <c r="ES17" s="323">
        <f t="shared" ref="ES17:ES27" ca="1" si="79">IF(ABS(MIN(EO17:EP17))&gt;MAX(EO17:EP17),MIN(EO17:EP17),MAX(EO17:EP17))</f>
        <v>5062.101292000626</v>
      </c>
      <c r="ET17" s="323">
        <f t="shared" ref="ET17:ET27" ca="1" si="80">AM17</f>
        <v>86297.454109999991</v>
      </c>
      <c r="EU17" s="323">
        <f t="shared" ref="EU17:EU27" ca="1" si="81">AO17</f>
        <v>52068.547941999997</v>
      </c>
      <c r="EV17" s="323">
        <f t="shared" ref="EV17:EV27" ca="1" si="82">AN17</f>
        <v>70488.34066799999</v>
      </c>
      <c r="EW17" s="323">
        <f t="shared" ref="EW17:EW27" ca="1" si="83">AP17</f>
        <v>48297.566753999999</v>
      </c>
      <c r="EX17" s="323">
        <f t="shared" ref="EX17:EX27" ca="1" si="84">AQ17</f>
        <v>11167.905825999998</v>
      </c>
      <c r="EY17" s="353">
        <f t="shared" ref="EY17:EY27" ca="1" si="85">1/(ET17*EU17)</f>
        <v>2.2254946258207747E-10</v>
      </c>
      <c r="EZ17" s="353">
        <f t="shared" ref="EZ17:EZ27" ca="1" si="86">1/(EV17*EW17)</f>
        <v>2.9373619270409085E-10</v>
      </c>
      <c r="FA17" s="321">
        <f t="shared" ref="FA17:FA27" ca="1" si="87">1/EX17^2</f>
        <v>8.0178239087273853E-9</v>
      </c>
      <c r="FB17" s="354">
        <f t="shared" ref="FB17:FB27" ca="1" si="88">-1/(2*ET17*EU17)</f>
        <v>-1.1127473129103873E-10</v>
      </c>
      <c r="FC17" s="321">
        <f t="shared" ref="FC17:FC27" ca="1" si="89">(1/ET17-1/EU17)</f>
        <v>-7.6176246724607548E-6</v>
      </c>
      <c r="FD17" s="321">
        <f t="shared" ref="FD17:FD27" ca="1" si="90">(1/EV17-1/EW17)</f>
        <v>-6.5182334426556133E-6</v>
      </c>
      <c r="FE17" s="355">
        <f t="shared" ref="FE17:FE27" ca="1" si="91">EY17*EQ17^2+EZ17*ER17^2+2*FB17*EQ17*ER17+ES17^2*FA17</f>
        <v>0.81096444609661322</v>
      </c>
      <c r="FF17" s="338">
        <f t="shared" ref="FF17:FF27" ca="1" si="92">EQ17*FC17+ER17*FD17</f>
        <v>0.51191443995726693</v>
      </c>
      <c r="FG17" s="335">
        <f t="shared" ref="FG17:FG27" ca="1" si="93">-0.5/(ET17*EU17*EV17*EW17)^0.5</f>
        <v>-1.2783860120010795E-10</v>
      </c>
      <c r="FH17" s="356">
        <f t="shared" ref="FH17:FH27" ca="1" si="94">EY17*EQ17^2+EZ17*ER17^2+2*FG17*EQ17*ER17+ES17^2*FA17</f>
        <v>0.78795321937501916</v>
      </c>
      <c r="FI17" s="335">
        <f t="shared" ref="FI17:FI27" ca="1" si="95">EQ17*FC17+ER17*FD17</f>
        <v>0.51191443995726693</v>
      </c>
      <c r="FJ17" s="357">
        <f t="shared" ca="1" si="61"/>
        <v>-8.724180854414354E-2</v>
      </c>
      <c r="FK17" s="357">
        <f t="shared" ca="1" si="62"/>
        <v>-7.9539271028438052E-2</v>
      </c>
      <c r="FL17" s="357">
        <f t="shared" ca="1" si="63"/>
        <v>-0.35748118098019621</v>
      </c>
      <c r="FM17" s="357">
        <f t="shared" ca="1" si="64"/>
        <v>-0.33946799722541854</v>
      </c>
      <c r="FN17" s="357">
        <f t="shared" ca="1" si="65"/>
        <v>-8.2052263273679871E-2</v>
      </c>
      <c r="FO17" s="357">
        <f t="shared" ref="FO17:FO27" ca="1" si="96">IF(ER17&gt;0,EV17/ER17-1,EW17/(ABS(ER17))-1)</f>
        <v>2.9439808515242829</v>
      </c>
      <c r="FP17" s="357">
        <f t="shared" ref="FP17:FP27" ca="1" si="97">EX17/ABS(ES17)-1</f>
        <v>1.2061798414915277</v>
      </c>
      <c r="FR17" s="358"/>
      <c r="FS17" s="359">
        <f ca="1">INDEX(EB16:EB115,MATCH(GF16,A16:A115,0))</f>
        <v>2268.0369963811145</v>
      </c>
      <c r="FT17" s="359">
        <f>FT16</f>
        <v>8.5984251968503927E-2</v>
      </c>
      <c r="FU17" s="359">
        <f ca="1">INDEX(EC16:EC115,MATCH(GF16,A16:A115,0))</f>
        <v>1802.4758241316983</v>
      </c>
      <c r="FV17" s="359">
        <f t="shared" ref="FV17:FV19" si="98">FT17</f>
        <v>8.5984251968503927E-2</v>
      </c>
      <c r="FW17" s="359">
        <f ca="1">INDEX(ED16:ED115,MATCH(GF16,A16:A115,0))</f>
        <v>-1007.8166055871841</v>
      </c>
      <c r="FX17" s="360">
        <f t="shared" ref="FX17:FX19" si="99">FV17</f>
        <v>8.5984251968503927E-2</v>
      </c>
      <c r="FY17" s="358"/>
      <c r="FZ17" s="351">
        <f ca="1">INDEX(EE16:EE115,MATCH(GF16,A16:A115,0))</f>
        <v>-44640.806090168131</v>
      </c>
      <c r="GA17" s="359">
        <f>GA16</f>
        <v>8.5984251968503927E-2</v>
      </c>
      <c r="GB17" s="326">
        <f ca="1">INDEX(EG16:EG115,MATCH(GF16,A16:A115,0))</f>
        <v>-36513.845119428122</v>
      </c>
      <c r="GC17" s="362">
        <f t="shared" si="66"/>
        <v>8.5984251968503927E-2</v>
      </c>
      <c r="GD17" s="359">
        <f ca="1">INDEX(EI16:EI115,MATCH(GF16,A16:A115,0))</f>
        <v>37646.823862580801</v>
      </c>
      <c r="GE17" s="363">
        <f t="shared" ref="GE17:GE19" si="100">GC17</f>
        <v>8.5984251968503927E-2</v>
      </c>
      <c r="GF17" s="364"/>
      <c r="GG17" s="365">
        <f ca="1">FS17+FZ17</f>
        <v>-42372.769093787014</v>
      </c>
      <c r="GH17" s="320">
        <f>GH16</f>
        <v>8.5984251968503927E-2</v>
      </c>
      <c r="GI17" s="365">
        <f ca="1">FU17+GB17</f>
        <v>-34711.369295296427</v>
      </c>
      <c r="GJ17" s="366">
        <f t="shared" si="67"/>
        <v>8.5984251968503927E-2</v>
      </c>
      <c r="GK17" s="365">
        <f ca="1">FW17+GD17</f>
        <v>36639.007256993616</v>
      </c>
      <c r="GL17" s="366">
        <f t="shared" si="68"/>
        <v>8.5984251968503927E-2</v>
      </c>
      <c r="GM17" s="358"/>
      <c r="GN17" s="359">
        <f t="shared" si="69"/>
        <v>8.5984251968503927E-2</v>
      </c>
      <c r="GO17" s="367">
        <f ca="1">INDEX(FJ16:FJ115,MATCH(GM16,A16:A115,0))</f>
        <v>-0.70381945832433135</v>
      </c>
      <c r="GP17" s="367">
        <f ca="1">INDEX(FK16:FK115,MATCH(GM16,A16:A115,0))</f>
        <v>-0.70326764939975339</v>
      </c>
      <c r="GQ17" s="367">
        <f ca="1">INDEX(FL16:FL115,MATCH(GM16,A16:A115,0))</f>
        <v>-1.24908333922005</v>
      </c>
      <c r="GR17" s="367">
        <f ca="1">INDEX(FM16:FM115,MATCH(GM16,A16:A115,0))</f>
        <v>-1.248423721014928</v>
      </c>
      <c r="GS17" s="367">
        <f ca="1">INDEX(FN16:FN115,MATCH(GM16,A16:A115,0))</f>
        <v>0.22882098705308929</v>
      </c>
      <c r="GT17" s="367">
        <f ca="1">INDEX(FO16:FO115,MATCH(GM16,A16:A115,0))</f>
        <v>0.39140482598433746</v>
      </c>
      <c r="GU17" s="367">
        <f ca="1">INDEX(FP16:FP115,MATCH(GM16,A16:A115,0))</f>
        <v>-0.6951908181445533</v>
      </c>
      <c r="HH17" s="321">
        <f ca="1">IF(D16="","",INDEX(INDIRECT(AE60),MATCH(HH15,Matl!B3:B29,0),MATCH(D16,Matl!D2:K2,0)))</f>
        <v>3000</v>
      </c>
      <c r="HI17" s="314">
        <f ca="1">IF(D16="","",INDEX(INDIRECT(AE60),MATCH(HI15,Matl!B3:B29,0),MATCH(D16,Matl!D2:K2,0)))</f>
        <v>4500</v>
      </c>
      <c r="HO17" s="338"/>
      <c r="HP17" s="338" t="s">
        <v>50</v>
      </c>
      <c r="HQ17" s="338">
        <f>3500/2</f>
        <v>1750</v>
      </c>
      <c r="HR17" s="338"/>
      <c r="HS17" s="338">
        <f ca="1">-HS16</f>
        <v>-4500</v>
      </c>
      <c r="HT17" s="338"/>
      <c r="HU17" s="338"/>
      <c r="HV17" s="338"/>
      <c r="HW17" s="338"/>
      <c r="HX17" s="338"/>
      <c r="HY17" s="338"/>
      <c r="HZ17" s="338"/>
      <c r="IA17" s="368">
        <f>F123</f>
        <v>0</v>
      </c>
      <c r="IB17" s="368">
        <f>F124</f>
        <v>0</v>
      </c>
      <c r="IC17" s="338" t="s">
        <v>40</v>
      </c>
      <c r="ID17" s="338"/>
      <c r="IE17" s="338"/>
      <c r="IF17" s="338"/>
      <c r="IG17" s="338"/>
      <c r="IH17" s="338"/>
      <c r="II17" s="338"/>
      <c r="IJ17" s="338"/>
      <c r="IK17" s="338"/>
      <c r="IL17" s="338"/>
      <c r="IM17" s="338"/>
      <c r="IN17" s="338"/>
      <c r="IO17" s="338"/>
      <c r="IP17" s="338"/>
    </row>
    <row r="18" spans="1:250" s="314" customFormat="1" ht="12" x14ac:dyDescent="0.25">
      <c r="A18" s="310">
        <v>3</v>
      </c>
      <c r="B18" s="311">
        <v>0</v>
      </c>
      <c r="C18" s="311"/>
      <c r="D18" s="380" t="s">
        <v>109</v>
      </c>
      <c r="E18" s="380"/>
      <c r="F18" s="312">
        <f>IF(C18="",INDEX(Matl!$C$15:$K$15,MATCH(D18,Matl!$C$2:$K$2,0)),C18)</f>
        <v>8.5984251968503952E-3</v>
      </c>
      <c r="G18" s="313"/>
      <c r="H18" s="313"/>
      <c r="I18" s="313"/>
      <c r="J18" s="313"/>
      <c r="K18" s="313"/>
      <c r="M18" s="315"/>
      <c r="N18" s="315"/>
      <c r="O18" s="315"/>
      <c r="P18" s="316"/>
      <c r="Q18" s="316"/>
      <c r="R18" s="316"/>
      <c r="S18" s="316"/>
      <c r="T18" s="315"/>
      <c r="U18" s="317"/>
      <c r="V18" s="317"/>
      <c r="W18" s="317">
        <f t="shared" si="3"/>
        <v>0</v>
      </c>
      <c r="X18" s="317"/>
      <c r="Y18" s="317"/>
      <c r="Z18" s="318">
        <f t="shared" si="4"/>
        <v>1</v>
      </c>
      <c r="AA18" s="319">
        <f t="shared" si="5"/>
        <v>1</v>
      </c>
      <c r="AB18" s="314">
        <f t="shared" si="6"/>
        <v>8.5984251968503952E-3</v>
      </c>
      <c r="AC18" s="320">
        <f t="shared" si="7"/>
        <v>0</v>
      </c>
      <c r="AD18" s="320">
        <f>IF(D18="",0,SUM(F15:F18))</f>
        <v>2.5795275590551184E-2</v>
      </c>
      <c r="AE18" s="320">
        <f>IF(D18="",0,SUM(F16:F50)/2-AD18)</f>
        <v>6.0188976377952744E-2</v>
      </c>
      <c r="AF18" s="320">
        <f t="shared" si="8"/>
        <v>6.8787401574803134E-2</v>
      </c>
      <c r="AG18" s="320">
        <f>IF(D18="",0,(AD18+AD17)/2-SUM(F16:F50)/2)</f>
        <v>-6.4488188976377939E-2</v>
      </c>
      <c r="AH18" s="321">
        <f ca="1">IF(D18="",0,INDEX(INDIRECT($AE$60),MATCH(AH$14,Matl!$B$3:$B$17,0),MATCH(D18,Matl!$D$2:$K$2,0)))</f>
        <v>7702519.151965999</v>
      </c>
      <c r="AI18" s="321">
        <f ca="1">IF(D18="",0,INDEX(INDIRECT($AE$60),MATCH(AI$14,Matl!$B$3:$B$17,0),MATCH(D18,Matl!$D$2:$K$2,0)))</f>
        <v>7702519.151965999</v>
      </c>
      <c r="AJ18" s="321">
        <f ca="1">IF(D18="",0,INDEX(INDIRECT(AE60),MATCH(AJ14,Matl!B3:B15,0),MATCH(D18,Matl!D2:K2,0)))</f>
        <v>5.8999999999999997E-2</v>
      </c>
      <c r="AK18" s="322">
        <f t="shared" ca="1" si="9"/>
        <v>5.8999999999999997E-2</v>
      </c>
      <c r="AL18" s="321">
        <f ca="1">IF(D18="",0,INDEX(INDIRECT(AE60),MATCH(AL14,Matl!B3:B15,0),MATCH(D18,Matl!D2:K2,0)))</f>
        <v>559990.70641799993</v>
      </c>
      <c r="AM18" s="323">
        <f ca="1">IF(D18="",0,INDEX(INDIRECT(AE60),MATCH(AM14,Matl!B3:B15,0),MATCH(D18,Matl!D2:K2,0)))</f>
        <v>86297.454109999991</v>
      </c>
      <c r="AN18" s="323">
        <f ca="1">IF(D18="",0,INDEX(INDIRECT(AE60),MATCH(AN14,Matl!B3:B15,0),MATCH(D18,Matl!D2:K2,0)))</f>
        <v>70488.34066799999</v>
      </c>
      <c r="AO18" s="323">
        <f ca="1">IF(D18="",0,INDEX(INDIRECT(AE60),MATCH(AO14,Matl!B3:B15,0),MATCH(D18,Matl!D2:K2,0)))</f>
        <v>52068.547941999997</v>
      </c>
      <c r="AP18" s="323">
        <f ca="1">IF(D18="",0,INDEX(INDIRECT(AE60),MATCH(AP14,Matl!B3:B15,0),MATCH(D18,Matl!D2:K2,0)))</f>
        <v>48297.566753999999</v>
      </c>
      <c r="AQ18" s="323">
        <f ca="1">IF(D18="",0,INDEX(INDIRECT(AE60),MATCH(AQ14,Matl!B3:B15,0),MATCH(D18,Matl!D2:K2,0)))</f>
        <v>11167.905825999998</v>
      </c>
      <c r="AR18" s="321"/>
      <c r="AS18" s="321"/>
      <c r="AT18" s="324">
        <f t="shared" ca="1" si="10"/>
        <v>7729425.2813704489</v>
      </c>
      <c r="AU18" s="325">
        <f t="shared" ca="1" si="11"/>
        <v>7729425.2813704489</v>
      </c>
      <c r="AV18" s="325">
        <f t="shared" ca="1" si="12"/>
        <v>456036.09160085651</v>
      </c>
      <c r="AW18" s="325">
        <f t="shared" ca="1" si="13"/>
        <v>456036.09160085651</v>
      </c>
      <c r="AX18" s="326">
        <v>0</v>
      </c>
      <c r="AY18" s="326">
        <v>0</v>
      </c>
      <c r="AZ18" s="326">
        <v>0</v>
      </c>
      <c r="BA18" s="326">
        <v>0</v>
      </c>
      <c r="BB18" s="327">
        <f t="shared" ca="1" si="14"/>
        <v>559990.70641799993</v>
      </c>
      <c r="BC18" s="328"/>
      <c r="BD18" s="324">
        <f t="shared" ca="1" si="15"/>
        <v>7729425.2813704489</v>
      </c>
      <c r="BE18" s="325">
        <f t="shared" ca="1" si="16"/>
        <v>7729425.2813704489</v>
      </c>
      <c r="BF18" s="325">
        <f t="shared" ca="1" si="17"/>
        <v>456036.09160085651</v>
      </c>
      <c r="BG18" s="325">
        <f t="shared" ca="1" si="18"/>
        <v>456036.09160085651</v>
      </c>
      <c r="BH18" s="325">
        <f t="shared" ca="1" si="19"/>
        <v>0</v>
      </c>
      <c r="BI18" s="325">
        <f t="shared" ca="1" si="20"/>
        <v>0</v>
      </c>
      <c r="BJ18" s="325">
        <f t="shared" ca="1" si="21"/>
        <v>0</v>
      </c>
      <c r="BK18" s="325">
        <f t="shared" ca="1" si="22"/>
        <v>0</v>
      </c>
      <c r="BL18" s="329">
        <f t="shared" ca="1" si="23"/>
        <v>559990.70641799993</v>
      </c>
      <c r="BM18" s="330"/>
      <c r="BN18" s="324">
        <f t="shared" ca="1" si="24"/>
        <v>66460.885096508122</v>
      </c>
      <c r="BO18" s="325">
        <f t="shared" ca="1" si="25"/>
        <v>66460.885096508122</v>
      </c>
      <c r="BP18" s="325">
        <f t="shared" ca="1" si="26"/>
        <v>3921.1922206939794</v>
      </c>
      <c r="BQ18" s="325">
        <f t="shared" ca="1" si="27"/>
        <v>3921.1922206939794</v>
      </c>
      <c r="BR18" s="325">
        <f t="shared" ca="1" si="28"/>
        <v>0</v>
      </c>
      <c r="BS18" s="325">
        <f t="shared" ca="1" si="29"/>
        <v>0</v>
      </c>
      <c r="BT18" s="325">
        <f t="shared" ca="1" si="30"/>
        <v>0</v>
      </c>
      <c r="BU18" s="325">
        <f t="shared" ca="1" si="31"/>
        <v>0</v>
      </c>
      <c r="BV18" s="329">
        <f t="shared" ca="1" si="32"/>
        <v>4815.0382000665832</v>
      </c>
      <c r="BW18" s="330"/>
      <c r="BX18" s="325">
        <f t="shared" ca="1" si="33"/>
        <v>-4285.942117640956</v>
      </c>
      <c r="BY18" s="325">
        <f t="shared" ca="1" si="34"/>
        <v>-4285.942117640956</v>
      </c>
      <c r="BZ18" s="325">
        <f t="shared" ca="1" si="35"/>
        <v>-252.87058494081643</v>
      </c>
      <c r="CA18" s="325">
        <f t="shared" ca="1" si="36"/>
        <v>-252.87058494081643</v>
      </c>
      <c r="CB18" s="325">
        <f t="shared" ca="1" si="37"/>
        <v>0</v>
      </c>
      <c r="CC18" s="325">
        <f t="shared" ca="1" si="38"/>
        <v>0</v>
      </c>
      <c r="CD18" s="325">
        <f t="shared" ca="1" si="39"/>
        <v>0</v>
      </c>
      <c r="CE18" s="325">
        <f t="shared" ca="1" si="40"/>
        <v>0</v>
      </c>
      <c r="CF18" s="325">
        <f t="shared" ca="1" si="41"/>
        <v>-310.51309337437249</v>
      </c>
      <c r="CG18" s="330"/>
      <c r="CH18" s="331">
        <f t="shared" ca="1" si="42"/>
        <v>276.80211580976487</v>
      </c>
      <c r="CI18" s="332">
        <f t="shared" ca="1" si="43"/>
        <v>276.80211580976487</v>
      </c>
      <c r="CJ18" s="332">
        <f t="shared" ca="1" si="44"/>
        <v>16.331324832776126</v>
      </c>
      <c r="CK18" s="332">
        <f t="shared" ca="1" si="45"/>
        <v>16.331324832776126</v>
      </c>
      <c r="CL18" s="332">
        <f t="shared" ca="1" si="46"/>
        <v>0</v>
      </c>
      <c r="CM18" s="332">
        <f t="shared" ca="1" si="47"/>
        <v>0</v>
      </c>
      <c r="CN18" s="332">
        <f t="shared" ca="1" si="48"/>
        <v>0</v>
      </c>
      <c r="CO18" s="332">
        <f t="shared" ca="1" si="49"/>
        <v>0</v>
      </c>
      <c r="CP18" s="333">
        <f t="shared" ca="1" si="50"/>
        <v>20.054092863010915</v>
      </c>
      <c r="CR18" s="334"/>
      <c r="CS18" s="335"/>
      <c r="CT18" s="335"/>
      <c r="CU18" s="336" t="s">
        <v>133</v>
      </c>
      <c r="CV18" s="337">
        <f ca="1">AE72</f>
        <v>-2.771243444540907E-4</v>
      </c>
      <c r="CW18" s="338"/>
      <c r="CX18" s="369">
        <f ca="1">BI16</f>
        <v>0</v>
      </c>
      <c r="CY18" s="370">
        <f ca="1">BJ16</f>
        <v>0</v>
      </c>
      <c r="CZ18" s="371">
        <f ca="1">BL16</f>
        <v>3636694.5948847961</v>
      </c>
      <c r="DA18" s="338"/>
      <c r="DB18" s="342">
        <f ca="1"/>
        <v>-1007.8166055871841</v>
      </c>
      <c r="DC18" s="338"/>
      <c r="DD18" s="343">
        <f ca="1">-AE75*AE18/F69</f>
        <v>-6.0097879375431871E-3</v>
      </c>
      <c r="DE18" s="344">
        <f ca="1">-AE75*AF18/F69</f>
        <v>-6.868329071477928E-3</v>
      </c>
      <c r="DF18" s="344">
        <f ca="1">-AE76*AE18/F70</f>
        <v>-9.3035303414355536E-4</v>
      </c>
      <c r="DG18" s="344">
        <f ca="1">-AE76*AF18/F70</f>
        <v>-1.0632606104497774E-3</v>
      </c>
      <c r="DH18" s="344">
        <f ca="1">-AE77*AE18/F69</f>
        <v>7.2463540768238112E-3</v>
      </c>
      <c r="DI18" s="345">
        <f ca="1">-AE77*AF18/F69</f>
        <v>8.2815475163700702E-3</v>
      </c>
      <c r="DJ18" s="338"/>
      <c r="DK18" s="338"/>
      <c r="DL18" s="338"/>
      <c r="DM18" s="346" t="s">
        <v>133</v>
      </c>
      <c r="DN18" s="347">
        <f ca="1">INDEX(DI16:DI115,MATCH(DJ16,A16:A50,0))</f>
        <v>1.0351934395462588E-2</v>
      </c>
      <c r="DO18" s="338"/>
      <c r="DP18" s="338"/>
      <c r="DQ18" s="346" t="s">
        <v>134</v>
      </c>
      <c r="DR18" s="347">
        <f ca="1">INDEX(DH16:DH115,MATCH(DJ16,A16:A50,0))</f>
        <v>9.3167409559163309E-3</v>
      </c>
      <c r="DS18" s="348"/>
      <c r="DT18" s="369">
        <f t="shared" ca="1" si="70"/>
        <v>0</v>
      </c>
      <c r="DU18" s="370">
        <f t="shared" ca="1" si="51"/>
        <v>0</v>
      </c>
      <c r="DV18" s="371">
        <f t="shared" ca="1" si="51"/>
        <v>3636694.5948847961</v>
      </c>
      <c r="DW18" s="338"/>
      <c r="DX18" s="349">
        <f ca="1"/>
        <v>37646.823862580801</v>
      </c>
      <c r="DY18" s="349"/>
      <c r="DZ18" s="349">
        <f ca="1"/>
        <v>33882.141476322729</v>
      </c>
      <c r="EB18" s="350">
        <f t="shared" ca="1" si="52"/>
        <v>3546.9813186371889</v>
      </c>
      <c r="EC18" s="351">
        <f t="shared" ca="1" si="53"/>
        <v>523.53150187562358</v>
      </c>
      <c r="ED18" s="352">
        <f t="shared" ca="1" si="54"/>
        <v>-155.18705741647139</v>
      </c>
      <c r="EE18" s="350">
        <f t="shared" ca="1" si="55"/>
        <v>-53573.121578995771</v>
      </c>
      <c r="EF18" s="351">
        <f t="shared" ca="1" si="56"/>
        <v>-46876.481381621306</v>
      </c>
      <c r="EG18" s="351">
        <f t="shared" ca="1" si="57"/>
        <v>-11350.599388681221</v>
      </c>
      <c r="EH18" s="351">
        <f t="shared" ca="1" si="58"/>
        <v>-9931.7744650960685</v>
      </c>
      <c r="EI18" s="351">
        <f t="shared" ca="1" si="59"/>
        <v>4637.5896439263088</v>
      </c>
      <c r="EJ18" s="352">
        <f t="shared" ca="1" si="60"/>
        <v>4057.8909384355197</v>
      </c>
      <c r="EK18" s="350">
        <f t="shared" ca="1" si="71"/>
        <v>-50026.140260358581</v>
      </c>
      <c r="EL18" s="351">
        <f t="shared" ca="1" si="72"/>
        <v>-43329.500062984116</v>
      </c>
      <c r="EM18" s="351">
        <f t="shared" ca="1" si="73"/>
        <v>-10827.067886805598</v>
      </c>
      <c r="EN18" s="351">
        <f t="shared" ca="1" si="74"/>
        <v>-9408.2429632204457</v>
      </c>
      <c r="EO18" s="351">
        <f t="shared" ca="1" si="75"/>
        <v>4482.4025865098374</v>
      </c>
      <c r="EP18" s="352">
        <f t="shared" ca="1" si="76"/>
        <v>3902.7038810190484</v>
      </c>
      <c r="EQ18" s="323">
        <f t="shared" ca="1" si="77"/>
        <v>-50026.140260358581</v>
      </c>
      <c r="ER18" s="323">
        <f t="shared" ca="1" si="78"/>
        <v>-10827.067886805598</v>
      </c>
      <c r="ES18" s="323">
        <f t="shared" ca="1" si="79"/>
        <v>4482.4025865098374</v>
      </c>
      <c r="ET18" s="323">
        <f t="shared" ca="1" si="80"/>
        <v>86297.454109999991</v>
      </c>
      <c r="EU18" s="323">
        <f t="shared" ca="1" si="81"/>
        <v>52068.547941999997</v>
      </c>
      <c r="EV18" s="323">
        <f t="shared" ca="1" si="82"/>
        <v>70488.34066799999</v>
      </c>
      <c r="EW18" s="323">
        <f t="shared" ca="1" si="83"/>
        <v>48297.566753999999</v>
      </c>
      <c r="EX18" s="323">
        <f t="shared" ca="1" si="84"/>
        <v>11167.905825999998</v>
      </c>
      <c r="EY18" s="353">
        <f t="shared" ca="1" si="85"/>
        <v>2.2254946258207747E-10</v>
      </c>
      <c r="EZ18" s="353">
        <f t="shared" ca="1" si="86"/>
        <v>2.9373619270409085E-10</v>
      </c>
      <c r="FA18" s="321">
        <f t="shared" ca="1" si="87"/>
        <v>8.0178239087273853E-9</v>
      </c>
      <c r="FB18" s="354">
        <f t="shared" ca="1" si="88"/>
        <v>-1.1127473129103873E-10</v>
      </c>
      <c r="FC18" s="321">
        <f t="shared" ca="1" si="89"/>
        <v>-7.6176246724607548E-6</v>
      </c>
      <c r="FD18" s="321">
        <f t="shared" ca="1" si="90"/>
        <v>-6.5182334426556133E-6</v>
      </c>
      <c r="FE18" s="355">
        <f t="shared" ca="1" si="91"/>
        <v>0.63194158791848953</v>
      </c>
      <c r="FF18" s="338">
        <f t="shared" ca="1" si="92"/>
        <v>0.45165371630096868</v>
      </c>
      <c r="FG18" s="335">
        <f t="shared" ca="1" si="93"/>
        <v>-1.2783860120010795E-10</v>
      </c>
      <c r="FH18" s="356">
        <f t="shared" ca="1" si="94"/>
        <v>0.61399839762956732</v>
      </c>
      <c r="FI18" s="335">
        <f t="shared" ca="1" si="95"/>
        <v>0.45165371630096868</v>
      </c>
      <c r="FJ18" s="357">
        <f t="shared" ca="1" si="61"/>
        <v>3.43671758300792E-2</v>
      </c>
      <c r="FK18" s="357">
        <f ca="1">1/SQRT(  EQ18^2/(IF(EQ18&lt;0,EU18,ET18))^2  +  ER18^2/(IF(ER18&lt;0,EW18,EV18))^2  +   ES18^2/EX18^2  -  EQ18*ER18/(IF(EQ18&lt;0,EU18,ET18)*IF(ER18&lt;0,EW18,EV18))  )-1</f>
        <v>4.3108118703523157E-2</v>
      </c>
      <c r="FL18" s="357">
        <f t="shared" ca="1" si="63"/>
        <v>-0.14393561934953203</v>
      </c>
      <c r="FM18" s="357">
        <f t="shared" ca="1" si="64"/>
        <v>-0.12351837458304504</v>
      </c>
      <c r="FN18" s="357">
        <f t="shared" ca="1" si="65"/>
        <v>4.0826809164405065E-2</v>
      </c>
      <c r="FO18" s="357">
        <f t="shared" ca="1" si="96"/>
        <v>3.4608168396965358</v>
      </c>
      <c r="FP18" s="357">
        <f t="shared" ca="1" si="97"/>
        <v>1.4914999513008356</v>
      </c>
      <c r="FR18" s="358"/>
      <c r="FS18" s="359">
        <f ca="1">FS17</f>
        <v>2268.0369963811145</v>
      </c>
      <c r="FT18" s="359">
        <f>INDEX(AE16:AE115,MATCH(GF16,A16:A115,0))</f>
        <v>7.7385826771653538E-2</v>
      </c>
      <c r="FU18" s="359">
        <f ca="1">FU17</f>
        <v>1802.4758241316983</v>
      </c>
      <c r="FV18" s="359">
        <f t="shared" si="98"/>
        <v>7.7385826771653538E-2</v>
      </c>
      <c r="FW18" s="359">
        <f ca="1">FW17</f>
        <v>-1007.8166055871841</v>
      </c>
      <c r="FX18" s="360">
        <f t="shared" si="99"/>
        <v>7.7385826771653538E-2</v>
      </c>
      <c r="FY18" s="358"/>
      <c r="FZ18" s="351">
        <f ca="1">INDEX(EF16:EF115,MATCH(GF16,A16:A115,0))</f>
        <v>-40176.725481151327</v>
      </c>
      <c r="GA18" s="359">
        <f>FT18</f>
        <v>7.7385826771653538E-2</v>
      </c>
      <c r="GB18" s="326">
        <f ca="1">INDEX(EH16:EH115,MATCH(GF16,A16:A115,0))</f>
        <v>-32862.460607485315</v>
      </c>
      <c r="GC18" s="362">
        <f t="shared" si="66"/>
        <v>7.7385826771653538E-2</v>
      </c>
      <c r="GD18" s="359">
        <f ca="1">INDEX(EJ16:EJ115,MATCH(GF16,A16:A115,0))</f>
        <v>33882.141476322729</v>
      </c>
      <c r="GE18" s="363">
        <f t="shared" si="100"/>
        <v>7.7385826771653538E-2</v>
      </c>
      <c r="GF18" s="364"/>
      <c r="GG18" s="365">
        <f ca="1">FS18+FZ18</f>
        <v>-37908.688484770209</v>
      </c>
      <c r="GH18" s="320">
        <f>FT18</f>
        <v>7.7385826771653538E-2</v>
      </c>
      <c r="GI18" s="365">
        <f ca="1">FU18+GB18</f>
        <v>-31059.984783353615</v>
      </c>
      <c r="GJ18" s="366">
        <f t="shared" si="67"/>
        <v>7.7385826771653538E-2</v>
      </c>
      <c r="GK18" s="365">
        <f ca="1">FW18+GD18</f>
        <v>32874.324870735545</v>
      </c>
      <c r="GL18" s="366">
        <f t="shared" si="68"/>
        <v>7.7385826771653538E-2</v>
      </c>
      <c r="GM18" s="358"/>
      <c r="GN18" s="359">
        <f t="shared" si="69"/>
        <v>7.7385826771653538E-2</v>
      </c>
      <c r="GO18" s="367">
        <f ca="1">GO17</f>
        <v>-0.70381945832433135</v>
      </c>
      <c r="GP18" s="367">
        <f t="shared" ref="GP18:GU18" ca="1" si="101">GP17</f>
        <v>-0.70326764939975339</v>
      </c>
      <c r="GQ18" s="367">
        <f t="shared" ca="1" si="101"/>
        <v>-1.24908333922005</v>
      </c>
      <c r="GR18" s="367">
        <f t="shared" ca="1" si="101"/>
        <v>-1.248423721014928</v>
      </c>
      <c r="GS18" s="367">
        <f t="shared" ca="1" si="101"/>
        <v>0.22882098705308929</v>
      </c>
      <c r="GT18" s="367">
        <f t="shared" ca="1" si="101"/>
        <v>0.39140482598433746</v>
      </c>
      <c r="GU18" s="367">
        <f t="shared" ca="1" si="101"/>
        <v>-0.6951908181445533</v>
      </c>
      <c r="HH18" s="321">
        <f ca="1">IF(D17="","",INDEX(INDIRECT(AE60),MATCH(HH15,Matl!B3:B29,0),MATCH(D17,Matl!D2:K2,0)))</f>
        <v>3000</v>
      </c>
      <c r="HI18" s="314">
        <f ca="1">IF(D17="","",INDEX(INDIRECT(AE60),MATCH(HI15,Matl!B3:B29,0),MATCH(D17,Matl!D2:K2,0)))</f>
        <v>4500</v>
      </c>
      <c r="HO18" s="338"/>
      <c r="HP18" s="338"/>
      <c r="HQ18" s="338"/>
      <c r="HR18" s="338"/>
      <c r="HS18" s="338"/>
      <c r="HT18" s="338"/>
      <c r="HU18" s="338"/>
      <c r="HV18" s="338"/>
      <c r="HW18" s="338"/>
      <c r="HX18" s="338"/>
      <c r="HY18" s="338"/>
      <c r="HZ18" s="338"/>
      <c r="IA18" s="338"/>
      <c r="IB18" s="338"/>
      <c r="IC18" s="338"/>
      <c r="ID18" s="338"/>
      <c r="IE18" s="338"/>
      <c r="IF18" s="338"/>
      <c r="IG18" s="338"/>
      <c r="IH18" s="338"/>
      <c r="II18" s="338"/>
      <c r="IJ18" s="338"/>
      <c r="IK18" s="338"/>
      <c r="IL18" s="338"/>
      <c r="IM18" s="338"/>
      <c r="IN18" s="338"/>
      <c r="IO18" s="338"/>
      <c r="IP18" s="338"/>
    </row>
    <row r="19" spans="1:250" s="314" customFormat="1" ht="12" x14ac:dyDescent="0.25">
      <c r="A19" s="310">
        <v>4</v>
      </c>
      <c r="B19" s="311">
        <v>45</v>
      </c>
      <c r="C19" s="311"/>
      <c r="D19" s="380" t="s">
        <v>109</v>
      </c>
      <c r="E19" s="380"/>
      <c r="F19" s="312">
        <f>IF(C19="",INDEX(Matl!$C$15:$K$15,MATCH(D19,Matl!$C$2:$K$2,0)),C19)</f>
        <v>8.5984251968503952E-3</v>
      </c>
      <c r="G19" s="313"/>
      <c r="H19" s="313"/>
      <c r="I19" s="313"/>
      <c r="J19" s="313"/>
      <c r="K19" s="313"/>
      <c r="M19" s="315"/>
      <c r="N19" s="315"/>
      <c r="O19" s="315"/>
      <c r="P19" s="316"/>
      <c r="Q19" s="316"/>
      <c r="R19" s="316"/>
      <c r="S19" s="316"/>
      <c r="T19" s="315"/>
      <c r="U19" s="317"/>
      <c r="V19" s="317"/>
      <c r="W19" s="317">
        <f t="shared" si="3"/>
        <v>8.5984251968503952E-3</v>
      </c>
      <c r="X19" s="317"/>
      <c r="Y19" s="317"/>
      <c r="Z19" s="318">
        <f t="shared" si="4"/>
        <v>0</v>
      </c>
      <c r="AA19" s="319">
        <f t="shared" si="5"/>
        <v>1</v>
      </c>
      <c r="AB19" s="314">
        <f t="shared" si="6"/>
        <v>0</v>
      </c>
      <c r="AC19" s="320">
        <f t="shared" si="7"/>
        <v>0.78539816339744828</v>
      </c>
      <c r="AD19" s="320">
        <f>IF(D19="",0,SUM(F15:F19))</f>
        <v>3.4393700787401581E-2</v>
      </c>
      <c r="AE19" s="320">
        <f>IF(D19="",0,SUM(F16:F50)/2-AD19)</f>
        <v>5.1590551181102347E-2</v>
      </c>
      <c r="AF19" s="320">
        <f t="shared" si="8"/>
        <v>6.0188976377952744E-2</v>
      </c>
      <c r="AG19" s="320">
        <f>IF(D19="",0,(AD19+AD18)/2-SUM(F16:F50)/2)</f>
        <v>-5.5889763779527549E-2</v>
      </c>
      <c r="AH19" s="321">
        <f ca="1">IF(D19="",0,INDEX(INDIRECT($AE$60),MATCH(AH$14,Matl!$B$3:$B$17,0),MATCH(D19,Matl!$D$2:$K$2,0)))</f>
        <v>7702519.151965999</v>
      </c>
      <c r="AI19" s="321">
        <f ca="1">IF(D19="",0,INDEX(INDIRECT($AE$60),MATCH(AI$14,Matl!$B$3:$B$17,0),MATCH(D19,Matl!$D$2:$K$2,0)))</f>
        <v>7702519.151965999</v>
      </c>
      <c r="AJ19" s="321">
        <f ca="1">IF(D19="",0,INDEX(INDIRECT(AE60),MATCH(AJ14,Matl!B3:B15,0),MATCH(D19,Matl!D2:K2,0)))</f>
        <v>5.8999999999999997E-2</v>
      </c>
      <c r="AK19" s="322">
        <f t="shared" ca="1" si="9"/>
        <v>5.8999999999999997E-2</v>
      </c>
      <c r="AL19" s="321">
        <f ca="1">IF(D19="",0,INDEX(INDIRECT(AE60),MATCH(AL14,Matl!B3:B15,0),MATCH(D19,Matl!D2:K2,0)))</f>
        <v>559990.70641799993</v>
      </c>
      <c r="AM19" s="323">
        <f ca="1">IF(D19="",0,INDEX(INDIRECT(AE60),MATCH(AM14,Matl!B3:B15,0),MATCH(D19,Matl!D2:K2,0)))</f>
        <v>86297.454109999991</v>
      </c>
      <c r="AN19" s="323">
        <f ca="1">IF(D19="",0,INDEX(INDIRECT(AE60),MATCH(AN14,Matl!B3:B15,0),MATCH(D19,Matl!D2:K2,0)))</f>
        <v>70488.34066799999</v>
      </c>
      <c r="AO19" s="323">
        <f ca="1">IF(D19="",0,INDEX(INDIRECT(AE60),MATCH(AO14,Matl!B3:B15,0),MATCH(D19,Matl!D2:K2,0)))</f>
        <v>52068.547941999997</v>
      </c>
      <c r="AP19" s="323">
        <f ca="1">IF(D19="",0,INDEX(INDIRECT(AE60),MATCH(AP14,Matl!B3:B15,0),MATCH(D19,Matl!D2:K2,0)))</f>
        <v>48297.566753999999</v>
      </c>
      <c r="AQ19" s="323">
        <f ca="1">IF(D19="",0,INDEX(INDIRECT(AE60),MATCH(AQ14,Matl!B3:B15,0),MATCH(D19,Matl!D2:K2,0)))</f>
        <v>11167.905825999998</v>
      </c>
      <c r="AR19" s="321"/>
      <c r="AS19" s="321"/>
      <c r="AT19" s="324">
        <f t="shared" ca="1" si="10"/>
        <v>7729425.2813704489</v>
      </c>
      <c r="AU19" s="325">
        <f t="shared" ca="1" si="11"/>
        <v>7729425.2813704489</v>
      </c>
      <c r="AV19" s="325">
        <f t="shared" ca="1" si="12"/>
        <v>456036.09160085651</v>
      </c>
      <c r="AW19" s="325">
        <f t="shared" ca="1" si="13"/>
        <v>456036.09160085651</v>
      </c>
      <c r="AX19" s="326">
        <v>0</v>
      </c>
      <c r="AY19" s="326">
        <v>0</v>
      </c>
      <c r="AZ19" s="326">
        <v>0</v>
      </c>
      <c r="BA19" s="326">
        <v>0</v>
      </c>
      <c r="BB19" s="327">
        <f t="shared" ca="1" si="14"/>
        <v>559990.70641799993</v>
      </c>
      <c r="BC19" s="328"/>
      <c r="BD19" s="324">
        <f t="shared" ca="1" si="15"/>
        <v>4652721.392903653</v>
      </c>
      <c r="BE19" s="325">
        <f t="shared" ca="1" si="16"/>
        <v>4652721.392903653</v>
      </c>
      <c r="BF19" s="325">
        <f t="shared" ca="1" si="17"/>
        <v>3532739.9800676531</v>
      </c>
      <c r="BG19" s="325">
        <f t="shared" ca="1" si="18"/>
        <v>3532739.9800676531</v>
      </c>
      <c r="BH19" s="325">
        <f t="shared" ca="1" si="19"/>
        <v>0</v>
      </c>
      <c r="BI19" s="325">
        <f t="shared" ca="1" si="20"/>
        <v>0</v>
      </c>
      <c r="BJ19" s="325">
        <f t="shared" ca="1" si="21"/>
        <v>0</v>
      </c>
      <c r="BK19" s="325">
        <f t="shared" ca="1" si="22"/>
        <v>0</v>
      </c>
      <c r="BL19" s="329">
        <f t="shared" ca="1" si="23"/>
        <v>3636694.5948847961</v>
      </c>
      <c r="BM19" s="330"/>
      <c r="BN19" s="324">
        <f t="shared" ca="1" si="24"/>
        <v>40006.076858667635</v>
      </c>
      <c r="BO19" s="325">
        <f t="shared" ca="1" si="25"/>
        <v>40006.076858667635</v>
      </c>
      <c r="BP19" s="325">
        <f t="shared" ca="1" si="26"/>
        <v>30376.000458534472</v>
      </c>
      <c r="BQ19" s="325">
        <f t="shared" ca="1" si="27"/>
        <v>30376.000458534472</v>
      </c>
      <c r="BR19" s="325">
        <f t="shared" ca="1" si="28"/>
        <v>0</v>
      </c>
      <c r="BS19" s="325">
        <f t="shared" ca="1" si="29"/>
        <v>0</v>
      </c>
      <c r="BT19" s="325">
        <f t="shared" ca="1" si="30"/>
        <v>0</v>
      </c>
      <c r="BU19" s="325">
        <f t="shared" ca="1" si="31"/>
        <v>0</v>
      </c>
      <c r="BV19" s="329">
        <f t="shared" ca="1" si="32"/>
        <v>31269.846437907072</v>
      </c>
      <c r="BW19" s="330"/>
      <c r="BX19" s="325">
        <f t="shared" ca="1" si="33"/>
        <v>-2235.9301853765578</v>
      </c>
      <c r="BY19" s="325">
        <f t="shared" ca="1" si="34"/>
        <v>-2235.9301853765578</v>
      </c>
      <c r="BZ19" s="325">
        <f t="shared" ca="1" si="35"/>
        <v>-1697.7074901943122</v>
      </c>
      <c r="CA19" s="325">
        <f t="shared" ca="1" si="36"/>
        <v>-1697.7074901943122</v>
      </c>
      <c r="CB19" s="325">
        <f t="shared" ca="1" si="37"/>
        <v>0</v>
      </c>
      <c r="CC19" s="325">
        <f t="shared" ca="1" si="38"/>
        <v>0</v>
      </c>
      <c r="CD19" s="325">
        <f t="shared" ca="1" si="39"/>
        <v>0</v>
      </c>
      <c r="CE19" s="325">
        <f t="shared" ca="1" si="40"/>
        <v>0</v>
      </c>
      <c r="CF19" s="325">
        <f t="shared" ca="1" si="41"/>
        <v>-1747.6643308367272</v>
      </c>
      <c r="CG19" s="330"/>
      <c r="CH19" s="331">
        <f t="shared" ca="1" si="42"/>
        <v>125.21209038108721</v>
      </c>
      <c r="CI19" s="332">
        <f t="shared" ca="1" si="43"/>
        <v>125.21209038108721</v>
      </c>
      <c r="CJ19" s="332">
        <f t="shared" ca="1" si="44"/>
        <v>95.071619450881457</v>
      </c>
      <c r="CK19" s="332">
        <f t="shared" ca="1" si="45"/>
        <v>95.071619450881457</v>
      </c>
      <c r="CL19" s="332">
        <f t="shared" ca="1" si="46"/>
        <v>0</v>
      </c>
      <c r="CM19" s="332">
        <f t="shared" ca="1" si="47"/>
        <v>0</v>
      </c>
      <c r="CN19" s="332">
        <f t="shared" ca="1" si="48"/>
        <v>0</v>
      </c>
      <c r="CO19" s="332">
        <f t="shared" ca="1" si="49"/>
        <v>0</v>
      </c>
      <c r="CP19" s="333">
        <f t="shared" ca="1" si="50"/>
        <v>97.869202526856697</v>
      </c>
      <c r="CR19" s="334">
        <f>CR16+1</f>
        <v>2</v>
      </c>
      <c r="CS19" s="335"/>
      <c r="CT19" s="335"/>
      <c r="CU19" s="336" t="s">
        <v>129</v>
      </c>
      <c r="CV19" s="337">
        <f ca="1">AE70</f>
        <v>4.5648610417658959E-4</v>
      </c>
      <c r="CW19" s="338"/>
      <c r="CX19" s="339">
        <f ca="1">BD17</f>
        <v>7729425.2813704489</v>
      </c>
      <c r="CY19" s="340">
        <f ca="1">BF17</f>
        <v>456036.09160085651</v>
      </c>
      <c r="CZ19" s="341">
        <f ca="1">BH17</f>
        <v>0</v>
      </c>
      <c r="DA19" s="338"/>
      <c r="DB19" s="342">
        <f t="array" aca="1" ref="DB19:DB21" ca="1">MMULT(CX19:CZ21,CV19:CV21)</f>
        <v>3546.9813186371889</v>
      </c>
      <c r="DC19" s="338"/>
      <c r="DD19" s="343">
        <f ca="1">-AE75*AE19/F69</f>
        <v>-5.1512468036084454E-3</v>
      </c>
      <c r="DE19" s="344">
        <f ca="1">-AE75*AF19/F69</f>
        <v>-6.0097879375431871E-3</v>
      </c>
      <c r="DF19" s="344">
        <f ca="1">-AE76*AE19/F70</f>
        <v>-7.9744545783733307E-4</v>
      </c>
      <c r="DG19" s="344">
        <f ca="1">-AE76*AF19/F70</f>
        <v>-9.3035303414355536E-4</v>
      </c>
      <c r="DH19" s="344">
        <f ca="1">-AE77*AE19/F69</f>
        <v>6.2111606372775522E-3</v>
      </c>
      <c r="DI19" s="345">
        <f ca="1">-AE77*AF19/F69</f>
        <v>7.2463540768238112E-3</v>
      </c>
      <c r="DJ19" s="338">
        <f>DJ16+1</f>
        <v>2</v>
      </c>
      <c r="DK19" s="338"/>
      <c r="DL19" s="338"/>
      <c r="DM19" s="346" t="s">
        <v>129</v>
      </c>
      <c r="DN19" s="347">
        <f ca="1">INDEX(DE16:DE115,MATCH(DJ19,A16:A50,0))</f>
        <v>-7.7268702054126689E-3</v>
      </c>
      <c r="DO19" s="338"/>
      <c r="DP19" s="338"/>
      <c r="DQ19" s="346" t="s">
        <v>130</v>
      </c>
      <c r="DR19" s="347">
        <f ca="1">INDEX(DD16:DD115,MATCH(DJ19,A16:A50,0))</f>
        <v>-6.868329071477928E-3</v>
      </c>
      <c r="DS19" s="348"/>
      <c r="DT19" s="339">
        <f ca="1">CX19</f>
        <v>7729425.2813704489</v>
      </c>
      <c r="DU19" s="340">
        <f t="shared" ref="DU19:DU82" ca="1" si="102">CY19</f>
        <v>456036.09160085651</v>
      </c>
      <c r="DV19" s="341">
        <f t="shared" ref="DV19:DV82" ca="1" si="103">CZ19</f>
        <v>0</v>
      </c>
      <c r="DW19" s="338"/>
      <c r="DX19" s="349">
        <f t="array" aca="1" ref="DX19:DX21" ca="1">MMULT(DT19:DV21,DN19:DN21)</f>
        <v>-60269.761776370244</v>
      </c>
      <c r="DY19" s="349"/>
      <c r="DZ19" s="349">
        <f t="array" aca="1" ref="DZ19:DZ21" ca="1">MMULT(DT19:DV21,DR19:DR21)</f>
        <v>-53573.121578995771</v>
      </c>
      <c r="EB19" s="350">
        <f t="shared" ca="1" si="52"/>
        <v>2268.0369963811145</v>
      </c>
      <c r="EC19" s="351">
        <f t="shared" ca="1" si="53"/>
        <v>1802.4758241316983</v>
      </c>
      <c r="ED19" s="352">
        <f t="shared" ca="1" si="54"/>
        <v>-1007.8166055871841</v>
      </c>
      <c r="EE19" s="350">
        <f t="shared" ca="1" si="55"/>
        <v>-31248.564263117692</v>
      </c>
      <c r="EF19" s="351">
        <f t="shared" ca="1" si="56"/>
        <v>-26784.483654100877</v>
      </c>
      <c r="EG19" s="351">
        <f t="shared" ca="1" si="57"/>
        <v>-25559.691583599684</v>
      </c>
      <c r="EH19" s="351">
        <f t="shared" ca="1" si="58"/>
        <v>-21908.307071656869</v>
      </c>
      <c r="EI19" s="351">
        <f t="shared" ca="1" si="59"/>
        <v>26352.776703806561</v>
      </c>
      <c r="EJ19" s="352">
        <f t="shared" ca="1" si="60"/>
        <v>22588.094317548479</v>
      </c>
      <c r="EK19" s="350">
        <f t="shared" ca="1" si="71"/>
        <v>-28980.527266736579</v>
      </c>
      <c r="EL19" s="351">
        <f t="shared" ca="1" si="72"/>
        <v>-24516.446657719764</v>
      </c>
      <c r="EM19" s="351">
        <f t="shared" ca="1" si="73"/>
        <v>-23757.215759467985</v>
      </c>
      <c r="EN19" s="351">
        <f t="shared" ca="1" si="74"/>
        <v>-20105.83124752517</v>
      </c>
      <c r="EO19" s="351">
        <f t="shared" ca="1" si="75"/>
        <v>25344.960098219377</v>
      </c>
      <c r="EP19" s="352">
        <f t="shared" ca="1" si="76"/>
        <v>21580.277711961295</v>
      </c>
      <c r="EQ19" s="323">
        <f t="shared" ca="1" si="77"/>
        <v>-28980.527266736579</v>
      </c>
      <c r="ER19" s="323">
        <f t="shared" ca="1" si="78"/>
        <v>-23757.215759467985</v>
      </c>
      <c r="ES19" s="323">
        <f t="shared" ca="1" si="79"/>
        <v>25344.960098219377</v>
      </c>
      <c r="ET19" s="323">
        <f t="shared" ca="1" si="80"/>
        <v>86297.454109999991</v>
      </c>
      <c r="EU19" s="323">
        <f t="shared" ca="1" si="81"/>
        <v>52068.547941999997</v>
      </c>
      <c r="EV19" s="323">
        <f t="shared" ca="1" si="82"/>
        <v>70488.34066799999</v>
      </c>
      <c r="EW19" s="323">
        <f t="shared" ca="1" si="83"/>
        <v>48297.566753999999</v>
      </c>
      <c r="EX19" s="323">
        <f t="shared" ca="1" si="84"/>
        <v>11167.905825999998</v>
      </c>
      <c r="EY19" s="353">
        <f t="shared" ca="1" si="85"/>
        <v>2.2254946258207747E-10</v>
      </c>
      <c r="EZ19" s="353">
        <f t="shared" ca="1" si="86"/>
        <v>2.9373619270409085E-10</v>
      </c>
      <c r="FA19" s="321">
        <f t="shared" ca="1" si="87"/>
        <v>8.0178239087273853E-9</v>
      </c>
      <c r="FB19" s="354">
        <f t="shared" ca="1" si="88"/>
        <v>-1.1127473129103873E-10</v>
      </c>
      <c r="FC19" s="321">
        <f t="shared" ca="1" si="89"/>
        <v>-7.6176246724607548E-6</v>
      </c>
      <c r="FD19" s="321">
        <f t="shared" ca="1" si="90"/>
        <v>-6.5182334426556133E-6</v>
      </c>
      <c r="FE19" s="355">
        <f t="shared" ca="1" si="91"/>
        <v>5.3498600479268283</v>
      </c>
      <c r="FF19" s="338">
        <f t="shared" ca="1" si="92"/>
        <v>0.3756178577957634</v>
      </c>
      <c r="FG19" s="335">
        <f t="shared" ca="1" si="93"/>
        <v>-1.2783860120010795E-10</v>
      </c>
      <c r="FH19" s="356">
        <f t="shared" ca="1" si="94"/>
        <v>5.3270517104010935</v>
      </c>
      <c r="FI19" s="335">
        <f t="shared" ca="1" si="95"/>
        <v>0.3756178577957634</v>
      </c>
      <c r="FJ19" s="357">
        <f t="shared" ca="1" si="61"/>
        <v>-0.57157544998894472</v>
      </c>
      <c r="FK19" s="357">
        <f t="shared" ca="1" si="62"/>
        <v>-0.57079371335286244</v>
      </c>
      <c r="FL19" s="357">
        <f t="shared" ca="1" si="63"/>
        <v>-0.94185160041784055</v>
      </c>
      <c r="FM19" s="357">
        <f t="shared" ca="1" si="64"/>
        <v>-0.94091788886010996</v>
      </c>
      <c r="FN19" s="357">
        <f t="shared" ca="1" si="65"/>
        <v>0.79667358922635989</v>
      </c>
      <c r="FO19" s="357">
        <f t="shared" ca="1" si="96"/>
        <v>1.0329640999599006</v>
      </c>
      <c r="FP19" s="357">
        <f t="shared" ca="1" si="97"/>
        <v>-0.55936384264481021</v>
      </c>
      <c r="FR19" s="358"/>
      <c r="FS19" s="326">
        <v>0</v>
      </c>
      <c r="FT19" s="359">
        <f>FT18</f>
        <v>7.7385826771653538E-2</v>
      </c>
      <c r="FU19" s="326">
        <v>0</v>
      </c>
      <c r="FV19" s="359">
        <f t="shared" si="98"/>
        <v>7.7385826771653538E-2</v>
      </c>
      <c r="FW19" s="359">
        <v>0</v>
      </c>
      <c r="FX19" s="360">
        <f t="shared" si="99"/>
        <v>7.7385826771653538E-2</v>
      </c>
      <c r="FY19" s="358"/>
      <c r="FZ19" s="326">
        <v>0</v>
      </c>
      <c r="GA19" s="359">
        <f>GA18</f>
        <v>7.7385826771653538E-2</v>
      </c>
      <c r="GB19" s="326">
        <v>0</v>
      </c>
      <c r="GC19" s="362">
        <f t="shared" si="66"/>
        <v>7.7385826771653538E-2</v>
      </c>
      <c r="GD19" s="326">
        <v>0</v>
      </c>
      <c r="GE19" s="363">
        <f t="shared" si="100"/>
        <v>7.7385826771653538E-2</v>
      </c>
      <c r="GF19" s="364"/>
      <c r="GG19" s="365">
        <v>0</v>
      </c>
      <c r="GH19" s="320">
        <f>GH18</f>
        <v>7.7385826771653538E-2</v>
      </c>
      <c r="GI19" s="366">
        <v>0</v>
      </c>
      <c r="GJ19" s="366">
        <f t="shared" si="67"/>
        <v>7.7385826771653538E-2</v>
      </c>
      <c r="GK19" s="366">
        <v>0</v>
      </c>
      <c r="GL19" s="366">
        <f t="shared" si="68"/>
        <v>7.7385826771653538E-2</v>
      </c>
      <c r="GM19" s="358"/>
      <c r="GN19" s="359">
        <f t="shared" si="69"/>
        <v>7.7385826771653538E-2</v>
      </c>
      <c r="GO19" s="367"/>
      <c r="GP19" s="367"/>
      <c r="GQ19" s="367"/>
      <c r="GR19" s="367"/>
      <c r="GS19" s="367"/>
      <c r="GT19" s="367"/>
      <c r="GU19" s="367"/>
      <c r="HH19" s="321">
        <f ca="1">IF(D18="","",INDEX(INDIRECT(AE60),MATCH(HH15,Matl!B3:B29,0),MATCH(D18,Matl!D2:K2,0)))</f>
        <v>3000</v>
      </c>
      <c r="HI19" s="314">
        <f ca="1">IF(D18="","",INDEX(INDIRECT(AE60),MATCH(HI15,Matl!B3:B29,0),MATCH(D18,Matl!D2:K2,0)))</f>
        <v>4500</v>
      </c>
      <c r="HO19" s="338"/>
      <c r="HP19" s="338"/>
      <c r="HQ19" s="338"/>
      <c r="HR19" s="338"/>
      <c r="HS19" s="338"/>
      <c r="HT19" s="338"/>
      <c r="HU19" s="338"/>
      <c r="HV19" s="338"/>
      <c r="HW19" s="338"/>
      <c r="HX19" s="338"/>
      <c r="HY19" s="338"/>
      <c r="HZ19" s="338"/>
      <c r="IA19" s="338"/>
      <c r="IB19" s="338"/>
      <c r="IC19" s="338"/>
      <c r="ID19" s="338"/>
      <c r="IE19" s="338"/>
      <c r="IF19" s="338"/>
      <c r="IG19" s="338"/>
      <c r="IH19" s="338"/>
      <c r="II19" s="338"/>
      <c r="IJ19" s="338"/>
      <c r="IK19" s="338"/>
      <c r="IL19" s="338"/>
      <c r="IM19" s="338"/>
      <c r="IN19" s="338"/>
      <c r="IO19" s="338"/>
      <c r="IP19" s="338"/>
    </row>
    <row r="20" spans="1:250" s="314" customFormat="1" ht="12" x14ac:dyDescent="0.25">
      <c r="A20" s="310">
        <v>5</v>
      </c>
      <c r="B20" s="311">
        <v>0</v>
      </c>
      <c r="C20" s="311"/>
      <c r="D20" s="380" t="s">
        <v>109</v>
      </c>
      <c r="E20" s="380"/>
      <c r="F20" s="312">
        <f>IF(C20="",INDEX(Matl!$C$15:$K$15,MATCH(D20,Matl!$C$2:$K$2,0)),C20)</f>
        <v>8.5984251968503952E-3</v>
      </c>
      <c r="G20" s="313"/>
      <c r="H20" s="313"/>
      <c r="I20" s="313"/>
      <c r="J20" s="313"/>
      <c r="K20" s="313"/>
      <c r="M20" s="315"/>
      <c r="N20" s="315"/>
      <c r="O20" s="315"/>
      <c r="P20" s="316"/>
      <c r="Q20" s="316"/>
      <c r="R20" s="316"/>
      <c r="S20" s="316"/>
      <c r="T20" s="315"/>
      <c r="U20" s="317"/>
      <c r="V20" s="317"/>
      <c r="W20" s="317">
        <f t="shared" si="3"/>
        <v>0</v>
      </c>
      <c r="X20" s="317"/>
      <c r="Y20" s="317"/>
      <c r="Z20" s="318">
        <f t="shared" si="4"/>
        <v>1</v>
      </c>
      <c r="AA20" s="319">
        <f t="shared" si="5"/>
        <v>1</v>
      </c>
      <c r="AB20" s="314">
        <f t="shared" si="6"/>
        <v>8.5984251968503952E-3</v>
      </c>
      <c r="AC20" s="320">
        <f t="shared" si="7"/>
        <v>0</v>
      </c>
      <c r="AD20" s="320">
        <f>IF(D20="",0,SUM(F15:F20))</f>
        <v>4.2992125984251978E-2</v>
      </c>
      <c r="AE20" s="320">
        <f>IF(D20="",0,SUM(F16:F50)/2-AD20)</f>
        <v>4.299212598425195E-2</v>
      </c>
      <c r="AF20" s="320">
        <f t="shared" si="8"/>
        <v>5.1590551181102347E-2</v>
      </c>
      <c r="AG20" s="320">
        <f>IF(D20="",0,(AD20+AD19)/2-SUM(F16:F50)/2)</f>
        <v>-4.7291338582677145E-2</v>
      </c>
      <c r="AH20" s="321">
        <f ca="1">IF(D20="",0,INDEX(INDIRECT($AE$60),MATCH(AH$14,Matl!$B$3:$B$17,0),MATCH(D20,Matl!$D$2:$K$2,0)))</f>
        <v>7702519.151965999</v>
      </c>
      <c r="AI20" s="321">
        <f ca="1">IF(D20="",0,INDEX(INDIRECT($AE$60),MATCH(AI$14,Matl!$B$3:$B$17,0),MATCH(D20,Matl!$D$2:$K$2,0)))</f>
        <v>7702519.151965999</v>
      </c>
      <c r="AJ20" s="321">
        <f ca="1">IF(D20="",0,INDEX(INDIRECT(AE60),MATCH(AJ14,Matl!B3:B15,0),MATCH(D20,Matl!D2:K2,0)))</f>
        <v>5.8999999999999997E-2</v>
      </c>
      <c r="AK20" s="322">
        <f t="shared" ca="1" si="9"/>
        <v>5.8999999999999997E-2</v>
      </c>
      <c r="AL20" s="321">
        <f ca="1">IF(D20="",0,INDEX(INDIRECT(AE60),MATCH(AL14,Matl!B3:B15,0),MATCH(D20,Matl!D2:K2,0)))</f>
        <v>559990.70641799993</v>
      </c>
      <c r="AM20" s="323">
        <f ca="1">IF(D20="",0,INDEX(INDIRECT(AE60),MATCH(AM14,Matl!B3:B15,0),MATCH(D20,Matl!D2:K2,0)))</f>
        <v>86297.454109999991</v>
      </c>
      <c r="AN20" s="323">
        <f ca="1">IF(D20="",0,INDEX(INDIRECT(AE60),MATCH(AN14,Matl!B3:B15,0),MATCH(D20,Matl!D2:K2,0)))</f>
        <v>70488.34066799999</v>
      </c>
      <c r="AO20" s="323">
        <f ca="1">IF(D20="",0,INDEX(INDIRECT(AE60),MATCH(AO14,Matl!B3:B15,0),MATCH(D20,Matl!D2:K2,0)))</f>
        <v>52068.547941999997</v>
      </c>
      <c r="AP20" s="323">
        <f ca="1">IF(D20="",0,INDEX(INDIRECT(AE60),MATCH(AP14,Matl!B3:B15,0),MATCH(D20,Matl!D2:K2,0)))</f>
        <v>48297.566753999999</v>
      </c>
      <c r="AQ20" s="323">
        <f ca="1">IF(D20="",0,INDEX(INDIRECT(AE60),MATCH(AQ14,Matl!B3:B15,0),MATCH(D20,Matl!D2:K2,0)))</f>
        <v>11167.905825999998</v>
      </c>
      <c r="AR20" s="321"/>
      <c r="AS20" s="321"/>
      <c r="AT20" s="324">
        <f t="shared" ca="1" si="10"/>
        <v>7729425.2813704489</v>
      </c>
      <c r="AU20" s="325">
        <f t="shared" ca="1" si="11"/>
        <v>7729425.2813704489</v>
      </c>
      <c r="AV20" s="325">
        <f t="shared" ca="1" si="12"/>
        <v>456036.09160085651</v>
      </c>
      <c r="AW20" s="325">
        <f t="shared" ca="1" si="13"/>
        <v>456036.09160085651</v>
      </c>
      <c r="AX20" s="326">
        <v>0</v>
      </c>
      <c r="AY20" s="326">
        <v>0</v>
      </c>
      <c r="AZ20" s="326">
        <v>0</v>
      </c>
      <c r="BA20" s="326">
        <v>0</v>
      </c>
      <c r="BB20" s="327">
        <f t="shared" ca="1" si="14"/>
        <v>559990.70641799993</v>
      </c>
      <c r="BC20" s="328"/>
      <c r="BD20" s="324">
        <f t="shared" ca="1" si="15"/>
        <v>7729425.2813704489</v>
      </c>
      <c r="BE20" s="325">
        <f t="shared" ca="1" si="16"/>
        <v>7729425.2813704489</v>
      </c>
      <c r="BF20" s="325">
        <f t="shared" ca="1" si="17"/>
        <v>456036.09160085651</v>
      </c>
      <c r="BG20" s="325">
        <f t="shared" ca="1" si="18"/>
        <v>456036.09160085651</v>
      </c>
      <c r="BH20" s="325">
        <f t="shared" ca="1" si="19"/>
        <v>0</v>
      </c>
      <c r="BI20" s="325">
        <f t="shared" ca="1" si="20"/>
        <v>0</v>
      </c>
      <c r="BJ20" s="325">
        <f t="shared" ca="1" si="21"/>
        <v>0</v>
      </c>
      <c r="BK20" s="325">
        <f t="shared" ca="1" si="22"/>
        <v>0</v>
      </c>
      <c r="BL20" s="329">
        <f t="shared" ca="1" si="23"/>
        <v>559990.70641799993</v>
      </c>
      <c r="BM20" s="330"/>
      <c r="BN20" s="324">
        <f t="shared" ca="1" si="24"/>
        <v>66460.885096508122</v>
      </c>
      <c r="BO20" s="325">
        <f t="shared" ca="1" si="25"/>
        <v>66460.885096508122</v>
      </c>
      <c r="BP20" s="325">
        <f t="shared" ca="1" si="26"/>
        <v>3921.1922206939794</v>
      </c>
      <c r="BQ20" s="325">
        <f t="shared" ca="1" si="27"/>
        <v>3921.1922206939794</v>
      </c>
      <c r="BR20" s="325">
        <f t="shared" ca="1" si="28"/>
        <v>0</v>
      </c>
      <c r="BS20" s="325">
        <f t="shared" ca="1" si="29"/>
        <v>0</v>
      </c>
      <c r="BT20" s="325">
        <f t="shared" ca="1" si="30"/>
        <v>0</v>
      </c>
      <c r="BU20" s="325">
        <f t="shared" ca="1" si="31"/>
        <v>0</v>
      </c>
      <c r="BV20" s="329">
        <f t="shared" ca="1" si="32"/>
        <v>4815.0382000665832</v>
      </c>
      <c r="BW20" s="330"/>
      <c r="BX20" s="325">
        <f t="shared" ca="1" si="33"/>
        <v>-3143.0242196033669</v>
      </c>
      <c r="BY20" s="325">
        <f t="shared" ca="1" si="34"/>
        <v>-3143.0242196033669</v>
      </c>
      <c r="BZ20" s="325">
        <f t="shared" ca="1" si="35"/>
        <v>-185.43842895659867</v>
      </c>
      <c r="CA20" s="325">
        <f t="shared" ca="1" si="36"/>
        <v>-185.43842895659867</v>
      </c>
      <c r="CB20" s="325">
        <f t="shared" ca="1" si="37"/>
        <v>0</v>
      </c>
      <c r="CC20" s="325">
        <f t="shared" ca="1" si="38"/>
        <v>0</v>
      </c>
      <c r="CD20" s="325">
        <f t="shared" ca="1" si="39"/>
        <v>0</v>
      </c>
      <c r="CE20" s="325">
        <f t="shared" ca="1" si="40"/>
        <v>0</v>
      </c>
      <c r="CF20" s="325">
        <f t="shared" ca="1" si="41"/>
        <v>-227.7096018078731</v>
      </c>
      <c r="CG20" s="330"/>
      <c r="CH20" s="331">
        <f t="shared" ca="1" si="42"/>
        <v>149.04729312833484</v>
      </c>
      <c r="CI20" s="332">
        <f t="shared" ca="1" si="43"/>
        <v>149.04729312833484</v>
      </c>
      <c r="CJ20" s="332">
        <f t="shared" ca="1" si="44"/>
        <v>8.7937902945717568</v>
      </c>
      <c r="CK20" s="332">
        <f t="shared" ca="1" si="45"/>
        <v>8.7937902945717568</v>
      </c>
      <c r="CL20" s="332">
        <f t="shared" ca="1" si="46"/>
        <v>0</v>
      </c>
      <c r="CM20" s="332">
        <f t="shared" ca="1" si="47"/>
        <v>0</v>
      </c>
      <c r="CN20" s="332">
        <f t="shared" ca="1" si="48"/>
        <v>0</v>
      </c>
      <c r="CO20" s="332">
        <f t="shared" ca="1" si="49"/>
        <v>0</v>
      </c>
      <c r="CP20" s="333">
        <f t="shared" ca="1" si="50"/>
        <v>10.798357695467411</v>
      </c>
      <c r="CR20" s="334"/>
      <c r="CS20" s="335"/>
      <c r="CT20" s="335"/>
      <c r="CU20" s="336" t="s">
        <v>131</v>
      </c>
      <c r="CV20" s="337">
        <f ca="1">AE71</f>
        <v>4.0799587495451728E-5</v>
      </c>
      <c r="CW20" s="338"/>
      <c r="CX20" s="324">
        <f ca="1">BG17</f>
        <v>456036.09160085651</v>
      </c>
      <c r="CY20" s="325">
        <f ca="1">BE17</f>
        <v>7729425.2813704489</v>
      </c>
      <c r="CZ20" s="329">
        <f ca="1">BK17</f>
        <v>0</v>
      </c>
      <c r="DA20" s="338"/>
      <c r="DB20" s="342">
        <f ca="1"/>
        <v>523.53150187562358</v>
      </c>
      <c r="DC20" s="338"/>
      <c r="DD20" s="343">
        <f ca="1">-AE75*AE20/F69</f>
        <v>-4.2927056696737045E-3</v>
      </c>
      <c r="DE20" s="344">
        <f ca="1">-AE75*AF20/F69</f>
        <v>-5.1512468036084454E-3</v>
      </c>
      <c r="DF20" s="344">
        <f ca="1">-AE76*AE20/F70</f>
        <v>-6.6453788153111079E-4</v>
      </c>
      <c r="DG20" s="344">
        <f ca="1">-AE76*AF20/F70</f>
        <v>-7.9744545783733307E-4</v>
      </c>
      <c r="DH20" s="344">
        <f ca="1">-AE77*AE20/F69</f>
        <v>5.1759671977312923E-3</v>
      </c>
      <c r="DI20" s="345">
        <f ca="1">-AE77*AF20/F69</f>
        <v>6.2111606372775522E-3</v>
      </c>
      <c r="DJ20" s="338"/>
      <c r="DK20" s="338"/>
      <c r="DL20" s="338"/>
      <c r="DM20" s="346" t="s">
        <v>131</v>
      </c>
      <c r="DN20" s="347">
        <f ca="1">INDEX(DG16:DG115,MATCH(DJ19,A16:A50,0))</f>
        <v>-1.1961681867559996E-3</v>
      </c>
      <c r="DO20" s="338"/>
      <c r="DP20" s="338"/>
      <c r="DQ20" s="346" t="s">
        <v>132</v>
      </c>
      <c r="DR20" s="347">
        <f ca="1">INDEX(DF16:DF115,MATCH(DJ19,A16:A50,0))</f>
        <v>-1.0632606104497774E-3</v>
      </c>
      <c r="DS20" s="348"/>
      <c r="DT20" s="324">
        <f t="shared" ref="DT20:DT21" ca="1" si="104">CX20</f>
        <v>456036.09160085651</v>
      </c>
      <c r="DU20" s="325">
        <f t="shared" ca="1" si="102"/>
        <v>7729425.2813704489</v>
      </c>
      <c r="DV20" s="329">
        <f t="shared" ca="1" si="103"/>
        <v>0</v>
      </c>
      <c r="DW20" s="338"/>
      <c r="DX20" s="349">
        <f ca="1"/>
        <v>-12769.424312266372</v>
      </c>
      <c r="DY20" s="349"/>
      <c r="DZ20" s="349">
        <f ca="1"/>
        <v>-11350.599388681221</v>
      </c>
      <c r="EB20" s="350">
        <f t="shared" ca="1" si="52"/>
        <v>3546.9813186371889</v>
      </c>
      <c r="EC20" s="351">
        <f t="shared" ca="1" si="53"/>
        <v>523.53150187562358</v>
      </c>
      <c r="ED20" s="352">
        <f t="shared" ca="1" si="54"/>
        <v>-155.18705741647139</v>
      </c>
      <c r="EE20" s="350">
        <f t="shared" ca="1" si="55"/>
        <v>-40179.841184246827</v>
      </c>
      <c r="EF20" s="351">
        <f t="shared" ca="1" si="56"/>
        <v>-33483.200986872354</v>
      </c>
      <c r="EG20" s="351">
        <f t="shared" ca="1" si="57"/>
        <v>-8512.9495415109141</v>
      </c>
      <c r="EH20" s="351">
        <f t="shared" ca="1" si="58"/>
        <v>-7094.1246179257614</v>
      </c>
      <c r="EI20" s="351">
        <f t="shared" ca="1" si="59"/>
        <v>3478.1922329447311</v>
      </c>
      <c r="EJ20" s="352">
        <f t="shared" ca="1" si="60"/>
        <v>2898.4935274539421</v>
      </c>
      <c r="EK20" s="350">
        <f t="shared" ca="1" si="71"/>
        <v>-36632.859865609636</v>
      </c>
      <c r="EL20" s="351">
        <f t="shared" ca="1" si="72"/>
        <v>-29936.219668235164</v>
      </c>
      <c r="EM20" s="351">
        <f t="shared" ca="1" si="73"/>
        <v>-7989.4180396352904</v>
      </c>
      <c r="EN20" s="351">
        <f t="shared" ca="1" si="74"/>
        <v>-6570.5931160501377</v>
      </c>
      <c r="EO20" s="351">
        <f t="shared" ca="1" si="75"/>
        <v>3323.0051755282598</v>
      </c>
      <c r="EP20" s="352">
        <f t="shared" ca="1" si="76"/>
        <v>2743.3064700374707</v>
      </c>
      <c r="EQ20" s="323">
        <f t="shared" ca="1" si="77"/>
        <v>-36632.859865609636</v>
      </c>
      <c r="ER20" s="323">
        <f t="shared" ca="1" si="78"/>
        <v>-7989.4180396352904</v>
      </c>
      <c r="ES20" s="323">
        <f t="shared" ca="1" si="79"/>
        <v>3323.0051755282598</v>
      </c>
      <c r="ET20" s="323">
        <f t="shared" ca="1" si="80"/>
        <v>86297.454109999991</v>
      </c>
      <c r="EU20" s="323">
        <f t="shared" ca="1" si="81"/>
        <v>52068.547941999997</v>
      </c>
      <c r="EV20" s="323">
        <f t="shared" ca="1" si="82"/>
        <v>70488.34066799999</v>
      </c>
      <c r="EW20" s="323">
        <f t="shared" ca="1" si="83"/>
        <v>48297.566753999999</v>
      </c>
      <c r="EX20" s="323">
        <f t="shared" ca="1" si="84"/>
        <v>11167.905825999998</v>
      </c>
      <c r="EY20" s="353">
        <f t="shared" ca="1" si="85"/>
        <v>2.2254946258207747E-10</v>
      </c>
      <c r="EZ20" s="353">
        <f t="shared" ca="1" si="86"/>
        <v>2.9373619270409085E-10</v>
      </c>
      <c r="FA20" s="321">
        <f t="shared" ca="1" si="87"/>
        <v>8.0178239087273853E-9</v>
      </c>
      <c r="FB20" s="354">
        <f t="shared" ca="1" si="88"/>
        <v>-1.1127473129103873E-10</v>
      </c>
      <c r="FC20" s="321">
        <f t="shared" ca="1" si="89"/>
        <v>-7.6176246724607548E-6</v>
      </c>
      <c r="FD20" s="321">
        <f t="shared" ca="1" si="90"/>
        <v>-6.5182334426556133E-6</v>
      </c>
      <c r="FE20" s="355">
        <f t="shared" ca="1" si="91"/>
        <v>0.34080433213241024</v>
      </c>
      <c r="FF20" s="338">
        <f t="shared" ca="1" si="92"/>
        <v>0.33113226898837211</v>
      </c>
      <c r="FG20" s="335">
        <f t="shared" ca="1" si="93"/>
        <v>-1.2783860120010795E-10</v>
      </c>
      <c r="FH20" s="356">
        <f t="shared" ca="1" si="94"/>
        <v>0.33110866321359755</v>
      </c>
      <c r="FI20" s="335">
        <f t="shared" ca="1" si="95"/>
        <v>0.33113226898837211</v>
      </c>
      <c r="FJ20" s="357">
        <f t="shared" ca="1" si="61"/>
        <v>0.41008782698486135</v>
      </c>
      <c r="FK20" s="357">
        <f t="shared" ca="1" si="62"/>
        <v>0.42205451288795293</v>
      </c>
      <c r="FL20" s="357">
        <f t="shared" ca="1" si="63"/>
        <v>0.44938628075589016</v>
      </c>
      <c r="FM20" s="357">
        <f t="shared" ca="1" si="64"/>
        <v>0.47723500675528152</v>
      </c>
      <c r="FN20" s="357">
        <f t="shared" ca="1" si="65"/>
        <v>0.42136180830591252</v>
      </c>
      <c r="FO20" s="357">
        <f t="shared" ca="1" si="96"/>
        <v>5.0451920921395095</v>
      </c>
      <c r="FP20" s="357">
        <f t="shared" ca="1" si="97"/>
        <v>2.3607849630341398</v>
      </c>
      <c r="FR20" s="358">
        <f>FR16+1</f>
        <v>2</v>
      </c>
      <c r="FS20" s="326">
        <v>0</v>
      </c>
      <c r="FT20" s="359">
        <f>INDEX(AF16:AF115,MATCH(GF20,A16:A115,0))</f>
        <v>7.7385826771653524E-2</v>
      </c>
      <c r="FU20" s="326">
        <v>0</v>
      </c>
      <c r="FV20" s="359">
        <f>FT20</f>
        <v>7.7385826771653524E-2</v>
      </c>
      <c r="FW20" s="359">
        <v>0</v>
      </c>
      <c r="FX20" s="360">
        <f>FV20</f>
        <v>7.7385826771653524E-2</v>
      </c>
      <c r="FY20" s="358">
        <f>FY16+1</f>
        <v>2</v>
      </c>
      <c r="FZ20" s="326">
        <v>0</v>
      </c>
      <c r="GA20" s="359">
        <f>FT20</f>
        <v>7.7385826771653524E-2</v>
      </c>
      <c r="GB20" s="361">
        <v>0</v>
      </c>
      <c r="GC20" s="362">
        <f t="shared" ref="GC20:GC39" si="105">GA20</f>
        <v>7.7385826771653524E-2</v>
      </c>
      <c r="GD20" s="326">
        <v>0</v>
      </c>
      <c r="GE20" s="363">
        <f>GC20</f>
        <v>7.7385826771653524E-2</v>
      </c>
      <c r="GF20" s="364">
        <f>GF16+1</f>
        <v>2</v>
      </c>
      <c r="GG20" s="365">
        <v>0</v>
      </c>
      <c r="GH20" s="320">
        <f>FT20</f>
        <v>7.7385826771653524E-2</v>
      </c>
      <c r="GI20" s="366">
        <v>0</v>
      </c>
      <c r="GJ20" s="366">
        <f t="shared" ref="GJ20:GJ39" si="106">GH20</f>
        <v>7.7385826771653524E-2</v>
      </c>
      <c r="GK20" s="366">
        <v>0</v>
      </c>
      <c r="GL20" s="366">
        <f t="shared" ref="GL20:GL39" si="107">GH20</f>
        <v>7.7385826771653524E-2</v>
      </c>
      <c r="GM20" s="372">
        <f>GM16+1</f>
        <v>2</v>
      </c>
      <c r="GN20" s="359">
        <f t="shared" si="69"/>
        <v>7.7385826771653524E-2</v>
      </c>
      <c r="GO20" s="367"/>
      <c r="GP20" s="367"/>
      <c r="GQ20" s="367"/>
      <c r="GR20" s="367"/>
      <c r="GS20" s="367"/>
      <c r="GT20" s="367"/>
      <c r="GU20" s="367"/>
      <c r="HH20" s="321">
        <f ca="1">IF(D19="","",INDEX(INDIRECT(AE60),MATCH(HH15,Matl!B3:B29,0),MATCH(D19,Matl!D2:K2,0)))</f>
        <v>3000</v>
      </c>
      <c r="HI20" s="314">
        <f ca="1">IF(D19="","",INDEX(INDIRECT(AE60),MATCH(HI15,Matl!B3:B29,0),MATCH(D19,Matl!D2:K2,0)))</f>
        <v>4500</v>
      </c>
      <c r="HO20" s="338"/>
      <c r="HP20" s="338"/>
      <c r="HQ20" s="338"/>
      <c r="HR20" s="338"/>
      <c r="HS20" s="338"/>
      <c r="HT20" s="338"/>
      <c r="HU20" s="338"/>
      <c r="HV20" s="338"/>
      <c r="HW20" s="338"/>
      <c r="HX20" s="338"/>
      <c r="HY20" s="338"/>
      <c r="HZ20" s="338"/>
      <c r="IA20" s="338">
        <f ca="1">HQ16</f>
        <v>-3000</v>
      </c>
      <c r="IB20" s="338"/>
      <c r="IC20" s="342">
        <f ca="1">B58</f>
        <v>0.32213930076889108</v>
      </c>
      <c r="ID20" s="338"/>
      <c r="IE20" s="338"/>
      <c r="IF20" s="338"/>
      <c r="IG20" s="338"/>
      <c r="IH20" s="338"/>
      <c r="II20" s="338"/>
      <c r="IJ20" s="338"/>
      <c r="IK20" s="338"/>
      <c r="IL20" s="338"/>
      <c r="IM20" s="338"/>
      <c r="IN20" s="338"/>
      <c r="IO20" s="338"/>
      <c r="IP20" s="338"/>
    </row>
    <row r="21" spans="1:250" s="314" customFormat="1" ht="12" x14ac:dyDescent="0.25">
      <c r="A21" s="310">
        <v>6</v>
      </c>
      <c r="B21" s="311">
        <v>0</v>
      </c>
      <c r="C21" s="311"/>
      <c r="D21" s="380" t="s">
        <v>109</v>
      </c>
      <c r="E21" s="380"/>
      <c r="F21" s="312">
        <f>IF(C21="",INDEX(Matl!$C$15:$K$15,MATCH(D21,Matl!$C$2:$K$2,0)),C21)</f>
        <v>8.5984251968503952E-3</v>
      </c>
      <c r="G21" s="313"/>
      <c r="H21" s="313"/>
      <c r="I21" s="313"/>
      <c r="J21" s="313"/>
      <c r="K21" s="313"/>
      <c r="M21" s="315"/>
      <c r="N21" s="315"/>
      <c r="O21" s="315"/>
      <c r="P21" s="316"/>
      <c r="Q21" s="316"/>
      <c r="R21" s="316"/>
      <c r="S21" s="316"/>
      <c r="T21" s="315"/>
      <c r="U21" s="317"/>
      <c r="V21" s="317"/>
      <c r="W21" s="317">
        <f t="shared" si="3"/>
        <v>0</v>
      </c>
      <c r="X21" s="317"/>
      <c r="Y21" s="317"/>
      <c r="Z21" s="318">
        <f t="shared" si="4"/>
        <v>1</v>
      </c>
      <c r="AA21" s="319">
        <f t="shared" si="5"/>
        <v>1</v>
      </c>
      <c r="AB21" s="314">
        <f t="shared" si="6"/>
        <v>8.5984251968503952E-3</v>
      </c>
      <c r="AC21" s="320">
        <f t="shared" si="7"/>
        <v>0</v>
      </c>
      <c r="AD21" s="320">
        <f>IF(D21="",0,SUM(F15:F21))</f>
        <v>5.1590551181102375E-2</v>
      </c>
      <c r="AE21" s="320">
        <f>IF(D21="",0,SUM(F16:F50)/2-AD21)</f>
        <v>3.4393700787401553E-2</v>
      </c>
      <c r="AF21" s="320">
        <f t="shared" si="8"/>
        <v>4.299212598425195E-2</v>
      </c>
      <c r="AG21" s="320">
        <f>IF(D21="",0,(AD21+AD20)/2-SUM(F16:F50)/2)</f>
        <v>-3.8692913385826755E-2</v>
      </c>
      <c r="AH21" s="321">
        <f ca="1">IF(D21="",0,INDEX(INDIRECT($AE$60),MATCH(AH$14,Matl!$B$3:$B$17,0),MATCH(D21,Matl!$D$2:$K$2,0)))</f>
        <v>7702519.151965999</v>
      </c>
      <c r="AI21" s="321">
        <f ca="1">IF(D21="",0,INDEX(INDIRECT($AE$60),MATCH(AI$14,Matl!$B$3:$B$17,0),MATCH(D21,Matl!$D$2:$K$2,0)))</f>
        <v>7702519.151965999</v>
      </c>
      <c r="AJ21" s="321">
        <f ca="1">IF(D21="",0,INDEX(INDIRECT(AE60),MATCH(AJ14,Matl!B3:B15,0),MATCH(D21,Matl!D2:K2,0)))</f>
        <v>5.8999999999999997E-2</v>
      </c>
      <c r="AK21" s="322">
        <f t="shared" ca="1" si="9"/>
        <v>5.8999999999999997E-2</v>
      </c>
      <c r="AL21" s="321">
        <f ca="1">IF(D21="",0,INDEX(INDIRECT(AE60),MATCH(AL14,Matl!B3:B15,0),MATCH(D21,Matl!D2:K2,0)))</f>
        <v>559990.70641799993</v>
      </c>
      <c r="AM21" s="323">
        <f ca="1">IF(D21="",0,INDEX(INDIRECT(AE60),MATCH(AM14,Matl!B3:B15,0),MATCH(D21,Matl!D2:K2,0)))</f>
        <v>86297.454109999991</v>
      </c>
      <c r="AN21" s="323">
        <f ca="1">IF(D21="",0,INDEX(INDIRECT(AE60),MATCH(AN14,Matl!B3:B15,0),MATCH(D21,Matl!D2:K2,0)))</f>
        <v>70488.34066799999</v>
      </c>
      <c r="AO21" s="323">
        <f ca="1">IF(D21="",0,INDEX(INDIRECT(AE60),MATCH(AO14,Matl!B3:B15,0),MATCH(D21,Matl!D2:K2,0)))</f>
        <v>52068.547941999997</v>
      </c>
      <c r="AP21" s="323">
        <f ca="1">IF(D21="",0,INDEX(INDIRECT(AE60),MATCH(AP14,Matl!B3:B15,0),MATCH(D21,Matl!D2:K2,0)))</f>
        <v>48297.566753999999</v>
      </c>
      <c r="AQ21" s="323">
        <f ca="1">IF(D21="",0,INDEX(INDIRECT(AE60),MATCH(AQ14,Matl!B3:B15,0),MATCH(D21,Matl!D2:K2,0)))</f>
        <v>11167.905825999998</v>
      </c>
      <c r="AR21" s="321"/>
      <c r="AS21" s="321"/>
      <c r="AT21" s="324">
        <f t="shared" ca="1" si="10"/>
        <v>7729425.2813704489</v>
      </c>
      <c r="AU21" s="325">
        <f t="shared" ca="1" si="11"/>
        <v>7729425.2813704489</v>
      </c>
      <c r="AV21" s="325">
        <f t="shared" ca="1" si="12"/>
        <v>456036.09160085651</v>
      </c>
      <c r="AW21" s="325">
        <f t="shared" ca="1" si="13"/>
        <v>456036.09160085651</v>
      </c>
      <c r="AX21" s="326">
        <v>0</v>
      </c>
      <c r="AY21" s="326">
        <v>0</v>
      </c>
      <c r="AZ21" s="326">
        <v>0</v>
      </c>
      <c r="BA21" s="326">
        <v>0</v>
      </c>
      <c r="BB21" s="327">
        <f t="shared" ca="1" si="14"/>
        <v>559990.70641799993</v>
      </c>
      <c r="BC21" s="328"/>
      <c r="BD21" s="324">
        <f t="shared" ca="1" si="15"/>
        <v>7729425.2813704489</v>
      </c>
      <c r="BE21" s="325">
        <f t="shared" ca="1" si="16"/>
        <v>7729425.2813704489</v>
      </c>
      <c r="BF21" s="325">
        <f t="shared" ca="1" si="17"/>
        <v>456036.09160085651</v>
      </c>
      <c r="BG21" s="325">
        <f t="shared" ca="1" si="18"/>
        <v>456036.09160085651</v>
      </c>
      <c r="BH21" s="325">
        <f t="shared" ca="1" si="19"/>
        <v>0</v>
      </c>
      <c r="BI21" s="325">
        <f t="shared" ca="1" si="20"/>
        <v>0</v>
      </c>
      <c r="BJ21" s="325">
        <f t="shared" ca="1" si="21"/>
        <v>0</v>
      </c>
      <c r="BK21" s="325">
        <f t="shared" ca="1" si="22"/>
        <v>0</v>
      </c>
      <c r="BL21" s="329">
        <f t="shared" ca="1" si="23"/>
        <v>559990.70641799993</v>
      </c>
      <c r="BM21" s="330"/>
      <c r="BN21" s="324">
        <f t="shared" ca="1" si="24"/>
        <v>66460.885096508122</v>
      </c>
      <c r="BO21" s="325">
        <f t="shared" ca="1" si="25"/>
        <v>66460.885096508122</v>
      </c>
      <c r="BP21" s="325">
        <f t="shared" ca="1" si="26"/>
        <v>3921.1922206939794</v>
      </c>
      <c r="BQ21" s="325">
        <f t="shared" ca="1" si="27"/>
        <v>3921.1922206939794</v>
      </c>
      <c r="BR21" s="325">
        <f t="shared" ca="1" si="28"/>
        <v>0</v>
      </c>
      <c r="BS21" s="325">
        <f t="shared" ca="1" si="29"/>
        <v>0</v>
      </c>
      <c r="BT21" s="325">
        <f t="shared" ca="1" si="30"/>
        <v>0</v>
      </c>
      <c r="BU21" s="325">
        <f t="shared" ca="1" si="31"/>
        <v>0</v>
      </c>
      <c r="BV21" s="329">
        <f t="shared" ca="1" si="32"/>
        <v>4815.0382000665832</v>
      </c>
      <c r="BW21" s="330"/>
      <c r="BX21" s="325">
        <f t="shared" ca="1" si="33"/>
        <v>-2571.5652705845728</v>
      </c>
      <c r="BY21" s="325">
        <f t="shared" ca="1" si="34"/>
        <v>-2571.5652705845728</v>
      </c>
      <c r="BZ21" s="325">
        <f t="shared" ca="1" si="35"/>
        <v>-151.72235096448983</v>
      </c>
      <c r="CA21" s="325">
        <f t="shared" ca="1" si="36"/>
        <v>-151.72235096448983</v>
      </c>
      <c r="CB21" s="325">
        <f t="shared" ca="1" si="37"/>
        <v>0</v>
      </c>
      <c r="CC21" s="325">
        <f t="shared" ca="1" si="38"/>
        <v>0</v>
      </c>
      <c r="CD21" s="325">
        <f t="shared" ca="1" si="39"/>
        <v>0</v>
      </c>
      <c r="CE21" s="325">
        <f t="shared" ca="1" si="40"/>
        <v>0</v>
      </c>
      <c r="CF21" s="325">
        <f t="shared" ca="1" si="41"/>
        <v>-186.30785602462345</v>
      </c>
      <c r="CG21" s="330"/>
      <c r="CH21" s="331">
        <f t="shared" ca="1" si="42"/>
        <v>99.910822866246434</v>
      </c>
      <c r="CI21" s="332">
        <f t="shared" ca="1" si="43"/>
        <v>99.910822866246434</v>
      </c>
      <c r="CJ21" s="332">
        <f t="shared" ca="1" si="44"/>
        <v>5.8947385491085402</v>
      </c>
      <c r="CK21" s="332">
        <f t="shared" ca="1" si="45"/>
        <v>5.8947385491085402</v>
      </c>
      <c r="CL21" s="332">
        <f t="shared" ca="1" si="46"/>
        <v>0</v>
      </c>
      <c r="CM21" s="332">
        <f t="shared" ca="1" si="47"/>
        <v>0</v>
      </c>
      <c r="CN21" s="332">
        <f t="shared" ca="1" si="48"/>
        <v>0</v>
      </c>
      <c r="CO21" s="332">
        <f t="shared" ca="1" si="49"/>
        <v>0</v>
      </c>
      <c r="CP21" s="333">
        <f t="shared" ca="1" si="50"/>
        <v>7.2384595541045273</v>
      </c>
      <c r="CR21" s="334"/>
      <c r="CS21" s="335"/>
      <c r="CT21" s="335"/>
      <c r="CU21" s="336" t="s">
        <v>133</v>
      </c>
      <c r="CV21" s="337">
        <f ca="1">AE72</f>
        <v>-2.771243444540907E-4</v>
      </c>
      <c r="CW21" s="338"/>
      <c r="CX21" s="369">
        <f ca="1">BI17</f>
        <v>0</v>
      </c>
      <c r="CY21" s="370">
        <f ca="1">BJ17</f>
        <v>0</v>
      </c>
      <c r="CZ21" s="371">
        <f ca="1">BL17</f>
        <v>559990.70641799993</v>
      </c>
      <c r="DA21" s="338"/>
      <c r="DB21" s="342">
        <f ca="1"/>
        <v>-155.18705741647139</v>
      </c>
      <c r="DC21" s="338"/>
      <c r="DD21" s="343">
        <f ca="1">-AE75*AE21/F69</f>
        <v>-3.4341645357389627E-3</v>
      </c>
      <c r="DE21" s="344">
        <f ca="1">-AE75*AF21/F69</f>
        <v>-4.2927056696737045E-3</v>
      </c>
      <c r="DF21" s="344">
        <f ca="1">-AE76*AE21/F70</f>
        <v>-5.3163030522488861E-4</v>
      </c>
      <c r="DG21" s="344">
        <f ca="1">-AE76*AF21/F70</f>
        <v>-6.6453788153111079E-4</v>
      </c>
      <c r="DH21" s="344">
        <f ca="1">-AE77*AE21/F69</f>
        <v>4.1407737581850334E-3</v>
      </c>
      <c r="DI21" s="345">
        <f ca="1">-AE77*AF21/F69</f>
        <v>5.1759671977312923E-3</v>
      </c>
      <c r="DJ21" s="338"/>
      <c r="DK21" s="338"/>
      <c r="DL21" s="338"/>
      <c r="DM21" s="346" t="s">
        <v>133</v>
      </c>
      <c r="DN21" s="347">
        <f ca="1">INDEX(DI16:DI115,MATCH(DJ19,A16:A50,0))</f>
        <v>9.3167409559163292E-3</v>
      </c>
      <c r="DO21" s="338"/>
      <c r="DP21" s="338"/>
      <c r="DQ21" s="346" t="s">
        <v>134</v>
      </c>
      <c r="DR21" s="347">
        <f ca="1">INDEX(DH16:DH115,MATCH(DJ19,A16:A50,0))</f>
        <v>8.2815475163700702E-3</v>
      </c>
      <c r="DS21" s="348"/>
      <c r="DT21" s="369">
        <f t="shared" ca="1" si="104"/>
        <v>0</v>
      </c>
      <c r="DU21" s="370">
        <f t="shared" ca="1" si="102"/>
        <v>0</v>
      </c>
      <c r="DV21" s="371">
        <f t="shared" ca="1" si="103"/>
        <v>559990.70641799993</v>
      </c>
      <c r="DW21" s="338"/>
      <c r="DX21" s="349">
        <f ca="1"/>
        <v>5217.2883494170974</v>
      </c>
      <c r="DY21" s="349"/>
      <c r="DZ21" s="349">
        <f ca="1"/>
        <v>4637.5896439263088</v>
      </c>
      <c r="EB21" s="350">
        <f t="shared" ca="1" si="52"/>
        <v>3546.9813186371889</v>
      </c>
      <c r="EC21" s="351">
        <f t="shared" ca="1" si="53"/>
        <v>523.53150187562358</v>
      </c>
      <c r="ED21" s="352">
        <f t="shared" ca="1" si="54"/>
        <v>-155.18705741647139</v>
      </c>
      <c r="EE21" s="350">
        <f t="shared" ca="1" si="55"/>
        <v>-33483.200986872354</v>
      </c>
      <c r="EF21" s="351">
        <f t="shared" ca="1" si="56"/>
        <v>-26786.560789497875</v>
      </c>
      <c r="EG21" s="351">
        <f t="shared" ca="1" si="57"/>
        <v>-7094.1246179257614</v>
      </c>
      <c r="EH21" s="351">
        <f t="shared" ca="1" si="58"/>
        <v>-5675.2996943406088</v>
      </c>
      <c r="EI21" s="351">
        <f t="shared" ca="1" si="59"/>
        <v>2898.4935274539421</v>
      </c>
      <c r="EJ21" s="352">
        <f t="shared" ca="1" si="60"/>
        <v>2318.794821963153</v>
      </c>
      <c r="EK21" s="350">
        <f t="shared" ca="1" si="71"/>
        <v>-29936.219668235164</v>
      </c>
      <c r="EL21" s="351">
        <f t="shared" ca="1" si="72"/>
        <v>-23239.579470860685</v>
      </c>
      <c r="EM21" s="351">
        <f t="shared" ca="1" si="73"/>
        <v>-6570.5931160501377</v>
      </c>
      <c r="EN21" s="351">
        <f t="shared" ca="1" si="74"/>
        <v>-5151.7681924649851</v>
      </c>
      <c r="EO21" s="351">
        <f t="shared" ca="1" si="75"/>
        <v>2743.3064700374707</v>
      </c>
      <c r="EP21" s="352">
        <f t="shared" ca="1" si="76"/>
        <v>2163.6077645466817</v>
      </c>
      <c r="EQ21" s="323">
        <f t="shared" ca="1" si="77"/>
        <v>-29936.219668235164</v>
      </c>
      <c r="ER21" s="323">
        <f t="shared" ca="1" si="78"/>
        <v>-6570.5931160501377</v>
      </c>
      <c r="ES21" s="323">
        <f t="shared" ca="1" si="79"/>
        <v>2743.3064700374707</v>
      </c>
      <c r="ET21" s="323">
        <f t="shared" ca="1" si="80"/>
        <v>86297.454109999991</v>
      </c>
      <c r="EU21" s="323">
        <f t="shared" ca="1" si="81"/>
        <v>52068.547941999997</v>
      </c>
      <c r="EV21" s="323">
        <f t="shared" ca="1" si="82"/>
        <v>70488.34066799999</v>
      </c>
      <c r="EW21" s="323">
        <f t="shared" ca="1" si="83"/>
        <v>48297.566753999999</v>
      </c>
      <c r="EX21" s="323">
        <f t="shared" ca="1" si="84"/>
        <v>11167.905825999998</v>
      </c>
      <c r="EY21" s="353">
        <f t="shared" ca="1" si="85"/>
        <v>2.2254946258207747E-10</v>
      </c>
      <c r="EZ21" s="353">
        <f t="shared" ca="1" si="86"/>
        <v>2.9373619270409085E-10</v>
      </c>
      <c r="FA21" s="321">
        <f t="shared" ca="1" si="87"/>
        <v>8.0178239087273853E-9</v>
      </c>
      <c r="FB21" s="354">
        <f t="shared" ca="1" si="88"/>
        <v>-1.1127473129103873E-10</v>
      </c>
      <c r="FC21" s="321">
        <f t="shared" ca="1" si="89"/>
        <v>-7.6176246724607548E-6</v>
      </c>
      <c r="FD21" s="321">
        <f t="shared" ca="1" si="90"/>
        <v>-6.5182334426556133E-6</v>
      </c>
      <c r="FE21" s="355">
        <f t="shared" ca="1" si="91"/>
        <v>0.22868993452445455</v>
      </c>
      <c r="FF21" s="338">
        <f t="shared" ca="1" si="92"/>
        <v>0.27087154533207386</v>
      </c>
      <c r="FG21" s="335">
        <f t="shared" ca="1" si="93"/>
        <v>-1.2783860120010795E-10</v>
      </c>
      <c r="FH21" s="356">
        <f t="shared" ca="1" si="94"/>
        <v>0.22217375054307956</v>
      </c>
      <c r="FI21" s="335">
        <f t="shared" ca="1" si="95"/>
        <v>0.27087154533207386</v>
      </c>
      <c r="FJ21" s="357">
        <f t="shared" ca="1" si="61"/>
        <v>0.7229854621844698</v>
      </c>
      <c r="FK21" s="357">
        <f t="shared" ca="1" si="62"/>
        <v>0.73765832342631743</v>
      </c>
      <c r="FL21" s="357">
        <f t="shared" ca="1" si="63"/>
        <v>0.90248132679729709</v>
      </c>
      <c r="FM21" s="357">
        <f t="shared" ca="1" si="64"/>
        <v>0.93652206279884753</v>
      </c>
      <c r="FN21" s="357">
        <f t="shared" ca="1" si="65"/>
        <v>0.73931606993280741</v>
      </c>
      <c r="FO21" s="357">
        <f t="shared" ca="1" si="96"/>
        <v>6.3505642338470834</v>
      </c>
      <c r="FP21" s="357">
        <f t="shared" ca="1" si="97"/>
        <v>3.0709654382317177</v>
      </c>
      <c r="FR21" s="358"/>
      <c r="FS21" s="359">
        <f ca="1">INDEX(EB16:EB115,MATCH(GF20,A16:A115,0))</f>
        <v>3546.9813186371889</v>
      </c>
      <c r="FT21" s="359">
        <f>FT20</f>
        <v>7.7385826771653524E-2</v>
      </c>
      <c r="FU21" s="359">
        <f ca="1">INDEX(EC16:EC115,MATCH(GF20,A16:A115,0))</f>
        <v>523.53150187562358</v>
      </c>
      <c r="FV21" s="359">
        <f t="shared" ref="FV21:FV23" si="108">FT21</f>
        <v>7.7385826771653524E-2</v>
      </c>
      <c r="FW21" s="359">
        <f ca="1">INDEX(ED16:ED115,MATCH(GF20,A16:A115,0))</f>
        <v>-155.18705741647139</v>
      </c>
      <c r="FX21" s="360">
        <f t="shared" ref="FX21:FX23" si="109">FV21</f>
        <v>7.7385826771653524E-2</v>
      </c>
      <c r="FY21" s="358"/>
      <c r="FZ21" s="351">
        <f ca="1">INDEX(EE16:EE115,MATCH(GF20,A16:A115,0))</f>
        <v>-60269.761776370244</v>
      </c>
      <c r="GA21" s="359">
        <f>GA20</f>
        <v>7.7385826771653524E-2</v>
      </c>
      <c r="GB21" s="326">
        <f ca="1">INDEX(EG16:EG115,MATCH(GF20,A16:A115,0))</f>
        <v>-12769.424312266372</v>
      </c>
      <c r="GC21" s="362">
        <f t="shared" si="105"/>
        <v>7.7385826771653524E-2</v>
      </c>
      <c r="GD21" s="359">
        <f ca="1">INDEX(EI16:EI115,MATCH(GF20,A16:A115,0))</f>
        <v>5217.2883494170974</v>
      </c>
      <c r="GE21" s="363">
        <f t="shared" ref="GE21:GE23" si="110">GC21</f>
        <v>7.7385826771653524E-2</v>
      </c>
      <c r="GF21" s="364"/>
      <c r="GG21" s="365">
        <f ca="1">FS21+FZ21</f>
        <v>-56722.780457733053</v>
      </c>
      <c r="GH21" s="320">
        <f>GH20</f>
        <v>7.7385826771653524E-2</v>
      </c>
      <c r="GI21" s="365">
        <f ca="1">FU21+GB21</f>
        <v>-12245.892810390749</v>
      </c>
      <c r="GJ21" s="366">
        <f t="shared" si="106"/>
        <v>7.7385826771653524E-2</v>
      </c>
      <c r="GK21" s="365">
        <f ca="1">FW21+GD21</f>
        <v>5062.101292000626</v>
      </c>
      <c r="GL21" s="366">
        <f t="shared" si="107"/>
        <v>7.7385826771653524E-2</v>
      </c>
      <c r="GN21" s="359">
        <f t="shared" si="69"/>
        <v>7.7385826771653524E-2</v>
      </c>
      <c r="GO21" s="367">
        <f ca="1">INDEX(FJ16:FJ115,MATCH(GM20,A16:A115,0))</f>
        <v>-8.724180854414354E-2</v>
      </c>
      <c r="GP21" s="367">
        <f ca="1">INDEX(FK16:FK115,MATCH(GM20,A16:A115,0))</f>
        <v>-7.9539271028438052E-2</v>
      </c>
      <c r="GQ21" s="367">
        <f ca="1">INDEX(FL16:FL115,MATCH(GM20,A16:A115,0))</f>
        <v>-0.35748118098019621</v>
      </c>
      <c r="GR21" s="367">
        <f ca="1">INDEX(FM16:FM115,MATCH(GM20,A16:A115,0))</f>
        <v>-0.33946799722541854</v>
      </c>
      <c r="GS21" s="367">
        <f ca="1">INDEX(FN16:FN115,MATCH(GM20,A16:A115,0))</f>
        <v>-8.2052263273679871E-2</v>
      </c>
      <c r="GT21" s="367">
        <f ca="1">INDEX(FO16:FO115,MATCH(GM20,A16:A115,0))</f>
        <v>2.9439808515242829</v>
      </c>
      <c r="GU21" s="367">
        <f ca="1">INDEX(FP16:FP115,MATCH(GM20,A16:A115,0))</f>
        <v>1.2061798414915277</v>
      </c>
      <c r="HH21" s="321">
        <f ca="1">IF(D20="","",INDEX(INDIRECT(AE60),MATCH(HH15,Matl!B3:B29,0),MATCH(D20,Matl!D2:K2,0)))</f>
        <v>3000</v>
      </c>
      <c r="HI21" s="314">
        <f ca="1">IF(D20="","",INDEX(INDIRECT(AE60),MATCH(HI15,Matl!B3:B29,0),MATCH(D20,Matl!D2:K2,0)))</f>
        <v>4500</v>
      </c>
      <c r="HO21" s="338"/>
      <c r="HP21" s="338"/>
      <c r="HQ21" s="338"/>
      <c r="HR21" s="338"/>
      <c r="HS21" s="338"/>
      <c r="HT21" s="338"/>
      <c r="HU21" s="338"/>
      <c r="HY21" s="338"/>
      <c r="HZ21" s="338"/>
      <c r="IA21" s="338">
        <f ca="1">HS16</f>
        <v>4500</v>
      </c>
      <c r="IB21" s="338"/>
      <c r="IC21" s="338">
        <f ca="1">IC20</f>
        <v>0.32213930076889108</v>
      </c>
      <c r="ID21" s="338"/>
      <c r="IE21" s="338"/>
      <c r="IF21" s="338"/>
      <c r="IG21" s="338"/>
      <c r="IH21" s="338"/>
      <c r="II21" s="338"/>
      <c r="IJ21" s="338"/>
      <c r="IK21" s="338"/>
      <c r="IL21" s="338"/>
      <c r="IM21" s="338"/>
      <c r="IN21" s="338"/>
      <c r="IO21" s="338"/>
      <c r="IP21" s="338"/>
    </row>
    <row r="22" spans="1:250" s="314" customFormat="1" ht="12" x14ac:dyDescent="0.25">
      <c r="A22" s="310">
        <v>7</v>
      </c>
      <c r="B22" s="311">
        <v>45</v>
      </c>
      <c r="C22" s="311"/>
      <c r="D22" s="380" t="s">
        <v>109</v>
      </c>
      <c r="E22" s="380"/>
      <c r="F22" s="312">
        <f>IF(C22="",INDEX(Matl!$C$15:$K$15,MATCH(D22,Matl!$C$2:$K$2,0)),C22)</f>
        <v>8.5984251968503952E-3</v>
      </c>
      <c r="G22" s="313"/>
      <c r="H22" s="313"/>
      <c r="I22" s="313"/>
      <c r="J22" s="313"/>
      <c r="K22" s="313"/>
      <c r="M22" s="315"/>
      <c r="N22" s="315"/>
      <c r="O22" s="315"/>
      <c r="P22" s="316"/>
      <c r="Q22" s="316"/>
      <c r="R22" s="316"/>
      <c r="S22" s="316"/>
      <c r="T22" s="315"/>
      <c r="U22" s="317"/>
      <c r="V22" s="317"/>
      <c r="W22" s="317">
        <f t="shared" si="3"/>
        <v>8.5984251968503952E-3</v>
      </c>
      <c r="X22" s="317"/>
      <c r="Y22" s="317"/>
      <c r="Z22" s="318">
        <f t="shared" si="4"/>
        <v>0</v>
      </c>
      <c r="AA22" s="319">
        <f t="shared" si="5"/>
        <v>1</v>
      </c>
      <c r="AB22" s="314">
        <f t="shared" si="6"/>
        <v>0</v>
      </c>
      <c r="AC22" s="320">
        <f t="shared" si="7"/>
        <v>0.78539816339744828</v>
      </c>
      <c r="AD22" s="320">
        <f>IF(D22="",0,SUM(F15:F22))</f>
        <v>6.0188976377952771E-2</v>
      </c>
      <c r="AE22" s="320">
        <f>IF(D22="",0,SUM(F16:F50)/2-AD22)</f>
        <v>2.5795275590551156E-2</v>
      </c>
      <c r="AF22" s="320">
        <f t="shared" si="8"/>
        <v>3.4393700787401553E-2</v>
      </c>
      <c r="AG22" s="320">
        <f>IF(D22="",0,(AD22+AD21)/2-SUM(F16:F50)/2)</f>
        <v>-3.0094488188976351E-2</v>
      </c>
      <c r="AH22" s="321">
        <f ca="1">IF(D22="",0,INDEX(INDIRECT($AE$60),MATCH(AH$14,Matl!$B$3:$B$17,0),MATCH(D22,Matl!$D$2:$K$2,0)))</f>
        <v>7702519.151965999</v>
      </c>
      <c r="AI22" s="321">
        <f ca="1">IF(D22="",0,INDEX(INDIRECT($AE$60),MATCH(AI$14,Matl!$B$3:$B$17,0),MATCH(D22,Matl!$D$2:$K$2,0)))</f>
        <v>7702519.151965999</v>
      </c>
      <c r="AJ22" s="321">
        <f ca="1">IF(D22="",0,INDEX(INDIRECT(AE60),MATCH(AJ14,Matl!B3:B15,0),MATCH(D22,Matl!D2:K2,0)))</f>
        <v>5.8999999999999997E-2</v>
      </c>
      <c r="AK22" s="322">
        <f t="shared" ca="1" si="9"/>
        <v>5.8999999999999997E-2</v>
      </c>
      <c r="AL22" s="321">
        <f ca="1">IF(D22="",0,INDEX(INDIRECT(AE60),MATCH(AL14,Matl!B3:B15,0),MATCH(D22,Matl!D2:K2,0)))</f>
        <v>559990.70641799993</v>
      </c>
      <c r="AM22" s="323">
        <f ca="1">IF(D22="",0,INDEX(INDIRECT(AE60),MATCH(AM14,Matl!B3:B15,0),MATCH(D22,Matl!D2:K2,0)))</f>
        <v>86297.454109999991</v>
      </c>
      <c r="AN22" s="323">
        <f ca="1">IF(D22="",0,INDEX(INDIRECT(AE60),MATCH(AN14,Matl!B3:B15,0),MATCH(D22,Matl!D2:K2,0)))</f>
        <v>70488.34066799999</v>
      </c>
      <c r="AO22" s="323">
        <f ca="1">IF(D22="",0,INDEX(INDIRECT(AE60),MATCH(AO14,Matl!B3:B15,0),MATCH(D22,Matl!D2:K2,0)))</f>
        <v>52068.547941999997</v>
      </c>
      <c r="AP22" s="323">
        <f ca="1">IF(D22="",0,INDEX(INDIRECT(AE60),MATCH(AP14,Matl!B3:B15,0),MATCH(D22,Matl!D2:K2,0)))</f>
        <v>48297.566753999999</v>
      </c>
      <c r="AQ22" s="323">
        <f ca="1">IF(D22="",0,INDEX(INDIRECT(AE60),MATCH(AQ14,Matl!B3:B15,0),MATCH(D22,Matl!D2:K2,0)))</f>
        <v>11167.905825999998</v>
      </c>
      <c r="AR22" s="321"/>
      <c r="AS22" s="321"/>
      <c r="AT22" s="324">
        <f t="shared" ca="1" si="10"/>
        <v>7729425.2813704489</v>
      </c>
      <c r="AU22" s="325">
        <f t="shared" ca="1" si="11"/>
        <v>7729425.2813704489</v>
      </c>
      <c r="AV22" s="325">
        <f t="shared" ca="1" si="12"/>
        <v>456036.09160085651</v>
      </c>
      <c r="AW22" s="325">
        <f t="shared" ca="1" si="13"/>
        <v>456036.09160085651</v>
      </c>
      <c r="AX22" s="326">
        <v>0</v>
      </c>
      <c r="AY22" s="326">
        <v>0</v>
      </c>
      <c r="AZ22" s="326">
        <v>0</v>
      </c>
      <c r="BA22" s="326">
        <v>0</v>
      </c>
      <c r="BB22" s="327">
        <f t="shared" ca="1" si="14"/>
        <v>559990.70641799993</v>
      </c>
      <c r="BC22" s="328"/>
      <c r="BD22" s="324">
        <f t="shared" ca="1" si="15"/>
        <v>4652721.392903653</v>
      </c>
      <c r="BE22" s="325">
        <f t="shared" ca="1" si="16"/>
        <v>4652721.392903653</v>
      </c>
      <c r="BF22" s="325">
        <f t="shared" ca="1" si="17"/>
        <v>3532739.9800676531</v>
      </c>
      <c r="BG22" s="325">
        <f t="shared" ca="1" si="18"/>
        <v>3532739.9800676531</v>
      </c>
      <c r="BH22" s="325">
        <f t="shared" ca="1" si="19"/>
        <v>0</v>
      </c>
      <c r="BI22" s="325">
        <f t="shared" ca="1" si="20"/>
        <v>0</v>
      </c>
      <c r="BJ22" s="325">
        <f t="shared" ca="1" si="21"/>
        <v>0</v>
      </c>
      <c r="BK22" s="325">
        <f t="shared" ca="1" si="22"/>
        <v>0</v>
      </c>
      <c r="BL22" s="329">
        <f t="shared" ca="1" si="23"/>
        <v>3636694.5948847961</v>
      </c>
      <c r="BM22" s="330"/>
      <c r="BN22" s="324">
        <f t="shared" ca="1" si="24"/>
        <v>40006.076858667635</v>
      </c>
      <c r="BO22" s="325">
        <f t="shared" ca="1" si="25"/>
        <v>40006.076858667635</v>
      </c>
      <c r="BP22" s="325">
        <f t="shared" ca="1" si="26"/>
        <v>30376.000458534472</v>
      </c>
      <c r="BQ22" s="325">
        <f t="shared" ca="1" si="27"/>
        <v>30376.000458534472</v>
      </c>
      <c r="BR22" s="325">
        <f t="shared" ca="1" si="28"/>
        <v>0</v>
      </c>
      <c r="BS22" s="325">
        <f t="shared" ca="1" si="29"/>
        <v>0</v>
      </c>
      <c r="BT22" s="325">
        <f t="shared" ca="1" si="30"/>
        <v>0</v>
      </c>
      <c r="BU22" s="325">
        <f t="shared" ca="1" si="31"/>
        <v>0</v>
      </c>
      <c r="BV22" s="329">
        <f t="shared" ca="1" si="32"/>
        <v>31269.846437907072</v>
      </c>
      <c r="BW22" s="330"/>
      <c r="BX22" s="325">
        <f t="shared" ca="1" si="33"/>
        <v>-1203.9624075104534</v>
      </c>
      <c r="BY22" s="325">
        <f t="shared" ca="1" si="34"/>
        <v>-1203.9624075104534</v>
      </c>
      <c r="BZ22" s="325">
        <f t="shared" ca="1" si="35"/>
        <v>-914.15018702770578</v>
      </c>
      <c r="CA22" s="325">
        <f t="shared" ca="1" si="36"/>
        <v>-914.15018702770578</v>
      </c>
      <c r="CB22" s="325">
        <f t="shared" ca="1" si="37"/>
        <v>0</v>
      </c>
      <c r="CC22" s="325">
        <f t="shared" ca="1" si="38"/>
        <v>0</v>
      </c>
      <c r="CD22" s="325">
        <f t="shared" ca="1" si="39"/>
        <v>0</v>
      </c>
      <c r="CE22" s="325">
        <f t="shared" ca="1" si="40"/>
        <v>0</v>
      </c>
      <c r="CF22" s="325">
        <f t="shared" ca="1" si="41"/>
        <v>-941.05002429669855</v>
      </c>
      <c r="CG22" s="330"/>
      <c r="CH22" s="331">
        <f t="shared" ca="1" si="42"/>
        <v>36.479112945671027</v>
      </c>
      <c r="CI22" s="332">
        <f t="shared" ca="1" si="43"/>
        <v>36.479112945671027</v>
      </c>
      <c r="CJ22" s="332">
        <f t="shared" ca="1" si="44"/>
        <v>27.698030863642593</v>
      </c>
      <c r="CK22" s="332">
        <f t="shared" ca="1" si="45"/>
        <v>27.698030863642593</v>
      </c>
      <c r="CL22" s="332">
        <f t="shared" ca="1" si="46"/>
        <v>0</v>
      </c>
      <c r="CM22" s="332">
        <f t="shared" ca="1" si="47"/>
        <v>0</v>
      </c>
      <c r="CN22" s="332">
        <f t="shared" ca="1" si="48"/>
        <v>0</v>
      </c>
      <c r="CO22" s="332">
        <f t="shared" ca="1" si="49"/>
        <v>0</v>
      </c>
      <c r="CP22" s="333">
        <f t="shared" ca="1" si="50"/>
        <v>28.513074751918843</v>
      </c>
      <c r="CR22" s="334">
        <f>CR19+1</f>
        <v>3</v>
      </c>
      <c r="CS22" s="335"/>
      <c r="CT22" s="335"/>
      <c r="CU22" s="336" t="s">
        <v>129</v>
      </c>
      <c r="CV22" s="337">
        <f ca="1">AE70</f>
        <v>4.5648610417658959E-4</v>
      </c>
      <c r="CW22" s="338"/>
      <c r="CX22" s="339">
        <f ca="1">BD18</f>
        <v>7729425.2813704489</v>
      </c>
      <c r="CY22" s="340">
        <f ca="1">BF18</f>
        <v>456036.09160085651</v>
      </c>
      <c r="CZ22" s="341">
        <f ca="1">BH18</f>
        <v>0</v>
      </c>
      <c r="DA22" s="338"/>
      <c r="DB22" s="342">
        <f t="array" aca="1" ref="DB22:DB24" ca="1">MMULT(CX22:CZ24,CV22:CV24)</f>
        <v>3546.9813186371889</v>
      </c>
      <c r="DC22" s="338"/>
      <c r="DD22" s="343">
        <f ca="1">-AE75*AE22/F69</f>
        <v>-2.5756234018042209E-3</v>
      </c>
      <c r="DE22" s="344">
        <f ca="1">-AE75*AF22/F69</f>
        <v>-3.4341645357389627E-3</v>
      </c>
      <c r="DF22" s="344">
        <f ca="1">-AE76*AE22/F70</f>
        <v>-3.9872272891866627E-4</v>
      </c>
      <c r="DG22" s="344">
        <f ca="1">-AE76*AF22/F70</f>
        <v>-5.3163030522488861E-4</v>
      </c>
      <c r="DH22" s="344">
        <f ca="1">-AE77*AE22/F69</f>
        <v>3.1055803186387739E-3</v>
      </c>
      <c r="DI22" s="345">
        <f ca="1">-AE77*AF22/F69</f>
        <v>4.1407737581850334E-3</v>
      </c>
      <c r="DJ22" s="338">
        <f>DJ19+1</f>
        <v>3</v>
      </c>
      <c r="DK22" s="338"/>
      <c r="DL22" s="338"/>
      <c r="DM22" s="346" t="s">
        <v>129</v>
      </c>
      <c r="DN22" s="347">
        <f ca="1">INDEX(DE16:DE115,MATCH(DJ22,A16:A50,0))</f>
        <v>-6.868329071477928E-3</v>
      </c>
      <c r="DO22" s="338"/>
      <c r="DP22" s="338"/>
      <c r="DQ22" s="346" t="s">
        <v>130</v>
      </c>
      <c r="DR22" s="347">
        <f ca="1">INDEX(DD16:DD115,MATCH(DJ22,A16:A50,0))</f>
        <v>-6.0097879375431871E-3</v>
      </c>
      <c r="DS22" s="348"/>
      <c r="DT22" s="339">
        <f ca="1">CX22</f>
        <v>7729425.2813704489</v>
      </c>
      <c r="DU22" s="340">
        <f t="shared" ca="1" si="102"/>
        <v>456036.09160085651</v>
      </c>
      <c r="DV22" s="341">
        <f t="shared" ca="1" si="103"/>
        <v>0</v>
      </c>
      <c r="DW22" s="338"/>
      <c r="DX22" s="349">
        <f t="array" aca="1" ref="DX22:DX24" ca="1">MMULT(DT22:DV24,DN22:DN24)</f>
        <v>-53573.121578995771</v>
      </c>
      <c r="DY22" s="349"/>
      <c r="DZ22" s="349">
        <f t="array" aca="1" ref="DZ22:DZ24" ca="1">MMULT(DT22:DV24,DR22:DR24)</f>
        <v>-46876.481381621306</v>
      </c>
      <c r="EB22" s="350">
        <f t="shared" ca="1" si="52"/>
        <v>2268.0369963811145</v>
      </c>
      <c r="EC22" s="351">
        <f t="shared" ca="1" si="53"/>
        <v>1802.4758241316983</v>
      </c>
      <c r="ED22" s="352">
        <f t="shared" ca="1" si="54"/>
        <v>-1007.8166055871841</v>
      </c>
      <c r="EE22" s="350">
        <f t="shared" ca="1" si="55"/>
        <v>-17856.322436067247</v>
      </c>
      <c r="EF22" s="351">
        <f t="shared" ca="1" si="56"/>
        <v>-13392.241827050429</v>
      </c>
      <c r="EG22" s="351">
        <f t="shared" ca="1" si="57"/>
        <v>-14605.538047771242</v>
      </c>
      <c r="EH22" s="351">
        <f t="shared" ca="1" si="58"/>
        <v>-10954.153535828427</v>
      </c>
      <c r="EI22" s="351">
        <f t="shared" ca="1" si="59"/>
        <v>15058.729545032314</v>
      </c>
      <c r="EJ22" s="352">
        <f t="shared" ca="1" si="60"/>
        <v>11294.047158774232</v>
      </c>
      <c r="EK22" s="350">
        <f t="shared" ca="1" si="71"/>
        <v>-15588.285439686133</v>
      </c>
      <c r="EL22" s="351">
        <f t="shared" ca="1" si="72"/>
        <v>-11124.204830669314</v>
      </c>
      <c r="EM22" s="351">
        <f t="shared" ca="1" si="73"/>
        <v>-12803.062223639545</v>
      </c>
      <c r="EN22" s="351">
        <f t="shared" ca="1" si="74"/>
        <v>-9151.6777116967296</v>
      </c>
      <c r="EO22" s="351">
        <f t="shared" ca="1" si="75"/>
        <v>14050.91293944513</v>
      </c>
      <c r="EP22" s="352">
        <f t="shared" ca="1" si="76"/>
        <v>10286.230553187048</v>
      </c>
      <c r="EQ22" s="323">
        <f t="shared" ca="1" si="77"/>
        <v>-15588.285439686133</v>
      </c>
      <c r="ER22" s="323">
        <f t="shared" ca="1" si="78"/>
        <v>-12803.062223639545</v>
      </c>
      <c r="ES22" s="323">
        <f t="shared" ca="1" si="79"/>
        <v>14050.91293944513</v>
      </c>
      <c r="ET22" s="323">
        <f t="shared" ca="1" si="80"/>
        <v>86297.454109999991</v>
      </c>
      <c r="EU22" s="323">
        <f t="shared" ca="1" si="81"/>
        <v>52068.547941999997</v>
      </c>
      <c r="EV22" s="323">
        <f t="shared" ca="1" si="82"/>
        <v>70488.34066799999</v>
      </c>
      <c r="EW22" s="323">
        <f t="shared" ca="1" si="83"/>
        <v>48297.566753999999</v>
      </c>
      <c r="EX22" s="323">
        <f t="shared" ca="1" si="84"/>
        <v>11167.905825999998</v>
      </c>
      <c r="EY22" s="353">
        <f t="shared" ca="1" si="85"/>
        <v>2.2254946258207747E-10</v>
      </c>
      <c r="EZ22" s="353">
        <f t="shared" ca="1" si="86"/>
        <v>2.9373619270409085E-10</v>
      </c>
      <c r="FA22" s="321">
        <f t="shared" ca="1" si="87"/>
        <v>8.0178239087273853E-9</v>
      </c>
      <c r="FB22" s="354">
        <f t="shared" ca="1" si="88"/>
        <v>-1.1127473129103873E-10</v>
      </c>
      <c r="FC22" s="321">
        <f t="shared" ca="1" si="89"/>
        <v>-7.6176246724607548E-6</v>
      </c>
      <c r="FD22" s="321">
        <f t="shared" ca="1" si="90"/>
        <v>-6.5182334426556133E-6</v>
      </c>
      <c r="FE22" s="355">
        <f t="shared" ca="1" si="91"/>
        <v>1.640755341903269</v>
      </c>
      <c r="FF22" s="338">
        <f t="shared" ca="1" si="92"/>
        <v>0.20219905612124187</v>
      </c>
      <c r="FG22" s="335">
        <f t="shared" ca="1" si="93"/>
        <v>-1.2783860120010795E-10</v>
      </c>
      <c r="FH22" s="356">
        <f t="shared" ca="1" si="94"/>
        <v>1.6341437808542116</v>
      </c>
      <c r="FI22" s="335">
        <f t="shared" ca="1" si="95"/>
        <v>0.20219905612124187</v>
      </c>
      <c r="FJ22" s="357">
        <f t="shared" ca="1" si="61"/>
        <v>-0.22599822385431556</v>
      </c>
      <c r="FK22" s="357">
        <f t="shared" ca="1" si="62"/>
        <v>-0.22466221421805432</v>
      </c>
      <c r="FL22" s="357">
        <f t="shared" ca="1" si="63"/>
        <v>-0.41908212576393478</v>
      </c>
      <c r="FM22" s="357">
        <f t="shared" ca="1" si="64"/>
        <v>-0.41748969613692943</v>
      </c>
      <c r="FN22" s="357">
        <f t="shared" ca="1" si="65"/>
        <v>2.3402357265949827</v>
      </c>
      <c r="FO22" s="357">
        <f t="shared" ca="1" si="96"/>
        <v>2.7723449211098483</v>
      </c>
      <c r="FP22" s="357">
        <f t="shared" ca="1" si="97"/>
        <v>-0.20518290347893808</v>
      </c>
      <c r="FR22" s="358"/>
      <c r="FS22" s="359">
        <f ca="1">FS21</f>
        <v>3546.9813186371889</v>
      </c>
      <c r="FT22" s="359">
        <f>INDEX(AE16:AE115,MATCH(GF20,A16:A115,0))</f>
        <v>6.8787401574803134E-2</v>
      </c>
      <c r="FU22" s="359">
        <f ca="1">FU21</f>
        <v>523.53150187562358</v>
      </c>
      <c r="FV22" s="359">
        <f t="shared" si="108"/>
        <v>6.8787401574803134E-2</v>
      </c>
      <c r="FW22" s="359">
        <f ca="1">FW21</f>
        <v>-155.18705741647139</v>
      </c>
      <c r="FX22" s="360">
        <f t="shared" si="109"/>
        <v>6.8787401574803134E-2</v>
      </c>
      <c r="FY22" s="358"/>
      <c r="FZ22" s="351">
        <f ca="1">INDEX(EF16:EF115,MATCH(GF20,A16:A115,0))</f>
        <v>-53573.121578995771</v>
      </c>
      <c r="GA22" s="359">
        <f>FT22</f>
        <v>6.8787401574803134E-2</v>
      </c>
      <c r="GB22" s="326">
        <f ca="1">INDEX(EH16:EH115,MATCH(GF20,A16:A115,0))</f>
        <v>-11350.599388681221</v>
      </c>
      <c r="GC22" s="362">
        <f t="shared" si="105"/>
        <v>6.8787401574803134E-2</v>
      </c>
      <c r="GD22" s="359">
        <f ca="1">INDEX(EJ16:EJ115,MATCH(GF20,A16:A115,0))</f>
        <v>4637.5896439263088</v>
      </c>
      <c r="GE22" s="363">
        <f t="shared" si="110"/>
        <v>6.8787401574803134E-2</v>
      </c>
      <c r="GF22" s="364"/>
      <c r="GG22" s="365">
        <f ca="1">FS22+FZ22</f>
        <v>-50026.140260358581</v>
      </c>
      <c r="GH22" s="320">
        <f>FT22</f>
        <v>6.8787401574803134E-2</v>
      </c>
      <c r="GI22" s="365">
        <f ca="1">FU22+GB22</f>
        <v>-10827.067886805598</v>
      </c>
      <c r="GJ22" s="366">
        <f t="shared" si="106"/>
        <v>6.8787401574803134E-2</v>
      </c>
      <c r="GK22" s="365">
        <f ca="1">FW22+GD22</f>
        <v>4482.4025865098374</v>
      </c>
      <c r="GL22" s="366">
        <f t="shared" si="107"/>
        <v>6.8787401574803134E-2</v>
      </c>
      <c r="GN22" s="359">
        <f t="shared" si="69"/>
        <v>6.8787401574803134E-2</v>
      </c>
      <c r="GO22" s="367">
        <f ca="1">GO21</f>
        <v>-8.724180854414354E-2</v>
      </c>
      <c r="GP22" s="367">
        <f t="shared" ref="GP22" ca="1" si="111">GP21</f>
        <v>-7.9539271028438052E-2</v>
      </c>
      <c r="GQ22" s="367">
        <f t="shared" ref="GQ22" ca="1" si="112">GQ21</f>
        <v>-0.35748118098019621</v>
      </c>
      <c r="GR22" s="367">
        <f t="shared" ref="GR22" ca="1" si="113">GR21</f>
        <v>-0.33946799722541854</v>
      </c>
      <c r="GS22" s="367">
        <f t="shared" ref="GS22" ca="1" si="114">GS21</f>
        <v>-8.2052263273679871E-2</v>
      </c>
      <c r="GT22" s="367">
        <f t="shared" ref="GT22" ca="1" si="115">GT21</f>
        <v>2.9439808515242829</v>
      </c>
      <c r="GU22" s="367">
        <f t="shared" ref="GU22" ca="1" si="116">GU21</f>
        <v>1.2061798414915277</v>
      </c>
      <c r="HH22" s="321">
        <f ca="1">IF(D21="","",INDEX(INDIRECT(AE60),MATCH(HH15,Matl!B3:B29,0),MATCH(D21,Matl!D2:K2,0)))</f>
        <v>3000</v>
      </c>
      <c r="HI22" s="314">
        <f ca="1">IF(D21="","",INDEX(INDIRECT(AE60),MATCH(HI15,Matl!B3:B29,0),MATCH(D21,Matl!D2:K2,0)))</f>
        <v>4500</v>
      </c>
      <c r="HO22" s="338"/>
      <c r="HP22" s="338"/>
      <c r="HQ22" s="338"/>
      <c r="HR22" s="338"/>
      <c r="HS22" s="338"/>
      <c r="HT22" s="338"/>
      <c r="HU22" s="338"/>
      <c r="HY22" s="338"/>
      <c r="HZ22" s="338"/>
      <c r="IA22" s="338"/>
      <c r="IB22" s="338"/>
      <c r="IC22" s="338"/>
      <c r="ID22" s="338"/>
      <c r="IE22" s="338"/>
      <c r="IF22" s="338"/>
      <c r="IG22" s="338"/>
      <c r="IH22" s="338"/>
      <c r="II22" s="338"/>
      <c r="IJ22" s="338"/>
      <c r="IK22" s="338"/>
      <c r="IL22" s="338"/>
      <c r="IM22" s="338"/>
      <c r="IN22" s="338"/>
      <c r="IO22" s="338"/>
      <c r="IP22" s="338"/>
    </row>
    <row r="23" spans="1:250" s="314" customFormat="1" ht="12" x14ac:dyDescent="0.25">
      <c r="A23" s="310">
        <v>8</v>
      </c>
      <c r="B23" s="311">
        <v>45</v>
      </c>
      <c r="C23" s="311"/>
      <c r="D23" s="380" t="s">
        <v>109</v>
      </c>
      <c r="E23" s="380"/>
      <c r="F23" s="312">
        <f>IF(C23="",INDEX(Matl!$C$15:$K$15,MATCH(D23,Matl!$C$2:$K$2,0)),C23)</f>
        <v>8.5984251968503952E-3</v>
      </c>
      <c r="G23" s="313"/>
      <c r="H23" s="313"/>
      <c r="I23" s="313"/>
      <c r="J23" s="313"/>
      <c r="K23" s="313"/>
      <c r="M23" s="315"/>
      <c r="N23" s="315"/>
      <c r="O23" s="315"/>
      <c r="P23" s="316"/>
      <c r="Q23" s="316"/>
      <c r="R23" s="316"/>
      <c r="S23" s="316"/>
      <c r="T23" s="315"/>
      <c r="U23" s="317"/>
      <c r="V23" s="317"/>
      <c r="W23" s="317">
        <f t="shared" si="3"/>
        <v>8.5984251968503952E-3</v>
      </c>
      <c r="X23" s="317"/>
      <c r="Y23" s="317"/>
      <c r="Z23" s="318">
        <f t="shared" si="4"/>
        <v>0</v>
      </c>
      <c r="AA23" s="319">
        <f t="shared" si="5"/>
        <v>1</v>
      </c>
      <c r="AB23" s="314">
        <f t="shared" si="6"/>
        <v>0</v>
      </c>
      <c r="AC23" s="320">
        <f t="shared" si="7"/>
        <v>0.78539816339744828</v>
      </c>
      <c r="AD23" s="320">
        <f>IF(D23="",0,SUM(F15:F23))</f>
        <v>6.8787401574803161E-2</v>
      </c>
      <c r="AE23" s="320">
        <f>IF(D23="",0,SUM(F16:F50)/2-AD23)</f>
        <v>1.7196850393700766E-2</v>
      </c>
      <c r="AF23" s="320">
        <f t="shared" si="8"/>
        <v>2.5795275590551163E-2</v>
      </c>
      <c r="AG23" s="320">
        <f>IF(D23="",0,(AD23+AD22)/2-SUM(F16:F50)/2)</f>
        <v>-2.1496062992125961E-2</v>
      </c>
      <c r="AH23" s="321">
        <f ca="1">IF(D23="",0,INDEX(INDIRECT($AE$60),MATCH(AH$14,Matl!$B$3:$B$17,0),MATCH(D23,Matl!$D$2:$K$2,0)))</f>
        <v>7702519.151965999</v>
      </c>
      <c r="AI23" s="321">
        <f ca="1">IF(D23="",0,INDEX(INDIRECT($AE$60),MATCH(AI$14,Matl!$B$3:$B$17,0),MATCH(D23,Matl!$D$2:$K$2,0)))</f>
        <v>7702519.151965999</v>
      </c>
      <c r="AJ23" s="321">
        <f ca="1">IF(D23="",0,INDEX(INDIRECT(AE60),MATCH(AJ14,Matl!B3:B15,0),MATCH(D23,Matl!D2:K2,0)))</f>
        <v>5.8999999999999997E-2</v>
      </c>
      <c r="AK23" s="322">
        <f t="shared" ca="1" si="9"/>
        <v>5.8999999999999997E-2</v>
      </c>
      <c r="AL23" s="321">
        <f ca="1">IF(D23="",0,INDEX(INDIRECT(AE60),MATCH(AL14,Matl!B3:B15,0),MATCH(D23,Matl!D2:K2,0)))</f>
        <v>559990.70641799993</v>
      </c>
      <c r="AM23" s="323">
        <f ca="1">IF(D23="",0,INDEX(INDIRECT(AE60),MATCH(AM14,Matl!B3:B15,0),MATCH(D23,Matl!D2:K2,0)))</f>
        <v>86297.454109999991</v>
      </c>
      <c r="AN23" s="323">
        <f ca="1">IF(D23="",0,INDEX(INDIRECT(AE60),MATCH(AN14,Matl!B3:B15,0),MATCH(D23,Matl!D2:K2,0)))</f>
        <v>70488.34066799999</v>
      </c>
      <c r="AO23" s="323">
        <f ca="1">IF(D23="",0,INDEX(INDIRECT(AE60),MATCH(AO14,Matl!B3:B15,0),MATCH(D23,Matl!D2:K2,0)))</f>
        <v>52068.547941999997</v>
      </c>
      <c r="AP23" s="323">
        <f ca="1">IF(D23="",0,INDEX(INDIRECT(AE60),MATCH(AP14,Matl!B3:B15,0),MATCH(D23,Matl!D2:K2,0)))</f>
        <v>48297.566753999999</v>
      </c>
      <c r="AQ23" s="323">
        <f ca="1">IF(D23="",0,INDEX(INDIRECT(AE60),MATCH(AQ14,Matl!B3:B15,0),MATCH(D23,Matl!D2:K2,0)))</f>
        <v>11167.905825999998</v>
      </c>
      <c r="AR23" s="321"/>
      <c r="AS23" s="321"/>
      <c r="AT23" s="324">
        <f t="shared" ca="1" si="10"/>
        <v>7729425.2813704489</v>
      </c>
      <c r="AU23" s="325">
        <f t="shared" ca="1" si="11"/>
        <v>7729425.2813704489</v>
      </c>
      <c r="AV23" s="325">
        <f t="shared" ca="1" si="12"/>
        <v>456036.09160085651</v>
      </c>
      <c r="AW23" s="325">
        <f t="shared" ca="1" si="13"/>
        <v>456036.09160085651</v>
      </c>
      <c r="AX23" s="326">
        <v>0</v>
      </c>
      <c r="AY23" s="326">
        <v>0</v>
      </c>
      <c r="AZ23" s="326">
        <v>0</v>
      </c>
      <c r="BA23" s="326">
        <v>0</v>
      </c>
      <c r="BB23" s="327">
        <f t="shared" ca="1" si="14"/>
        <v>559990.70641799993</v>
      </c>
      <c r="BC23" s="328"/>
      <c r="BD23" s="324">
        <f t="shared" ca="1" si="15"/>
        <v>4652721.392903653</v>
      </c>
      <c r="BE23" s="325">
        <f t="shared" ca="1" si="16"/>
        <v>4652721.392903653</v>
      </c>
      <c r="BF23" s="325">
        <f t="shared" ca="1" si="17"/>
        <v>3532739.9800676531</v>
      </c>
      <c r="BG23" s="325">
        <f t="shared" ca="1" si="18"/>
        <v>3532739.9800676531</v>
      </c>
      <c r="BH23" s="325">
        <f t="shared" ca="1" si="19"/>
        <v>0</v>
      </c>
      <c r="BI23" s="325">
        <f t="shared" ca="1" si="20"/>
        <v>0</v>
      </c>
      <c r="BJ23" s="325">
        <f t="shared" ca="1" si="21"/>
        <v>0</v>
      </c>
      <c r="BK23" s="325">
        <f t="shared" ca="1" si="22"/>
        <v>0</v>
      </c>
      <c r="BL23" s="329">
        <f t="shared" ca="1" si="23"/>
        <v>3636694.5948847961</v>
      </c>
      <c r="BM23" s="330"/>
      <c r="BN23" s="324">
        <f t="shared" ca="1" si="24"/>
        <v>40006.076858667635</v>
      </c>
      <c r="BO23" s="325">
        <f t="shared" ca="1" si="25"/>
        <v>40006.076858667635</v>
      </c>
      <c r="BP23" s="325">
        <f t="shared" ca="1" si="26"/>
        <v>30376.000458534472</v>
      </c>
      <c r="BQ23" s="325">
        <f t="shared" ca="1" si="27"/>
        <v>30376.000458534472</v>
      </c>
      <c r="BR23" s="325">
        <f t="shared" ca="1" si="28"/>
        <v>0</v>
      </c>
      <c r="BS23" s="325">
        <f t="shared" ca="1" si="29"/>
        <v>0</v>
      </c>
      <c r="BT23" s="325">
        <f t="shared" ca="1" si="30"/>
        <v>0</v>
      </c>
      <c r="BU23" s="325">
        <f t="shared" ca="1" si="31"/>
        <v>0</v>
      </c>
      <c r="BV23" s="329">
        <f t="shared" ca="1" si="32"/>
        <v>31269.846437907072</v>
      </c>
      <c r="BW23" s="330"/>
      <c r="BX23" s="325">
        <f t="shared" ca="1" si="33"/>
        <v>-859.97314822175224</v>
      </c>
      <c r="BY23" s="325">
        <f t="shared" ca="1" si="34"/>
        <v>-859.97314822175224</v>
      </c>
      <c r="BZ23" s="325">
        <f t="shared" ca="1" si="35"/>
        <v>-652.96441930550407</v>
      </c>
      <c r="CA23" s="325">
        <f t="shared" ca="1" si="36"/>
        <v>-652.96441930550407</v>
      </c>
      <c r="CB23" s="325">
        <f t="shared" ca="1" si="37"/>
        <v>0</v>
      </c>
      <c r="CC23" s="325">
        <f t="shared" ca="1" si="38"/>
        <v>0</v>
      </c>
      <c r="CD23" s="325">
        <f t="shared" ca="1" si="39"/>
        <v>0</v>
      </c>
      <c r="CE23" s="325">
        <f t="shared" ca="1" si="40"/>
        <v>0</v>
      </c>
      <c r="CF23" s="325">
        <f t="shared" ca="1" si="41"/>
        <v>-672.17858878335596</v>
      </c>
      <c r="CG23" s="330"/>
      <c r="CH23" s="331">
        <f t="shared" ca="1" si="42"/>
        <v>18.732517458587818</v>
      </c>
      <c r="CI23" s="332">
        <f t="shared" ca="1" si="43"/>
        <v>18.732517458587818</v>
      </c>
      <c r="CJ23" s="332">
        <f t="shared" ca="1" si="44"/>
        <v>14.22331314619484</v>
      </c>
      <c r="CK23" s="332">
        <f t="shared" ca="1" si="45"/>
        <v>14.22331314619484</v>
      </c>
      <c r="CL23" s="332">
        <f t="shared" ca="1" si="46"/>
        <v>0</v>
      </c>
      <c r="CM23" s="332">
        <f t="shared" ca="1" si="47"/>
        <v>0</v>
      </c>
      <c r="CN23" s="332">
        <f t="shared" ca="1" si="48"/>
        <v>0</v>
      </c>
      <c r="CO23" s="332">
        <f t="shared" ca="1" si="49"/>
        <v>0</v>
      </c>
      <c r="CP23" s="333">
        <f t="shared" ca="1" si="50"/>
        <v>14.641849196931291</v>
      </c>
      <c r="CR23" s="334"/>
      <c r="CS23" s="335"/>
      <c r="CT23" s="335"/>
      <c r="CU23" s="336" t="s">
        <v>131</v>
      </c>
      <c r="CV23" s="337">
        <f ca="1">AE71</f>
        <v>4.0799587495451728E-5</v>
      </c>
      <c r="CW23" s="338"/>
      <c r="CX23" s="324">
        <f ca="1">BG18</f>
        <v>456036.09160085651</v>
      </c>
      <c r="CY23" s="325">
        <f ca="1">BE18</f>
        <v>7729425.2813704489</v>
      </c>
      <c r="CZ23" s="329">
        <f ca="1">BK18</f>
        <v>0</v>
      </c>
      <c r="DA23" s="338"/>
      <c r="DB23" s="342">
        <f ca="1"/>
        <v>523.53150187562358</v>
      </c>
      <c r="DC23" s="338"/>
      <c r="DD23" s="343">
        <f ca="1">-AE75*AE23/F69</f>
        <v>-1.7170822678694803E-3</v>
      </c>
      <c r="DE23" s="344">
        <f ca="1">-AE75*AF23/F69</f>
        <v>-2.5756234018042218E-3</v>
      </c>
      <c r="DF23" s="344">
        <f ca="1">-AE76*AE23/F70</f>
        <v>-2.6581515261244414E-4</v>
      </c>
      <c r="DG23" s="344">
        <f ca="1">-AE76*AF23/F70</f>
        <v>-3.9872272891866637E-4</v>
      </c>
      <c r="DH23" s="344">
        <f ca="1">-AE77*AE23/F69</f>
        <v>2.0703868790925154E-3</v>
      </c>
      <c r="DI23" s="345">
        <f ca="1">-AE77*AF23/F69</f>
        <v>3.1055803186387748E-3</v>
      </c>
      <c r="DJ23" s="338"/>
      <c r="DK23" s="338"/>
      <c r="DL23" s="338"/>
      <c r="DM23" s="346" t="s">
        <v>131</v>
      </c>
      <c r="DN23" s="347">
        <f ca="1">INDEX(DG16:DG115,MATCH(DJ22,A16:A50,0))</f>
        <v>-1.0632606104497774E-3</v>
      </c>
      <c r="DO23" s="338"/>
      <c r="DP23" s="338"/>
      <c r="DQ23" s="346" t="s">
        <v>132</v>
      </c>
      <c r="DR23" s="347">
        <f ca="1">INDEX(DF16:DF115,MATCH(DJ22,A16:A50,0))</f>
        <v>-9.3035303414355536E-4</v>
      </c>
      <c r="DS23" s="348"/>
      <c r="DT23" s="324">
        <f t="shared" ref="DT23:DT24" ca="1" si="117">CX23</f>
        <v>456036.09160085651</v>
      </c>
      <c r="DU23" s="325">
        <f t="shared" ca="1" si="102"/>
        <v>7729425.2813704489</v>
      </c>
      <c r="DV23" s="329">
        <f t="shared" ca="1" si="103"/>
        <v>0</v>
      </c>
      <c r="DW23" s="338"/>
      <c r="DX23" s="349">
        <f ca="1"/>
        <v>-11350.599388681221</v>
      </c>
      <c r="DY23" s="349"/>
      <c r="DZ23" s="349">
        <f ca="1"/>
        <v>-9931.7744650960685</v>
      </c>
      <c r="EB23" s="350">
        <f t="shared" ca="1" si="52"/>
        <v>2268.0369963811145</v>
      </c>
      <c r="EC23" s="351">
        <f t="shared" ca="1" si="53"/>
        <v>1802.4758241316983</v>
      </c>
      <c r="ED23" s="352">
        <f t="shared" ca="1" si="54"/>
        <v>-1007.8166055871841</v>
      </c>
      <c r="EE23" s="350">
        <f t="shared" ca="1" si="55"/>
        <v>-13392.241827050433</v>
      </c>
      <c r="EF23" s="351">
        <f t="shared" ca="1" si="56"/>
        <v>-8928.1612180336178</v>
      </c>
      <c r="EG23" s="351">
        <f t="shared" ca="1" si="57"/>
        <v>-10954.153535828431</v>
      </c>
      <c r="EH23" s="351">
        <f t="shared" ca="1" si="58"/>
        <v>-7302.7690238856167</v>
      </c>
      <c r="EI23" s="351">
        <f t="shared" ca="1" si="59"/>
        <v>11294.047158774236</v>
      </c>
      <c r="EJ23" s="352">
        <f t="shared" ca="1" si="60"/>
        <v>7529.3647725161527</v>
      </c>
      <c r="EK23" s="350">
        <f t="shared" ca="1" si="71"/>
        <v>-11124.204830669318</v>
      </c>
      <c r="EL23" s="351">
        <f t="shared" ca="1" si="72"/>
        <v>-6660.1242216525034</v>
      </c>
      <c r="EM23" s="351">
        <f t="shared" ca="1" si="73"/>
        <v>-9151.6777116967332</v>
      </c>
      <c r="EN23" s="351">
        <f t="shared" ca="1" si="74"/>
        <v>-5500.2931997539181</v>
      </c>
      <c r="EO23" s="351">
        <f t="shared" ca="1" si="75"/>
        <v>10286.230553187052</v>
      </c>
      <c r="EP23" s="352">
        <f t="shared" ca="1" si="76"/>
        <v>6521.5481669289684</v>
      </c>
      <c r="EQ23" s="323">
        <f t="shared" ca="1" si="77"/>
        <v>-11124.204830669318</v>
      </c>
      <c r="ER23" s="323">
        <f t="shared" ca="1" si="78"/>
        <v>-9151.6777116967332</v>
      </c>
      <c r="ES23" s="323">
        <f t="shared" ca="1" si="79"/>
        <v>10286.230553187052</v>
      </c>
      <c r="ET23" s="323">
        <f t="shared" ca="1" si="80"/>
        <v>86297.454109999991</v>
      </c>
      <c r="EU23" s="323">
        <f t="shared" ca="1" si="81"/>
        <v>52068.547941999997</v>
      </c>
      <c r="EV23" s="323">
        <f t="shared" ca="1" si="82"/>
        <v>70488.34066799999</v>
      </c>
      <c r="EW23" s="323">
        <f t="shared" ca="1" si="83"/>
        <v>48297.566753999999</v>
      </c>
      <c r="EX23" s="323">
        <f t="shared" ca="1" si="84"/>
        <v>11167.905825999998</v>
      </c>
      <c r="EY23" s="353">
        <f t="shared" ca="1" si="85"/>
        <v>2.2254946258207747E-10</v>
      </c>
      <c r="EZ23" s="353">
        <f t="shared" ca="1" si="86"/>
        <v>2.9373619270409085E-10</v>
      </c>
      <c r="FA23" s="321">
        <f t="shared" ca="1" si="87"/>
        <v>8.0178239087273853E-9</v>
      </c>
      <c r="FB23" s="354">
        <f t="shared" ca="1" si="88"/>
        <v>-1.1127473129103873E-10</v>
      </c>
      <c r="FC23" s="321">
        <f t="shared" ca="1" si="89"/>
        <v>-7.6176246724607548E-6</v>
      </c>
      <c r="FD23" s="321">
        <f t="shared" ca="1" si="90"/>
        <v>-6.5182334426556133E-6</v>
      </c>
      <c r="FE23" s="355">
        <f t="shared" ca="1" si="91"/>
        <v>0.87782290297761423</v>
      </c>
      <c r="FF23" s="338">
        <f t="shared" ca="1" si="92"/>
        <v>0.14439278889640136</v>
      </c>
      <c r="FG23" s="335">
        <f t="shared" ca="1" si="93"/>
        <v>-1.2783860120010795E-10</v>
      </c>
      <c r="FH23" s="356">
        <f t="shared" ca="1" si="94"/>
        <v>0.87445032887337293</v>
      </c>
      <c r="FI23" s="335">
        <f t="shared" ca="1" si="95"/>
        <v>0.14439278889640136</v>
      </c>
      <c r="FJ23" s="357">
        <f t="shared" ca="1" si="61"/>
        <v>5.8609244707396035E-2</v>
      </c>
      <c r="FK23" s="357">
        <f t="shared" ca="1" si="62"/>
        <v>6.0352643504010484E-2</v>
      </c>
      <c r="FL23" s="357">
        <f t="shared" ca="1" si="63"/>
        <v>-7.3904043218292248E-2</v>
      </c>
      <c r="FM23" s="357">
        <f t="shared" ca="1" si="64"/>
        <v>-7.182949436670838E-2</v>
      </c>
      <c r="FN23" s="357">
        <f t="shared" ca="1" si="65"/>
        <v>3.6806534700302844</v>
      </c>
      <c r="FO23" s="357">
        <f t="shared" ca="1" si="96"/>
        <v>4.2774549405592612</v>
      </c>
      <c r="FP23" s="357">
        <f t="shared" ca="1" si="97"/>
        <v>8.5714127080281255E-2</v>
      </c>
      <c r="FR23" s="358"/>
      <c r="FS23" s="326">
        <v>0</v>
      </c>
      <c r="FT23" s="359">
        <f>FT22</f>
        <v>6.8787401574803134E-2</v>
      </c>
      <c r="FU23" s="326">
        <v>0</v>
      </c>
      <c r="FV23" s="359">
        <f t="shared" si="108"/>
        <v>6.8787401574803134E-2</v>
      </c>
      <c r="FW23" s="359">
        <v>0</v>
      </c>
      <c r="FX23" s="360">
        <f t="shared" si="109"/>
        <v>6.8787401574803134E-2</v>
      </c>
      <c r="FY23" s="358"/>
      <c r="FZ23" s="326">
        <v>0</v>
      </c>
      <c r="GA23" s="359">
        <f>GA22</f>
        <v>6.8787401574803134E-2</v>
      </c>
      <c r="GB23" s="326">
        <v>0</v>
      </c>
      <c r="GC23" s="362">
        <f t="shared" si="105"/>
        <v>6.8787401574803134E-2</v>
      </c>
      <c r="GD23" s="326">
        <v>0</v>
      </c>
      <c r="GE23" s="363">
        <f t="shared" si="110"/>
        <v>6.8787401574803134E-2</v>
      </c>
      <c r="GF23" s="364"/>
      <c r="GG23" s="365">
        <v>0</v>
      </c>
      <c r="GH23" s="320">
        <f>GH22</f>
        <v>6.8787401574803134E-2</v>
      </c>
      <c r="GI23" s="366">
        <v>0</v>
      </c>
      <c r="GJ23" s="366">
        <f t="shared" si="106"/>
        <v>6.8787401574803134E-2</v>
      </c>
      <c r="GK23" s="366">
        <v>0</v>
      </c>
      <c r="GL23" s="366">
        <f t="shared" si="107"/>
        <v>6.8787401574803134E-2</v>
      </c>
      <c r="GN23" s="359">
        <f t="shared" si="69"/>
        <v>6.8787401574803134E-2</v>
      </c>
      <c r="GO23" s="367"/>
      <c r="GP23" s="367"/>
      <c r="GQ23" s="367"/>
      <c r="GR23" s="367"/>
      <c r="GS23" s="367"/>
      <c r="GT23" s="367"/>
      <c r="GU23" s="367"/>
      <c r="HH23" s="321">
        <f ca="1">IF(D22="","",INDEX(INDIRECT(AE60),MATCH(HH15,Matl!B3:B29,0),MATCH(D22,Matl!D2:K2,0)))</f>
        <v>3000</v>
      </c>
      <c r="HI23" s="314">
        <f ca="1">IF(D22="","",INDEX(INDIRECT(AE60),MATCH(HI15,Matl!B3:B29,0),MATCH(D22,Matl!D2:K2,0)))</f>
        <v>4500</v>
      </c>
      <c r="HO23" s="338"/>
      <c r="HP23" s="338"/>
      <c r="HQ23" s="346"/>
      <c r="HR23" s="338"/>
      <c r="HS23" s="338" t="s">
        <v>41</v>
      </c>
      <c r="HT23" s="338"/>
      <c r="HU23" s="338"/>
      <c r="HY23" s="338"/>
      <c r="HZ23" s="338"/>
      <c r="IA23" s="338"/>
      <c r="IB23" s="338"/>
      <c r="IC23" s="338"/>
      <c r="ID23" s="338"/>
      <c r="IE23" s="338"/>
      <c r="IF23" s="338"/>
      <c r="IG23" s="338"/>
      <c r="IH23" s="338"/>
      <c r="II23" s="338"/>
      <c r="IJ23" s="338"/>
      <c r="IK23" s="338"/>
      <c r="IL23" s="338"/>
      <c r="IM23" s="338"/>
      <c r="IN23" s="338"/>
      <c r="IO23" s="338"/>
      <c r="IP23" s="338"/>
    </row>
    <row r="24" spans="1:250" s="314" customFormat="1" ht="12" x14ac:dyDescent="0.25">
      <c r="A24" s="310">
        <v>9</v>
      </c>
      <c r="B24" s="311">
        <v>0</v>
      </c>
      <c r="C24" s="311"/>
      <c r="D24" s="380" t="s">
        <v>109</v>
      </c>
      <c r="E24" s="380"/>
      <c r="F24" s="312">
        <f>IF(C24="",INDEX(Matl!$C$15:$K$15,MATCH(D24,Matl!$C$2:$K$2,0)),C24)</f>
        <v>8.5984251968503952E-3</v>
      </c>
      <c r="G24" s="313"/>
      <c r="H24" s="313"/>
      <c r="I24" s="313"/>
      <c r="J24" s="313"/>
      <c r="K24" s="313"/>
      <c r="M24" s="315"/>
      <c r="N24" s="315"/>
      <c r="O24" s="315"/>
      <c r="P24" s="316"/>
      <c r="Q24" s="316"/>
      <c r="R24" s="316"/>
      <c r="S24" s="316"/>
      <c r="T24" s="315"/>
      <c r="U24" s="317"/>
      <c r="V24" s="317"/>
      <c r="W24" s="317">
        <f t="shared" si="3"/>
        <v>0</v>
      </c>
      <c r="X24" s="317"/>
      <c r="Y24" s="317"/>
      <c r="Z24" s="318">
        <f t="shared" si="4"/>
        <v>1</v>
      </c>
      <c r="AA24" s="319">
        <f t="shared" si="5"/>
        <v>1</v>
      </c>
      <c r="AB24" s="314">
        <f t="shared" si="6"/>
        <v>8.5984251968503952E-3</v>
      </c>
      <c r="AC24" s="320">
        <f t="shared" si="7"/>
        <v>0</v>
      </c>
      <c r="AD24" s="320">
        <f>IF(D24="",0,SUM(F15:F24))</f>
        <v>7.7385826771653551E-2</v>
      </c>
      <c r="AE24" s="320">
        <f>IF(D24="",0,SUM(F16:F50)/2-AD24)</f>
        <v>8.5984251968503761E-3</v>
      </c>
      <c r="AF24" s="320">
        <f t="shared" si="8"/>
        <v>1.7196850393700773E-2</v>
      </c>
      <c r="AG24" s="320">
        <f>IF(D24="",0,(AD24+AD23)/2-SUM(F16:F50)/2)</f>
        <v>-1.2897637795275571E-2</v>
      </c>
      <c r="AH24" s="321">
        <f ca="1">IF(D24="",0,INDEX(INDIRECT($AE$60),MATCH(AH$14,Matl!$B$3:$B$17,0),MATCH(D24,Matl!$D$2:$K$2,0)))</f>
        <v>7702519.151965999</v>
      </c>
      <c r="AI24" s="321">
        <f ca="1">IF(D24="",0,INDEX(INDIRECT($AE$60),MATCH(AI$14,Matl!$B$3:$B$17,0),MATCH(D24,Matl!$D$2:$K$2,0)))</f>
        <v>7702519.151965999</v>
      </c>
      <c r="AJ24" s="321">
        <f ca="1">IF(D24="",0,INDEX(INDIRECT(AE60),MATCH(AJ14,Matl!B3:B15,0),MATCH(D24,Matl!D2:K2,0)))</f>
        <v>5.8999999999999997E-2</v>
      </c>
      <c r="AK24" s="322">
        <f t="shared" ca="1" si="9"/>
        <v>5.8999999999999997E-2</v>
      </c>
      <c r="AL24" s="321">
        <f ca="1">IF(D24="",0,INDEX(INDIRECT(AE60),MATCH(AL14,Matl!B3:B15,0),MATCH(D24,Matl!D2:K2,0)))</f>
        <v>559990.70641799993</v>
      </c>
      <c r="AM24" s="323">
        <f ca="1">IF(D24="",0,INDEX(INDIRECT(AE60),MATCH(AM14,Matl!B3:B15,0),MATCH(D24,Matl!D2:K2,0)))</f>
        <v>86297.454109999991</v>
      </c>
      <c r="AN24" s="323">
        <f ca="1">IF(D24="",0,INDEX(INDIRECT(AE60),MATCH(AN14,Matl!B3:B15,0),MATCH(D24,Matl!D2:K2,0)))</f>
        <v>70488.34066799999</v>
      </c>
      <c r="AO24" s="323">
        <f ca="1">IF(D24="",0,INDEX(INDIRECT(AE60),MATCH(AO14,Matl!B3:B15,0),MATCH(D24,Matl!D2:K2,0)))</f>
        <v>52068.547941999997</v>
      </c>
      <c r="AP24" s="323">
        <f ca="1">IF(D24="",0,INDEX(INDIRECT(AE60),MATCH(AP14,Matl!B3:B15,0),MATCH(D24,Matl!D2:K2,0)))</f>
        <v>48297.566753999999</v>
      </c>
      <c r="AQ24" s="323">
        <f ca="1">IF(D24="",0,INDEX(INDIRECT(AE60),MATCH(AQ14,Matl!B3:B15,0),MATCH(D24,Matl!D2:K2,0)))</f>
        <v>11167.905825999998</v>
      </c>
      <c r="AR24" s="321"/>
      <c r="AS24" s="321"/>
      <c r="AT24" s="324">
        <f t="shared" ca="1" si="10"/>
        <v>7729425.2813704489</v>
      </c>
      <c r="AU24" s="325">
        <f t="shared" ca="1" si="11"/>
        <v>7729425.2813704489</v>
      </c>
      <c r="AV24" s="325">
        <f t="shared" ca="1" si="12"/>
        <v>456036.09160085651</v>
      </c>
      <c r="AW24" s="325">
        <f t="shared" ca="1" si="13"/>
        <v>456036.09160085651</v>
      </c>
      <c r="AX24" s="326">
        <v>0</v>
      </c>
      <c r="AY24" s="326">
        <v>0</v>
      </c>
      <c r="AZ24" s="326">
        <v>0</v>
      </c>
      <c r="BA24" s="326">
        <v>0</v>
      </c>
      <c r="BB24" s="327">
        <f t="shared" ca="1" si="14"/>
        <v>559990.70641799993</v>
      </c>
      <c r="BC24" s="328"/>
      <c r="BD24" s="324">
        <f t="shared" ca="1" si="15"/>
        <v>7729425.2813704489</v>
      </c>
      <c r="BE24" s="325">
        <f t="shared" ca="1" si="16"/>
        <v>7729425.2813704489</v>
      </c>
      <c r="BF24" s="325">
        <f t="shared" ca="1" si="17"/>
        <v>456036.09160085651</v>
      </c>
      <c r="BG24" s="325">
        <f t="shared" ca="1" si="18"/>
        <v>456036.09160085651</v>
      </c>
      <c r="BH24" s="325">
        <f t="shared" ca="1" si="19"/>
        <v>0</v>
      </c>
      <c r="BI24" s="325">
        <f t="shared" ca="1" si="20"/>
        <v>0</v>
      </c>
      <c r="BJ24" s="325">
        <f t="shared" ca="1" si="21"/>
        <v>0</v>
      </c>
      <c r="BK24" s="325">
        <f t="shared" ca="1" si="22"/>
        <v>0</v>
      </c>
      <c r="BL24" s="329">
        <f t="shared" ca="1" si="23"/>
        <v>559990.70641799993</v>
      </c>
      <c r="BM24" s="330"/>
      <c r="BN24" s="324">
        <f t="shared" ca="1" si="24"/>
        <v>66460.885096508122</v>
      </c>
      <c r="BO24" s="325">
        <f t="shared" ca="1" si="25"/>
        <v>66460.885096508122</v>
      </c>
      <c r="BP24" s="325">
        <f t="shared" ca="1" si="26"/>
        <v>3921.1922206939794</v>
      </c>
      <c r="BQ24" s="325">
        <f t="shared" ca="1" si="27"/>
        <v>3921.1922206939794</v>
      </c>
      <c r="BR24" s="325">
        <f t="shared" ca="1" si="28"/>
        <v>0</v>
      </c>
      <c r="BS24" s="325">
        <f t="shared" ca="1" si="29"/>
        <v>0</v>
      </c>
      <c r="BT24" s="325">
        <f t="shared" ca="1" si="30"/>
        <v>0</v>
      </c>
      <c r="BU24" s="325">
        <f t="shared" ca="1" si="31"/>
        <v>0</v>
      </c>
      <c r="BV24" s="329">
        <f t="shared" ca="1" si="32"/>
        <v>4815.0382000665832</v>
      </c>
      <c r="BW24" s="330"/>
      <c r="BX24" s="325">
        <f t="shared" ca="1" si="33"/>
        <v>-857.18842352819013</v>
      </c>
      <c r="BY24" s="325">
        <f t="shared" ca="1" si="34"/>
        <v>-857.18842352819013</v>
      </c>
      <c r="BZ24" s="325">
        <f t="shared" ca="1" si="35"/>
        <v>-50.574116988163219</v>
      </c>
      <c r="CA24" s="325">
        <f t="shared" ca="1" si="36"/>
        <v>-50.574116988163219</v>
      </c>
      <c r="CB24" s="325">
        <f t="shared" ca="1" si="37"/>
        <v>0</v>
      </c>
      <c r="CC24" s="325">
        <f t="shared" ca="1" si="38"/>
        <v>0</v>
      </c>
      <c r="CD24" s="325">
        <f t="shared" ca="1" si="39"/>
        <v>0</v>
      </c>
      <c r="CE24" s="325">
        <f t="shared" ca="1" si="40"/>
        <v>0</v>
      </c>
      <c r="CF24" s="325">
        <f t="shared" ca="1" si="41"/>
        <v>-62.102618674874414</v>
      </c>
      <c r="CG24" s="330"/>
      <c r="CH24" s="331">
        <f t="shared" ca="1" si="42"/>
        <v>11.465176394487271</v>
      </c>
      <c r="CI24" s="332">
        <f t="shared" ca="1" si="43"/>
        <v>11.465176394487271</v>
      </c>
      <c r="CJ24" s="332">
        <f t="shared" ca="1" si="44"/>
        <v>0.676445407274749</v>
      </c>
      <c r="CK24" s="332">
        <f t="shared" ca="1" si="45"/>
        <v>0.676445407274749</v>
      </c>
      <c r="CL24" s="332">
        <f t="shared" ca="1" si="46"/>
        <v>0</v>
      </c>
      <c r="CM24" s="332">
        <f t="shared" ca="1" si="47"/>
        <v>0</v>
      </c>
      <c r="CN24" s="332">
        <f t="shared" ca="1" si="48"/>
        <v>0</v>
      </c>
      <c r="CO24" s="332">
        <f t="shared" ca="1" si="49"/>
        <v>0</v>
      </c>
      <c r="CP24" s="333">
        <f t="shared" ca="1" si="50"/>
        <v>0.83064289965133742</v>
      </c>
      <c r="CR24" s="334"/>
      <c r="CS24" s="335"/>
      <c r="CT24" s="335"/>
      <c r="CU24" s="336" t="s">
        <v>133</v>
      </c>
      <c r="CV24" s="337">
        <f ca="1">AE72</f>
        <v>-2.771243444540907E-4</v>
      </c>
      <c r="CW24" s="338"/>
      <c r="CX24" s="369">
        <f ca="1">BI18</f>
        <v>0</v>
      </c>
      <c r="CY24" s="370">
        <f ca="1">BJ18</f>
        <v>0</v>
      </c>
      <c r="CZ24" s="371">
        <f ca="1">BL18</f>
        <v>559990.70641799993</v>
      </c>
      <c r="DA24" s="338"/>
      <c r="DB24" s="342">
        <f ca="1"/>
        <v>-155.18705741647139</v>
      </c>
      <c r="DC24" s="338"/>
      <c r="DD24" s="343">
        <f ca="1">-AE75*AE24/F69</f>
        <v>-8.5854113393473948E-4</v>
      </c>
      <c r="DE24" s="344">
        <f ca="1">-AE75*AF24/F69</f>
        <v>-1.7170822678694809E-3</v>
      </c>
      <c r="DF24" s="344">
        <f ca="1">-AE76*AE24/F70</f>
        <v>-1.3290757630622196E-4</v>
      </c>
      <c r="DG24" s="344">
        <f ca="1">-AE76*AF24/F70</f>
        <v>-2.6581515261244425E-4</v>
      </c>
      <c r="DH24" s="344">
        <f ca="1">-AE77*AE24/F69</f>
        <v>1.0351934395462568E-3</v>
      </c>
      <c r="DI24" s="345">
        <f ca="1">-AE77*AF24/F69</f>
        <v>2.0703868790925162E-3</v>
      </c>
      <c r="DJ24" s="338"/>
      <c r="DK24" s="338"/>
      <c r="DL24" s="338"/>
      <c r="DM24" s="346" t="s">
        <v>133</v>
      </c>
      <c r="DN24" s="347">
        <f ca="1">INDEX(DI16:DI115,MATCH(DJ22,A16:A50,0))</f>
        <v>8.2815475163700702E-3</v>
      </c>
      <c r="DO24" s="338"/>
      <c r="DP24" s="338"/>
      <c r="DQ24" s="346" t="s">
        <v>134</v>
      </c>
      <c r="DR24" s="347">
        <f ca="1">INDEX(DH16:DH115,MATCH(DJ22,A16:A50,0))</f>
        <v>7.2463540768238112E-3</v>
      </c>
      <c r="DS24" s="348"/>
      <c r="DT24" s="369">
        <f t="shared" ca="1" si="117"/>
        <v>0</v>
      </c>
      <c r="DU24" s="370">
        <f t="shared" ca="1" si="102"/>
        <v>0</v>
      </c>
      <c r="DV24" s="371">
        <f t="shared" ca="1" si="103"/>
        <v>559990.70641799993</v>
      </c>
      <c r="DW24" s="338"/>
      <c r="DX24" s="349">
        <f ca="1"/>
        <v>4637.5896439263088</v>
      </c>
      <c r="DY24" s="349"/>
      <c r="DZ24" s="349">
        <f ca="1"/>
        <v>4057.8909384355197</v>
      </c>
      <c r="EB24" s="350">
        <f t="shared" ca="1" si="52"/>
        <v>3546.9813186371889</v>
      </c>
      <c r="EC24" s="351">
        <f t="shared" ca="1" si="53"/>
        <v>523.53150187562358</v>
      </c>
      <c r="ED24" s="352">
        <f t="shared" ca="1" si="54"/>
        <v>-155.18705741647139</v>
      </c>
      <c r="EE24" s="350">
        <f t="shared" ca="1" si="55"/>
        <v>-13393.280394748934</v>
      </c>
      <c r="EF24" s="351">
        <f t="shared" ca="1" si="56"/>
        <v>-6696.6401973744596</v>
      </c>
      <c r="EG24" s="351">
        <f t="shared" ca="1" si="57"/>
        <v>-2837.6498471703039</v>
      </c>
      <c r="EH24" s="351">
        <f t="shared" ca="1" si="58"/>
        <v>-1418.8249235851501</v>
      </c>
      <c r="EI24" s="351">
        <f t="shared" ca="1" si="59"/>
        <v>1159.3974109815763</v>
      </c>
      <c r="EJ24" s="352">
        <f t="shared" ca="1" si="60"/>
        <v>579.69870549078746</v>
      </c>
      <c r="EK24" s="350">
        <f t="shared" ca="1" si="71"/>
        <v>-9846.2990761117453</v>
      </c>
      <c r="EL24" s="351">
        <f t="shared" ca="1" si="72"/>
        <v>-3149.6588787372707</v>
      </c>
      <c r="EM24" s="351">
        <f t="shared" ca="1" si="73"/>
        <v>-2314.1183452946802</v>
      </c>
      <c r="EN24" s="351">
        <f t="shared" ca="1" si="74"/>
        <v>-895.29342170952657</v>
      </c>
      <c r="EO24" s="351">
        <f t="shared" ca="1" si="75"/>
        <v>1004.2103535651049</v>
      </c>
      <c r="EP24" s="352">
        <f t="shared" ca="1" si="76"/>
        <v>424.5116480743161</v>
      </c>
      <c r="EQ24" s="323">
        <f t="shared" ca="1" si="77"/>
        <v>-9846.2990761117453</v>
      </c>
      <c r="ER24" s="323">
        <f t="shared" ca="1" si="78"/>
        <v>-2314.1183452946802</v>
      </c>
      <c r="ES24" s="323">
        <f t="shared" ca="1" si="79"/>
        <v>1004.2103535651049</v>
      </c>
      <c r="ET24" s="323">
        <f t="shared" ca="1" si="80"/>
        <v>86297.454109999991</v>
      </c>
      <c r="EU24" s="323">
        <f t="shared" ca="1" si="81"/>
        <v>52068.547941999997</v>
      </c>
      <c r="EV24" s="323">
        <f t="shared" ca="1" si="82"/>
        <v>70488.34066799999</v>
      </c>
      <c r="EW24" s="323">
        <f t="shared" ca="1" si="83"/>
        <v>48297.566753999999</v>
      </c>
      <c r="EX24" s="323">
        <f t="shared" ca="1" si="84"/>
        <v>11167.905825999998</v>
      </c>
      <c r="EY24" s="353">
        <f t="shared" ca="1" si="85"/>
        <v>2.2254946258207747E-10</v>
      </c>
      <c r="EZ24" s="353">
        <f t="shared" ca="1" si="86"/>
        <v>2.9373619270409085E-10</v>
      </c>
      <c r="FA24" s="321">
        <f t="shared" ca="1" si="87"/>
        <v>8.0178239087273853E-9</v>
      </c>
      <c r="FB24" s="354">
        <f t="shared" ca="1" si="88"/>
        <v>-1.1127473129103873E-10</v>
      </c>
      <c r="FC24" s="321">
        <f t="shared" ca="1" si="89"/>
        <v>-7.6176246724607548E-6</v>
      </c>
      <c r="FD24" s="321">
        <f t="shared" ca="1" si="90"/>
        <v>-6.5182334426556133E-6</v>
      </c>
      <c r="FE24" s="355">
        <f t="shared" ca="1" si="91"/>
        <v>2.6163662840923335E-2</v>
      </c>
      <c r="FF24" s="338">
        <f t="shared" ca="1" si="92"/>
        <v>9.0089374363179014E-2</v>
      </c>
      <c r="FG24" s="335">
        <f t="shared" ca="1" si="93"/>
        <v>-1.2783860120010795E-10</v>
      </c>
      <c r="FH24" s="356">
        <f t="shared" ca="1" si="94"/>
        <v>2.5408830681393338E-2</v>
      </c>
      <c r="FI24" s="335">
        <f t="shared" ca="1" si="95"/>
        <v>9.0089374363179014E-2</v>
      </c>
      <c r="FJ24" s="357">
        <f t="shared" ca="1" si="61"/>
        <v>4.14776417444416</v>
      </c>
      <c r="FK24" s="357">
        <f t="shared" ca="1" si="62"/>
        <v>4.1931136536222287</v>
      </c>
      <c r="FL24" s="357">
        <f t="shared" ca="1" si="63"/>
        <v>5.3274669427897434</v>
      </c>
      <c r="FM24" s="357">
        <f t="shared" ca="1" si="64"/>
        <v>5.4290519413967147</v>
      </c>
      <c r="FN24" s="357">
        <f t="shared" ca="1" si="65"/>
        <v>4.2881339008200845</v>
      </c>
      <c r="FO24" s="357">
        <f t="shared" ca="1" si="96"/>
        <v>19.870828344714486</v>
      </c>
      <c r="FP24" s="357">
        <f t="shared" ca="1" si="97"/>
        <v>10.121082138171722</v>
      </c>
      <c r="FR24" s="358">
        <f>FR20+1</f>
        <v>3</v>
      </c>
      <c r="FS24" s="326">
        <v>0</v>
      </c>
      <c r="FT24" s="359">
        <f>INDEX(AF16:AF115,MATCH(GF24,A16:A115,0))</f>
        <v>6.8787401574803134E-2</v>
      </c>
      <c r="FU24" s="326">
        <v>0</v>
      </c>
      <c r="FV24" s="359">
        <f>FT24</f>
        <v>6.8787401574803134E-2</v>
      </c>
      <c r="FW24" s="359">
        <v>0</v>
      </c>
      <c r="FX24" s="360">
        <f>FV24</f>
        <v>6.8787401574803134E-2</v>
      </c>
      <c r="FY24" s="358">
        <f>FY20+1</f>
        <v>3</v>
      </c>
      <c r="FZ24" s="326">
        <v>0</v>
      </c>
      <c r="GA24" s="359">
        <f>FT24</f>
        <v>6.8787401574803134E-2</v>
      </c>
      <c r="GB24" s="361">
        <v>0</v>
      </c>
      <c r="GC24" s="362">
        <f t="shared" si="105"/>
        <v>6.8787401574803134E-2</v>
      </c>
      <c r="GD24" s="326">
        <v>0</v>
      </c>
      <c r="GE24" s="363">
        <f>GC24</f>
        <v>6.8787401574803134E-2</v>
      </c>
      <c r="GF24" s="364">
        <f>GF20+1</f>
        <v>3</v>
      </c>
      <c r="GG24" s="365">
        <v>0</v>
      </c>
      <c r="GH24" s="320">
        <f>FT24</f>
        <v>6.8787401574803134E-2</v>
      </c>
      <c r="GI24" s="366">
        <v>0</v>
      </c>
      <c r="GJ24" s="366">
        <f t="shared" si="106"/>
        <v>6.8787401574803134E-2</v>
      </c>
      <c r="GK24" s="366">
        <v>0</v>
      </c>
      <c r="GL24" s="366">
        <f t="shared" si="107"/>
        <v>6.8787401574803134E-2</v>
      </c>
      <c r="GM24" s="372">
        <f>GM20+1</f>
        <v>3</v>
      </c>
      <c r="GN24" s="359">
        <f t="shared" si="69"/>
        <v>6.8787401574803134E-2</v>
      </c>
      <c r="GO24" s="367"/>
      <c r="GP24" s="367"/>
      <c r="GQ24" s="367"/>
      <c r="GR24" s="367"/>
      <c r="GS24" s="367"/>
      <c r="GT24" s="367"/>
      <c r="GU24" s="367"/>
      <c r="HH24" s="321">
        <f ca="1">IF(D23="","",INDEX(INDIRECT(AE60),MATCH(HH15,Matl!B3:B29,0),MATCH(D23,Matl!D2:K2,0)))</f>
        <v>3000</v>
      </c>
      <c r="HI24" s="314">
        <f ca="1">IF(D23="","",INDEX(INDIRECT(AE60),MATCH(HI15,Matl!B3:B29,0),MATCH(D23,Matl!D2:K2,0)))</f>
        <v>4500</v>
      </c>
      <c r="HO24" s="338"/>
      <c r="HP24" s="338"/>
      <c r="HQ24" s="346"/>
      <c r="HR24" s="338"/>
      <c r="HS24" s="338"/>
      <c r="HT24" s="365"/>
      <c r="HU24" s="365"/>
      <c r="HY24" s="373"/>
      <c r="HZ24" s="338"/>
      <c r="IA24" s="338"/>
      <c r="IB24" s="338"/>
      <c r="IC24" s="338"/>
      <c r="ID24" s="338" t="s">
        <v>7</v>
      </c>
      <c r="IE24" s="338" t="s">
        <v>8</v>
      </c>
      <c r="IF24" s="338"/>
      <c r="IG24" s="338"/>
      <c r="IH24" s="338"/>
      <c r="II24" s="338"/>
      <c r="IJ24" s="338"/>
      <c r="IK24" s="338"/>
      <c r="IL24" s="338"/>
      <c r="IM24" s="338"/>
      <c r="IN24" s="338"/>
      <c r="IO24" s="338"/>
      <c r="IP24" s="338"/>
    </row>
    <row r="25" spans="1:250" s="314" customFormat="1" ht="12" x14ac:dyDescent="0.25">
      <c r="A25" s="310">
        <v>10</v>
      </c>
      <c r="B25" s="311">
        <v>45</v>
      </c>
      <c r="C25" s="311"/>
      <c r="D25" s="380" t="s">
        <v>109</v>
      </c>
      <c r="E25" s="380"/>
      <c r="F25" s="312">
        <f>IF(C25="",INDEX(Matl!$C$15:$K$15,MATCH(D25,Matl!$C$2:$K$2,0)),C25)</f>
        <v>8.5984251968503952E-3</v>
      </c>
      <c r="G25" s="313"/>
      <c r="H25" s="313"/>
      <c r="I25" s="313"/>
      <c r="J25" s="313"/>
      <c r="K25" s="313"/>
      <c r="M25" s="315"/>
      <c r="N25" s="315"/>
      <c r="O25" s="315"/>
      <c r="P25" s="316"/>
      <c r="Q25" s="316"/>
      <c r="R25" s="316"/>
      <c r="S25" s="316"/>
      <c r="T25" s="315"/>
      <c r="U25" s="317"/>
      <c r="V25" s="317"/>
      <c r="W25" s="317">
        <f t="shared" si="3"/>
        <v>8.5984251968503952E-3</v>
      </c>
      <c r="X25" s="317"/>
      <c r="Y25" s="317"/>
      <c r="Z25" s="318">
        <f t="shared" si="4"/>
        <v>0</v>
      </c>
      <c r="AA25" s="319">
        <f t="shared" si="5"/>
        <v>1</v>
      </c>
      <c r="AB25" s="314">
        <f t="shared" si="6"/>
        <v>0</v>
      </c>
      <c r="AC25" s="320">
        <f t="shared" si="7"/>
        <v>0.78539816339744828</v>
      </c>
      <c r="AD25" s="320">
        <f>IF(D25="",0,SUM(F15:F25))</f>
        <v>8.5984251968503941E-2</v>
      </c>
      <c r="AE25" s="320">
        <f>IF(D25="",0,SUM(F16:F50)/2-AD25)</f>
        <v>-1.3877787807814457E-17</v>
      </c>
      <c r="AF25" s="320">
        <f t="shared" si="8"/>
        <v>8.5984251968503813E-3</v>
      </c>
      <c r="AG25" s="320">
        <f>IF(D25="",0,(AD25+AD24)/2-SUM(F16:F50)/2)</f>
        <v>-4.2992125984251811E-3</v>
      </c>
      <c r="AH25" s="321">
        <f ca="1">IF(D25="",0,INDEX(INDIRECT($AE$60),MATCH(AH$14,Matl!$B$3:$B$17,0),MATCH(D25,Matl!$D$2:$K$2,0)))</f>
        <v>7702519.151965999</v>
      </c>
      <c r="AI25" s="321">
        <f ca="1">IF(D25="",0,INDEX(INDIRECT($AE$60),MATCH(AI$14,Matl!$B$3:$B$17,0),MATCH(D25,Matl!$D$2:$K$2,0)))</f>
        <v>7702519.151965999</v>
      </c>
      <c r="AJ25" s="321">
        <f ca="1">IF(D25="",0,INDEX(INDIRECT(AE60),MATCH(AJ14,Matl!B3:B15,0),MATCH(D25,Matl!D2:K2,0)))</f>
        <v>5.8999999999999997E-2</v>
      </c>
      <c r="AK25" s="322">
        <f t="shared" ca="1" si="9"/>
        <v>5.8999999999999997E-2</v>
      </c>
      <c r="AL25" s="321">
        <f ca="1">IF(D25="",0,INDEX(INDIRECT(AE60),MATCH(AL14,Matl!B3:B15,0),MATCH(D25,Matl!D2:K2,0)))</f>
        <v>559990.70641799993</v>
      </c>
      <c r="AM25" s="323">
        <f ca="1">IF(D25="",0,INDEX(INDIRECT(AE60),MATCH(AM14,Matl!B3:B15,0),MATCH(D25,Matl!D2:K2,0)))</f>
        <v>86297.454109999991</v>
      </c>
      <c r="AN25" s="323">
        <f ca="1">IF(D25="",0,INDEX(INDIRECT(AE60),MATCH(AN14,Matl!B3:B15,0),MATCH(D25,Matl!D2:K2,0)))</f>
        <v>70488.34066799999</v>
      </c>
      <c r="AO25" s="323">
        <f ca="1">IF(D25="",0,INDEX(INDIRECT(AE60),MATCH(AO14,Matl!B3:B15,0),MATCH(D25,Matl!D2:K2,0)))</f>
        <v>52068.547941999997</v>
      </c>
      <c r="AP25" s="323">
        <f ca="1">IF(D25="",0,INDEX(INDIRECT(AE60),MATCH(AP14,Matl!B3:B15,0),MATCH(D25,Matl!D2:K2,0)))</f>
        <v>48297.566753999999</v>
      </c>
      <c r="AQ25" s="323">
        <f ca="1">IF(D25="",0,INDEX(INDIRECT(AE60),MATCH(AQ14,Matl!B3:B15,0),MATCH(D25,Matl!D2:K2,0)))</f>
        <v>11167.905825999998</v>
      </c>
      <c r="AR25" s="321"/>
      <c r="AS25" s="321"/>
      <c r="AT25" s="324">
        <f t="shared" ca="1" si="10"/>
        <v>7729425.2813704489</v>
      </c>
      <c r="AU25" s="325">
        <f t="shared" ca="1" si="11"/>
        <v>7729425.2813704489</v>
      </c>
      <c r="AV25" s="325">
        <f t="shared" ca="1" si="12"/>
        <v>456036.09160085651</v>
      </c>
      <c r="AW25" s="325">
        <f t="shared" ca="1" si="13"/>
        <v>456036.09160085651</v>
      </c>
      <c r="AX25" s="326">
        <v>0</v>
      </c>
      <c r="AY25" s="326">
        <v>0</v>
      </c>
      <c r="AZ25" s="326">
        <v>0</v>
      </c>
      <c r="BA25" s="326">
        <v>0</v>
      </c>
      <c r="BB25" s="327">
        <f t="shared" ca="1" si="14"/>
        <v>559990.70641799993</v>
      </c>
      <c r="BC25" s="328"/>
      <c r="BD25" s="324">
        <f t="shared" ca="1" si="15"/>
        <v>4652721.392903653</v>
      </c>
      <c r="BE25" s="325">
        <f t="shared" ca="1" si="16"/>
        <v>4652721.392903653</v>
      </c>
      <c r="BF25" s="325">
        <f t="shared" ca="1" si="17"/>
        <v>3532739.9800676531</v>
      </c>
      <c r="BG25" s="325">
        <f t="shared" ca="1" si="18"/>
        <v>3532739.9800676531</v>
      </c>
      <c r="BH25" s="325">
        <f t="shared" ca="1" si="19"/>
        <v>0</v>
      </c>
      <c r="BI25" s="325">
        <f t="shared" ca="1" si="20"/>
        <v>0</v>
      </c>
      <c r="BJ25" s="325">
        <f t="shared" ca="1" si="21"/>
        <v>0</v>
      </c>
      <c r="BK25" s="325">
        <f t="shared" ca="1" si="22"/>
        <v>0</v>
      </c>
      <c r="BL25" s="329">
        <f t="shared" ca="1" si="23"/>
        <v>3636694.5948847961</v>
      </c>
      <c r="BM25" s="330"/>
      <c r="BN25" s="324">
        <f t="shared" ca="1" si="24"/>
        <v>40006.076858667635</v>
      </c>
      <c r="BO25" s="325">
        <f t="shared" ca="1" si="25"/>
        <v>40006.076858667635</v>
      </c>
      <c r="BP25" s="325">
        <f t="shared" ca="1" si="26"/>
        <v>30376.000458534472</v>
      </c>
      <c r="BQ25" s="325">
        <f t="shared" ca="1" si="27"/>
        <v>30376.000458534472</v>
      </c>
      <c r="BR25" s="325">
        <f t="shared" ca="1" si="28"/>
        <v>0</v>
      </c>
      <c r="BS25" s="325">
        <f t="shared" ca="1" si="29"/>
        <v>0</v>
      </c>
      <c r="BT25" s="325">
        <f t="shared" ca="1" si="30"/>
        <v>0</v>
      </c>
      <c r="BU25" s="325">
        <f t="shared" ca="1" si="31"/>
        <v>0</v>
      </c>
      <c r="BV25" s="329">
        <f t="shared" ca="1" si="32"/>
        <v>31269.846437907072</v>
      </c>
      <c r="BW25" s="330"/>
      <c r="BX25" s="325">
        <f t="shared" ca="1" si="33"/>
        <v>-171.99462964435</v>
      </c>
      <c r="BY25" s="325">
        <f t="shared" ca="1" si="34"/>
        <v>-171.99462964435</v>
      </c>
      <c r="BZ25" s="325">
        <f t="shared" ca="1" si="35"/>
        <v>-130.59288386110049</v>
      </c>
      <c r="CA25" s="325">
        <f t="shared" ca="1" si="36"/>
        <v>-130.59288386110049</v>
      </c>
      <c r="CB25" s="325">
        <f t="shared" ca="1" si="37"/>
        <v>0</v>
      </c>
      <c r="CC25" s="325">
        <f t="shared" ca="1" si="38"/>
        <v>0</v>
      </c>
      <c r="CD25" s="325">
        <f t="shared" ca="1" si="39"/>
        <v>0</v>
      </c>
      <c r="CE25" s="325">
        <f t="shared" ca="1" si="40"/>
        <v>0</v>
      </c>
      <c r="CF25" s="325">
        <f t="shared" ca="1" si="41"/>
        <v>-134.43571775667087</v>
      </c>
      <c r="CG25" s="330"/>
      <c r="CH25" s="331">
        <f t="shared" ca="1" si="42"/>
        <v>0.98592197150461869</v>
      </c>
      <c r="CI25" s="332">
        <f t="shared" ca="1" si="43"/>
        <v>0.98592197150461869</v>
      </c>
      <c r="CJ25" s="332">
        <f t="shared" ca="1" si="44"/>
        <v>0.74859542874709428</v>
      </c>
      <c r="CK25" s="332">
        <f t="shared" ca="1" si="45"/>
        <v>0.74859542874709428</v>
      </c>
      <c r="CL25" s="332">
        <f t="shared" ca="1" si="46"/>
        <v>0</v>
      </c>
      <c r="CM25" s="332">
        <f t="shared" ca="1" si="47"/>
        <v>0</v>
      </c>
      <c r="CN25" s="332">
        <f t="shared" ca="1" si="48"/>
        <v>0</v>
      </c>
      <c r="CO25" s="332">
        <f t="shared" ca="1" si="49"/>
        <v>0</v>
      </c>
      <c r="CP25" s="333">
        <f t="shared" ca="1" si="50"/>
        <v>0.77062364194374966</v>
      </c>
      <c r="CR25" s="334">
        <f>CR22+1</f>
        <v>4</v>
      </c>
      <c r="CS25" s="335"/>
      <c r="CT25" s="335"/>
      <c r="CU25" s="336" t="s">
        <v>129</v>
      </c>
      <c r="CV25" s="337">
        <f ca="1">AE70</f>
        <v>4.5648610417658959E-4</v>
      </c>
      <c r="CW25" s="338"/>
      <c r="CX25" s="339">
        <f ca="1">BD19</f>
        <v>4652721.392903653</v>
      </c>
      <c r="CY25" s="340">
        <f ca="1">BF19</f>
        <v>3532739.9800676531</v>
      </c>
      <c r="CZ25" s="341">
        <f ca="1">BH19</f>
        <v>0</v>
      </c>
      <c r="DA25" s="338"/>
      <c r="DB25" s="342">
        <f t="array" aca="1" ref="DB25:DB27" ca="1">MMULT(CX25:CZ27,CV25:CV27)</f>
        <v>2268.0369963811145</v>
      </c>
      <c r="DC25" s="338"/>
      <c r="DD25" s="343">
        <f ca="1">-AE75*AE25/F69</f>
        <v>1.3856783548446861E-18</v>
      </c>
      <c r="DE25" s="344">
        <f ca="1">-AE75*AF25/F69</f>
        <v>-8.5854113393474003E-4</v>
      </c>
      <c r="DF25" s="344">
        <f ca="1">-AE76*AE25/F70</f>
        <v>2.1451173904545775E-19</v>
      </c>
      <c r="DG25" s="344">
        <f ca="1">-AE76*AF25/F70</f>
        <v>-1.3290757630622204E-4</v>
      </c>
      <c r="DH25" s="344">
        <f ca="1">-AE77*AE25/F69</f>
        <v>-1.6707937285221633E-18</v>
      </c>
      <c r="DI25" s="345">
        <f ca="1">-AE77*AF25/F69</f>
        <v>1.0351934395462575E-3</v>
      </c>
      <c r="DJ25" s="338">
        <f>DJ22+1</f>
        <v>4</v>
      </c>
      <c r="DK25" s="338"/>
      <c r="DL25" s="338"/>
      <c r="DM25" s="346" t="s">
        <v>129</v>
      </c>
      <c r="DN25" s="347">
        <f ca="1">INDEX(DE16:DE115,MATCH(DJ25,A16:A50,0))</f>
        <v>-6.0097879375431871E-3</v>
      </c>
      <c r="DO25" s="338"/>
      <c r="DP25" s="338"/>
      <c r="DQ25" s="346" t="s">
        <v>130</v>
      </c>
      <c r="DR25" s="347">
        <f ca="1">INDEX(DD16:DD115,MATCH(DJ25,A16:A50,0))</f>
        <v>-5.1512468036084454E-3</v>
      </c>
      <c r="DS25" s="348"/>
      <c r="DT25" s="339">
        <f ca="1">CX25</f>
        <v>4652721.392903653</v>
      </c>
      <c r="DU25" s="340">
        <f t="shared" ca="1" si="102"/>
        <v>3532739.9800676531</v>
      </c>
      <c r="DV25" s="341">
        <f t="shared" ca="1" si="103"/>
        <v>0</v>
      </c>
      <c r="DW25" s="338"/>
      <c r="DX25" s="349">
        <f t="array" aca="1" ref="DX25:DX27" ca="1">MMULT(DT25:DV27,DN25:DN27)</f>
        <v>-31248.564263117692</v>
      </c>
      <c r="DY25" s="349"/>
      <c r="DZ25" s="349">
        <f t="array" aca="1" ref="DZ25:DZ27" ca="1">MMULT(DT25:DV27,DR25:DR27)</f>
        <v>-26784.483654100877</v>
      </c>
      <c r="EB25" s="350">
        <f t="shared" ca="1" si="52"/>
        <v>2268.0369963811145</v>
      </c>
      <c r="EC25" s="351">
        <f t="shared" ca="1" si="53"/>
        <v>1802.4758241316983</v>
      </c>
      <c r="ED25" s="352">
        <f t="shared" ca="1" si="54"/>
        <v>-1007.8166055871841</v>
      </c>
      <c r="EE25" s="350">
        <f t="shared" ca="1" si="55"/>
        <v>-4464.080609016808</v>
      </c>
      <c r="EF25" s="351">
        <f t="shared" ca="1" si="56"/>
        <v>7.2049895219891382E-12</v>
      </c>
      <c r="EG25" s="351">
        <f t="shared" ca="1" si="57"/>
        <v>-3651.3845119428079</v>
      </c>
      <c r="EH25" s="351">
        <f t="shared" ca="1" si="58"/>
        <v>5.8933046809599621E-12</v>
      </c>
      <c r="EI25" s="351">
        <f t="shared" ca="1" si="59"/>
        <v>3764.6823862580754</v>
      </c>
      <c r="EJ25" s="352">
        <f t="shared" ca="1" si="60"/>
        <v>-6.0761665216839666E-12</v>
      </c>
      <c r="EK25" s="350">
        <f t="shared" ca="1" si="71"/>
        <v>-2196.0436126356935</v>
      </c>
      <c r="EL25" s="351">
        <f t="shared" ca="1" si="72"/>
        <v>2268.0369963811218</v>
      </c>
      <c r="EM25" s="351">
        <f t="shared" ca="1" si="73"/>
        <v>-1848.9086878111095</v>
      </c>
      <c r="EN25" s="351">
        <f t="shared" ca="1" si="74"/>
        <v>1802.4758241317043</v>
      </c>
      <c r="EO25" s="351">
        <f t="shared" ca="1" si="75"/>
        <v>2756.8657806708916</v>
      </c>
      <c r="EP25" s="352">
        <f t="shared" ca="1" si="76"/>
        <v>-1007.8166055871901</v>
      </c>
      <c r="EQ25" s="323">
        <f t="shared" ca="1" si="77"/>
        <v>2268.0369963811218</v>
      </c>
      <c r="ER25" s="323">
        <f t="shared" ca="1" si="78"/>
        <v>-1848.9086878111095</v>
      </c>
      <c r="ES25" s="323">
        <f t="shared" ca="1" si="79"/>
        <v>2756.8657806708916</v>
      </c>
      <c r="ET25" s="323">
        <f t="shared" ca="1" si="80"/>
        <v>86297.454109999991</v>
      </c>
      <c r="EU25" s="323">
        <f t="shared" ca="1" si="81"/>
        <v>52068.547941999997</v>
      </c>
      <c r="EV25" s="323">
        <f t="shared" ca="1" si="82"/>
        <v>70488.34066799999</v>
      </c>
      <c r="EW25" s="323">
        <f t="shared" ca="1" si="83"/>
        <v>48297.566753999999</v>
      </c>
      <c r="EX25" s="323">
        <f t="shared" ca="1" si="84"/>
        <v>11167.905825999998</v>
      </c>
      <c r="EY25" s="353">
        <f t="shared" ca="1" si="85"/>
        <v>2.2254946258207747E-10</v>
      </c>
      <c r="EZ25" s="353">
        <f t="shared" ca="1" si="86"/>
        <v>2.9373619270409085E-10</v>
      </c>
      <c r="FA25" s="321">
        <f t="shared" ca="1" si="87"/>
        <v>8.0178239087273853E-9</v>
      </c>
      <c r="FB25" s="354">
        <f t="shared" ca="1" si="88"/>
        <v>-1.1127473129103873E-10</v>
      </c>
      <c r="FC25" s="321">
        <f t="shared" ca="1" si="89"/>
        <v>-7.6176246724607548E-6</v>
      </c>
      <c r="FD25" s="321">
        <f t="shared" ca="1" si="90"/>
        <v>-6.5182334426556133E-6</v>
      </c>
      <c r="FE25" s="355">
        <f t="shared" ca="1" si="91"/>
        <v>6.4020095120195616E-2</v>
      </c>
      <c r="FF25" s="338">
        <f t="shared" ca="1" si="92"/>
        <v>-5.2254361403797338E-3</v>
      </c>
      <c r="FG25" s="335">
        <f t="shared" ca="1" si="93"/>
        <v>-1.2783860120010795E-10</v>
      </c>
      <c r="FH25" s="356">
        <f t="shared" ca="1" si="94"/>
        <v>6.4159012762621259E-2</v>
      </c>
      <c r="FI25" s="335">
        <f t="shared" ca="1" si="95"/>
        <v>-5.2254361403797338E-3</v>
      </c>
      <c r="FJ25" s="357">
        <f t="shared" ca="1" si="61"/>
        <v>2.8969992664450368</v>
      </c>
      <c r="FK25" s="357">
        <f t="shared" ca="1" si="62"/>
        <v>2.9497549215654626</v>
      </c>
      <c r="FL25" s="357">
        <f t="shared" ca="1" si="63"/>
        <v>2.9576627898211361</v>
      </c>
      <c r="FM25" s="357">
        <f t="shared" ca="1" si="64"/>
        <v>2.9533810898524964</v>
      </c>
      <c r="FN25" s="357">
        <f t="shared" ca="1" si="65"/>
        <v>37.049403183323797</v>
      </c>
      <c r="FO25" s="357">
        <f t="shared" ca="1" si="96"/>
        <v>25.122202287436185</v>
      </c>
      <c r="FP25" s="357">
        <f t="shared" ca="1" si="97"/>
        <v>3.0509428874996791</v>
      </c>
      <c r="FR25" s="358"/>
      <c r="FS25" s="359">
        <f ca="1">INDEX(EB16:EB115,MATCH(GF24,A16:A115,0))</f>
        <v>3546.9813186371889</v>
      </c>
      <c r="FT25" s="359">
        <f>FT24</f>
        <v>6.8787401574803134E-2</v>
      </c>
      <c r="FU25" s="359">
        <f ca="1">INDEX(EC16:EC115,MATCH(GF24,A16:A115,0))</f>
        <v>523.53150187562358</v>
      </c>
      <c r="FV25" s="359">
        <f t="shared" ref="FV25:FV27" si="118">FT25</f>
        <v>6.8787401574803134E-2</v>
      </c>
      <c r="FW25" s="359">
        <f ca="1">INDEX(ED16:ED115,MATCH(GF24,A16:A115,0))</f>
        <v>-155.18705741647139</v>
      </c>
      <c r="FX25" s="360">
        <f t="shared" ref="FX25:FX27" si="119">FV25</f>
        <v>6.8787401574803134E-2</v>
      </c>
      <c r="FY25" s="358"/>
      <c r="FZ25" s="351">
        <f ca="1">INDEX(EE16:EE115,MATCH(GF24,A16:A115,0))</f>
        <v>-53573.121578995771</v>
      </c>
      <c r="GA25" s="359">
        <f>GA24</f>
        <v>6.8787401574803134E-2</v>
      </c>
      <c r="GB25" s="326">
        <f ca="1">INDEX(EG16:EG115,MATCH(GF24,A16:A115,0))</f>
        <v>-11350.599388681221</v>
      </c>
      <c r="GC25" s="362">
        <f t="shared" si="105"/>
        <v>6.8787401574803134E-2</v>
      </c>
      <c r="GD25" s="359">
        <f ca="1">INDEX(EI16:EI115,MATCH(GF24,A16:A115,0))</f>
        <v>4637.5896439263088</v>
      </c>
      <c r="GE25" s="363">
        <f t="shared" ref="GE25:GE27" si="120">GC25</f>
        <v>6.8787401574803134E-2</v>
      </c>
      <c r="GF25" s="364"/>
      <c r="GG25" s="365">
        <f ca="1">FS25+FZ25</f>
        <v>-50026.140260358581</v>
      </c>
      <c r="GH25" s="320">
        <f>GH24</f>
        <v>6.8787401574803134E-2</v>
      </c>
      <c r="GI25" s="365">
        <f ca="1">FU25+GB25</f>
        <v>-10827.067886805598</v>
      </c>
      <c r="GJ25" s="366">
        <f t="shared" si="106"/>
        <v>6.8787401574803134E-2</v>
      </c>
      <c r="GK25" s="365">
        <f ca="1">FW25+GD25</f>
        <v>4482.4025865098374</v>
      </c>
      <c r="GL25" s="366">
        <f t="shared" si="107"/>
        <v>6.8787401574803134E-2</v>
      </c>
      <c r="GN25" s="359">
        <f t="shared" si="69"/>
        <v>6.8787401574803134E-2</v>
      </c>
      <c r="GO25" s="367">
        <f ca="1">INDEX(FJ16:FJ115,MATCH(GM24,A16:A115,0))</f>
        <v>3.43671758300792E-2</v>
      </c>
      <c r="GP25" s="367">
        <f ca="1">INDEX(FK16:FK115,MATCH(GM24,A16:A115,0))</f>
        <v>4.3108118703523157E-2</v>
      </c>
      <c r="GQ25" s="367">
        <f ca="1">INDEX(FL16:FL115,MATCH(GM24,A16:A115,0))</f>
        <v>-0.14393561934953203</v>
      </c>
      <c r="GR25" s="367">
        <f ca="1">INDEX(FM16:FM115,MATCH(GM24,A16:A115,0))</f>
        <v>-0.12351837458304504</v>
      </c>
      <c r="GS25" s="367">
        <f ca="1">INDEX(FN16:FN115,MATCH(GM24,A16:A115,0))</f>
        <v>4.0826809164405065E-2</v>
      </c>
      <c r="GT25" s="367">
        <f ca="1">INDEX(FO16:FO115,MATCH(GM24,A16:A115,0))</f>
        <v>3.4608168396965358</v>
      </c>
      <c r="GU25" s="367">
        <f ca="1">INDEX(FP16:FP115,MATCH(GM24,A16:A115,0))</f>
        <v>1.4914999513008356</v>
      </c>
      <c r="HH25" s="321">
        <f ca="1">IF(D24="","",INDEX(INDIRECT(AE60),MATCH(HH15,Matl!B3:B29,0),MATCH(D24,Matl!D2:K2,0)))</f>
        <v>3000</v>
      </c>
      <c r="HI25" s="314">
        <f ca="1">IF(D24="","",INDEX(INDIRECT(AE60),MATCH(HI15,Matl!B3:B29,0),MATCH(D24,Matl!D2:K2,0)))</f>
        <v>4500</v>
      </c>
      <c r="HO25" s="338"/>
      <c r="HP25" s="338"/>
      <c r="HQ25" s="346" t="s">
        <v>39</v>
      </c>
      <c r="HR25" s="346" t="s">
        <v>35</v>
      </c>
      <c r="HS25" s="348">
        <f ca="1">F51/2*AE75+AE70</f>
        <v>9.0418974435240006E-3</v>
      </c>
      <c r="HT25" s="365">
        <f ca="1">HS25*1000000</f>
        <v>9041.8974435239998</v>
      </c>
      <c r="HU25" s="365"/>
      <c r="HY25" s="373"/>
      <c r="HZ25" s="338"/>
      <c r="IA25" s="338"/>
      <c r="IB25" s="338"/>
      <c r="IC25" s="338">
        <v>1</v>
      </c>
      <c r="ID25" s="338">
        <f ca="1">IA21</f>
        <v>4500</v>
      </c>
      <c r="IE25" s="338">
        <f ca="1">IA21</f>
        <v>4500</v>
      </c>
      <c r="IF25" s="338"/>
      <c r="IG25" s="338"/>
      <c r="IH25" s="338"/>
      <c r="II25" s="338"/>
      <c r="IJ25" s="338"/>
      <c r="IK25" s="368">
        <f ca="1">IG44</f>
        <v>3000</v>
      </c>
      <c r="IL25" s="338"/>
      <c r="IM25" s="338"/>
      <c r="IN25" s="338"/>
      <c r="IO25" s="338"/>
      <c r="IP25" s="338"/>
    </row>
    <row r="26" spans="1:250" s="314" customFormat="1" ht="12" x14ac:dyDescent="0.25">
      <c r="A26" s="310">
        <v>11</v>
      </c>
      <c r="B26" s="311">
        <v>45</v>
      </c>
      <c r="C26" s="311"/>
      <c r="D26" s="380" t="s">
        <v>109</v>
      </c>
      <c r="E26" s="380"/>
      <c r="F26" s="312">
        <f>IF(C26="",INDEX(Matl!$C$15:$K$15,MATCH(D26,Matl!$C$2:$K$2,0)),C26)</f>
        <v>8.5984251968503952E-3</v>
      </c>
      <c r="G26" s="313"/>
      <c r="H26" s="313"/>
      <c r="I26" s="313"/>
      <c r="J26" s="313"/>
      <c r="K26" s="313"/>
      <c r="M26" s="315"/>
      <c r="N26" s="315"/>
      <c r="O26" s="315"/>
      <c r="P26" s="316"/>
      <c r="Q26" s="316"/>
      <c r="R26" s="316"/>
      <c r="S26" s="316"/>
      <c r="T26" s="315"/>
      <c r="U26" s="317"/>
      <c r="V26" s="317"/>
      <c r="W26" s="317">
        <f t="shared" si="3"/>
        <v>8.5984251968503952E-3</v>
      </c>
      <c r="X26" s="317"/>
      <c r="Y26" s="317"/>
      <c r="Z26" s="318">
        <f t="shared" si="4"/>
        <v>0</v>
      </c>
      <c r="AA26" s="319">
        <f t="shared" si="5"/>
        <v>1</v>
      </c>
      <c r="AB26" s="314">
        <f t="shared" si="6"/>
        <v>0</v>
      </c>
      <c r="AC26" s="320">
        <f t="shared" si="7"/>
        <v>0.78539816339744828</v>
      </c>
      <c r="AD26" s="320">
        <f>IF(D26="",0,SUM(F15:F26))</f>
        <v>9.4582677165354331E-2</v>
      </c>
      <c r="AE26" s="320">
        <f>IF(D26="",0,SUM(F16:F50)/2-AD26)</f>
        <v>-8.5984251968504039E-3</v>
      </c>
      <c r="AF26" s="320">
        <f t="shared" si="8"/>
        <v>0</v>
      </c>
      <c r="AG26" s="320">
        <f>IF(D26="",0,(AD26+AD25)/2-SUM(F16:F50)/2)</f>
        <v>4.2992125984252089E-3</v>
      </c>
      <c r="AH26" s="321">
        <f ca="1">IF(D26="",0,INDEX(INDIRECT($AE$60),MATCH(AH$14,Matl!$B$3:$B$17,0),MATCH(D26,Matl!$D$2:$K$2,0)))</f>
        <v>7702519.151965999</v>
      </c>
      <c r="AI26" s="321">
        <f ca="1">IF(D26="",0,INDEX(INDIRECT($AE$60),MATCH(AI$14,Matl!$B$3:$B$17,0),MATCH(D26,Matl!$D$2:$K$2,0)))</f>
        <v>7702519.151965999</v>
      </c>
      <c r="AJ26" s="321">
        <f ca="1">IF(D26="",0,INDEX(INDIRECT(AE60),MATCH(AJ14,Matl!B3:B15,0),MATCH(D26,Matl!D2:K2,0)))</f>
        <v>5.8999999999999997E-2</v>
      </c>
      <c r="AK26" s="322">
        <f t="shared" ca="1" si="9"/>
        <v>5.8999999999999997E-2</v>
      </c>
      <c r="AL26" s="321">
        <f ca="1">IF(D26="",0,INDEX(INDIRECT(AE60),MATCH(AL14,Matl!B3:B15,0),MATCH(D26,Matl!D2:K2,0)))</f>
        <v>559990.70641799993</v>
      </c>
      <c r="AM26" s="323">
        <f ca="1">IF(D26="",0,INDEX(INDIRECT(AE60),MATCH(AM14,Matl!B3:B15,0),MATCH(D26,Matl!D2:K2,0)))</f>
        <v>86297.454109999991</v>
      </c>
      <c r="AN26" s="323">
        <f ca="1">IF(D26="",0,INDEX(INDIRECT(AE60),MATCH(AN14,Matl!B3:B15,0),MATCH(D26,Matl!D2:K2,0)))</f>
        <v>70488.34066799999</v>
      </c>
      <c r="AO26" s="323">
        <f ca="1">IF(D26="",0,INDEX(INDIRECT(AE60),MATCH(AO14,Matl!B3:B15,0),MATCH(D26,Matl!D2:K2,0)))</f>
        <v>52068.547941999997</v>
      </c>
      <c r="AP26" s="323">
        <f ca="1">IF(D26="",0,INDEX(INDIRECT(AE60),MATCH(AP14,Matl!B3:B15,0),MATCH(D26,Matl!D2:K2,0)))</f>
        <v>48297.566753999999</v>
      </c>
      <c r="AQ26" s="323">
        <f ca="1">IF(D26="",0,INDEX(INDIRECT(AE60),MATCH(AQ14,Matl!B3:B15,0),MATCH(D26,Matl!D2:K2,0)))</f>
        <v>11167.905825999998</v>
      </c>
      <c r="AR26" s="321"/>
      <c r="AS26" s="321"/>
      <c r="AT26" s="324">
        <f t="shared" ca="1" si="10"/>
        <v>7729425.2813704489</v>
      </c>
      <c r="AU26" s="325">
        <f t="shared" ca="1" si="11"/>
        <v>7729425.2813704489</v>
      </c>
      <c r="AV26" s="325">
        <f t="shared" ca="1" si="12"/>
        <v>456036.09160085651</v>
      </c>
      <c r="AW26" s="325">
        <f t="shared" ca="1" si="13"/>
        <v>456036.09160085651</v>
      </c>
      <c r="AX26" s="326">
        <v>0</v>
      </c>
      <c r="AY26" s="326">
        <v>0</v>
      </c>
      <c r="AZ26" s="326">
        <v>0</v>
      </c>
      <c r="BA26" s="326">
        <v>0</v>
      </c>
      <c r="BB26" s="327">
        <f t="shared" ca="1" si="14"/>
        <v>559990.70641799993</v>
      </c>
      <c r="BC26" s="328"/>
      <c r="BD26" s="324">
        <f t="shared" ca="1" si="15"/>
        <v>4652721.392903653</v>
      </c>
      <c r="BE26" s="325">
        <f t="shared" ca="1" si="16"/>
        <v>4652721.392903653</v>
      </c>
      <c r="BF26" s="325">
        <f t="shared" ca="1" si="17"/>
        <v>3532739.9800676531</v>
      </c>
      <c r="BG26" s="325">
        <f t="shared" ca="1" si="18"/>
        <v>3532739.9800676531</v>
      </c>
      <c r="BH26" s="325">
        <f t="shared" ca="1" si="19"/>
        <v>0</v>
      </c>
      <c r="BI26" s="325">
        <f t="shared" ca="1" si="20"/>
        <v>0</v>
      </c>
      <c r="BJ26" s="325">
        <f t="shared" ca="1" si="21"/>
        <v>0</v>
      </c>
      <c r="BK26" s="325">
        <f t="shared" ca="1" si="22"/>
        <v>0</v>
      </c>
      <c r="BL26" s="329">
        <f t="shared" ca="1" si="23"/>
        <v>3636694.5948847961</v>
      </c>
      <c r="BM26" s="330"/>
      <c r="BN26" s="324">
        <f t="shared" ca="1" si="24"/>
        <v>40006.076858667635</v>
      </c>
      <c r="BO26" s="325">
        <f t="shared" ca="1" si="25"/>
        <v>40006.076858667635</v>
      </c>
      <c r="BP26" s="325">
        <f t="shared" ca="1" si="26"/>
        <v>30376.000458534472</v>
      </c>
      <c r="BQ26" s="325">
        <f t="shared" ca="1" si="27"/>
        <v>30376.000458534472</v>
      </c>
      <c r="BR26" s="325">
        <f t="shared" ca="1" si="28"/>
        <v>0</v>
      </c>
      <c r="BS26" s="325">
        <f t="shared" ca="1" si="29"/>
        <v>0</v>
      </c>
      <c r="BT26" s="325">
        <f t="shared" ca="1" si="30"/>
        <v>0</v>
      </c>
      <c r="BU26" s="325">
        <f t="shared" ca="1" si="31"/>
        <v>0</v>
      </c>
      <c r="BV26" s="329">
        <f t="shared" ca="1" si="32"/>
        <v>31269.846437907072</v>
      </c>
      <c r="BW26" s="330"/>
      <c r="BX26" s="325">
        <f t="shared" ca="1" si="33"/>
        <v>171.99462964435111</v>
      </c>
      <c r="BY26" s="325">
        <f t="shared" ca="1" si="34"/>
        <v>171.99462964435111</v>
      </c>
      <c r="BZ26" s="325">
        <f t="shared" ca="1" si="35"/>
        <v>130.59288386110131</v>
      </c>
      <c r="CA26" s="325">
        <f t="shared" ca="1" si="36"/>
        <v>130.59288386110131</v>
      </c>
      <c r="CB26" s="325">
        <f t="shared" ca="1" si="37"/>
        <v>0</v>
      </c>
      <c r="CC26" s="325">
        <f t="shared" ca="1" si="38"/>
        <v>0</v>
      </c>
      <c r="CD26" s="325">
        <f t="shared" ca="1" si="39"/>
        <v>0</v>
      </c>
      <c r="CE26" s="325">
        <f t="shared" ca="1" si="40"/>
        <v>0</v>
      </c>
      <c r="CF26" s="325">
        <f t="shared" ca="1" si="41"/>
        <v>134.43571775667172</v>
      </c>
      <c r="CG26" s="330"/>
      <c r="CH26" s="331">
        <f t="shared" ca="1" si="42"/>
        <v>0.98592197150462824</v>
      </c>
      <c r="CI26" s="332">
        <f t="shared" ca="1" si="43"/>
        <v>0.98592197150462824</v>
      </c>
      <c r="CJ26" s="332">
        <f t="shared" ca="1" si="44"/>
        <v>0.7485954287471015</v>
      </c>
      <c r="CK26" s="332">
        <f t="shared" ca="1" si="45"/>
        <v>0.7485954287471015</v>
      </c>
      <c r="CL26" s="332">
        <f t="shared" ca="1" si="46"/>
        <v>0</v>
      </c>
      <c r="CM26" s="332">
        <f t="shared" ca="1" si="47"/>
        <v>0</v>
      </c>
      <c r="CN26" s="332">
        <f t="shared" ca="1" si="48"/>
        <v>0</v>
      </c>
      <c r="CO26" s="332">
        <f t="shared" ca="1" si="49"/>
        <v>0</v>
      </c>
      <c r="CP26" s="333">
        <f t="shared" ca="1" si="50"/>
        <v>0.7706236419437571</v>
      </c>
      <c r="CR26" s="334"/>
      <c r="CS26" s="335"/>
      <c r="CT26" s="335"/>
      <c r="CU26" s="336" t="s">
        <v>131</v>
      </c>
      <c r="CV26" s="337">
        <f ca="1">AE71</f>
        <v>4.0799587495451728E-5</v>
      </c>
      <c r="CW26" s="338"/>
      <c r="CX26" s="324">
        <f ca="1">BG19</f>
        <v>3532739.9800676531</v>
      </c>
      <c r="CY26" s="325">
        <f ca="1">BE19</f>
        <v>4652721.392903653</v>
      </c>
      <c r="CZ26" s="329">
        <f ca="1">BK19</f>
        <v>0</v>
      </c>
      <c r="DA26" s="338"/>
      <c r="DB26" s="342">
        <f ca="1"/>
        <v>1802.4758241316983</v>
      </c>
      <c r="DC26" s="338"/>
      <c r="DD26" s="343">
        <f ca="1">-AE75*AE26/F69</f>
        <v>8.5854113393474219E-4</v>
      </c>
      <c r="DE26" s="344">
        <f ca="1">-AE75*AF26/F69</f>
        <v>0</v>
      </c>
      <c r="DF26" s="344">
        <f ca="1">-AE76*AE26/F70</f>
        <v>1.3290757630622237E-4</v>
      </c>
      <c r="DG26" s="344">
        <f ca="1">-AE76*AF26/F70</f>
        <v>0</v>
      </c>
      <c r="DH26" s="344">
        <f ca="1">-AE77*AE26/F69</f>
        <v>-1.0351934395462603E-3</v>
      </c>
      <c r="DI26" s="345">
        <f ca="1">-AE77*AF26/F69</f>
        <v>0</v>
      </c>
      <c r="DJ26" s="338"/>
      <c r="DK26" s="338"/>
      <c r="DL26" s="338"/>
      <c r="DM26" s="346" t="s">
        <v>131</v>
      </c>
      <c r="DN26" s="347">
        <f ca="1">INDEX(DG16:DG115,MATCH(DJ25,A16:A50,0))</f>
        <v>-9.3035303414355536E-4</v>
      </c>
      <c r="DO26" s="338"/>
      <c r="DP26" s="338"/>
      <c r="DQ26" s="346" t="s">
        <v>132</v>
      </c>
      <c r="DR26" s="347">
        <f ca="1">INDEX(DF16:DF115,MATCH(DJ25,A16:A50,0))</f>
        <v>-7.9744545783733307E-4</v>
      </c>
      <c r="DS26" s="338"/>
      <c r="DT26" s="324">
        <f t="shared" ref="DT26:DT27" ca="1" si="121">CX26</f>
        <v>3532739.9800676531</v>
      </c>
      <c r="DU26" s="325">
        <f t="shared" ca="1" si="102"/>
        <v>4652721.392903653</v>
      </c>
      <c r="DV26" s="329">
        <f t="shared" ca="1" si="103"/>
        <v>0</v>
      </c>
      <c r="DW26" s="338"/>
      <c r="DX26" s="349">
        <f ca="1"/>
        <v>-25559.691583599684</v>
      </c>
      <c r="DY26" s="349"/>
      <c r="DZ26" s="349">
        <f ca="1"/>
        <v>-21908.307071656869</v>
      </c>
      <c r="EB26" s="350">
        <f t="shared" ca="1" si="52"/>
        <v>2268.0369963811145</v>
      </c>
      <c r="EC26" s="351">
        <f t="shared" ca="1" si="53"/>
        <v>1802.4758241316983</v>
      </c>
      <c r="ED26" s="352">
        <f t="shared" ca="1" si="54"/>
        <v>-1007.8166055871841</v>
      </c>
      <c r="EE26" s="350">
        <f t="shared" ca="1" si="55"/>
        <v>0</v>
      </c>
      <c r="EF26" s="351">
        <f t="shared" ca="1" si="56"/>
        <v>4464.0806090168189</v>
      </c>
      <c r="EG26" s="351">
        <f t="shared" ca="1" si="57"/>
        <v>0</v>
      </c>
      <c r="EH26" s="351">
        <f t="shared" ca="1" si="58"/>
        <v>3651.384511942817</v>
      </c>
      <c r="EI26" s="351">
        <f t="shared" ca="1" si="59"/>
        <v>0</v>
      </c>
      <c r="EJ26" s="352">
        <f t="shared" ca="1" si="60"/>
        <v>-3764.6823862580859</v>
      </c>
      <c r="EK26" s="350">
        <f t="shared" ca="1" si="71"/>
        <v>2268.0369963811145</v>
      </c>
      <c r="EL26" s="351">
        <f t="shared" ca="1" si="72"/>
        <v>6732.1176053979334</v>
      </c>
      <c r="EM26" s="351">
        <f t="shared" ca="1" si="73"/>
        <v>1802.4758241316983</v>
      </c>
      <c r="EN26" s="351">
        <f t="shared" ca="1" si="74"/>
        <v>5453.8603360745155</v>
      </c>
      <c r="EO26" s="351">
        <f t="shared" ca="1" si="75"/>
        <v>-1007.8166055871841</v>
      </c>
      <c r="EP26" s="352">
        <f t="shared" ca="1" si="76"/>
        <v>-4772.4989918452702</v>
      </c>
      <c r="EQ26" s="323">
        <f t="shared" ca="1" si="77"/>
        <v>6732.1176053979334</v>
      </c>
      <c r="ER26" s="323">
        <f t="shared" ca="1" si="78"/>
        <v>5453.8603360745155</v>
      </c>
      <c r="ES26" s="323">
        <f t="shared" ca="1" si="79"/>
        <v>-4772.4989918452702</v>
      </c>
      <c r="ET26" s="323">
        <f t="shared" ca="1" si="80"/>
        <v>86297.454109999991</v>
      </c>
      <c r="EU26" s="323">
        <f t="shared" ca="1" si="81"/>
        <v>52068.547941999997</v>
      </c>
      <c r="EV26" s="323">
        <f t="shared" ca="1" si="82"/>
        <v>70488.34066799999</v>
      </c>
      <c r="EW26" s="323">
        <f t="shared" ca="1" si="83"/>
        <v>48297.566753999999</v>
      </c>
      <c r="EX26" s="323">
        <f t="shared" ca="1" si="84"/>
        <v>11167.905825999998</v>
      </c>
      <c r="EY26" s="353">
        <f t="shared" ca="1" si="85"/>
        <v>2.2254946258207747E-10</v>
      </c>
      <c r="EZ26" s="353">
        <f t="shared" ca="1" si="86"/>
        <v>2.9373619270409085E-10</v>
      </c>
      <c r="FA26" s="321">
        <f t="shared" ca="1" si="87"/>
        <v>8.0178239087273853E-9</v>
      </c>
      <c r="FB26" s="354">
        <f t="shared" ca="1" si="88"/>
        <v>-1.1127473129103873E-10</v>
      </c>
      <c r="FC26" s="321">
        <f t="shared" ca="1" si="89"/>
        <v>-7.6176246724607548E-6</v>
      </c>
      <c r="FD26" s="321">
        <f t="shared" ca="1" si="90"/>
        <v>-6.5182334426556133E-6</v>
      </c>
      <c r="FE26" s="355">
        <f t="shared" ca="1" si="91"/>
        <v>0.19327212935264459</v>
      </c>
      <c r="FF26" s="338">
        <f t="shared" ca="1" si="92"/>
        <v>-8.6832280002960602E-2</v>
      </c>
      <c r="FG26" s="335">
        <f t="shared" ca="1" si="93"/>
        <v>-1.2783860120010795E-10</v>
      </c>
      <c r="FH26" s="356">
        <f t="shared" ca="1" si="94"/>
        <v>0.19205581029061994</v>
      </c>
      <c r="FI26" s="335">
        <f t="shared" ca="1" si="95"/>
        <v>-8.6832280002960602E-2</v>
      </c>
      <c r="FJ26" s="357">
        <f t="shared" ca="1" si="61"/>
        <v>1.2442439401993912</v>
      </c>
      <c r="FK26" s="357">
        <f t="shared" ca="1" si="62"/>
        <v>1.3023133187141864</v>
      </c>
      <c r="FL26" s="357">
        <f t="shared" ca="1" si="63"/>
        <v>1.3725517938673111</v>
      </c>
      <c r="FM26" s="357">
        <f t="shared" ca="1" si="64"/>
        <v>1.3798484060160434</v>
      </c>
      <c r="FN26" s="357">
        <f t="shared" ca="1" si="65"/>
        <v>11.818768056102456</v>
      </c>
      <c r="FO26" s="357">
        <f t="shared" ca="1" si="96"/>
        <v>11.924485836528564</v>
      </c>
      <c r="FP26" s="357">
        <f t="shared" ca="1" si="97"/>
        <v>1.3400540985095035</v>
      </c>
      <c r="FR26" s="358"/>
      <c r="FS26" s="359">
        <f ca="1">FS25</f>
        <v>3546.9813186371889</v>
      </c>
      <c r="FT26" s="359">
        <f>INDEX(AE16:AE115,MATCH(GF24,A16:A115,0))</f>
        <v>6.0188976377952744E-2</v>
      </c>
      <c r="FU26" s="359">
        <f ca="1">FU25</f>
        <v>523.53150187562358</v>
      </c>
      <c r="FV26" s="359">
        <f t="shared" si="118"/>
        <v>6.0188976377952744E-2</v>
      </c>
      <c r="FW26" s="359">
        <f ca="1">FW25</f>
        <v>-155.18705741647139</v>
      </c>
      <c r="FX26" s="360">
        <f t="shared" si="119"/>
        <v>6.0188976377952744E-2</v>
      </c>
      <c r="FY26" s="358"/>
      <c r="FZ26" s="351">
        <f ca="1">INDEX(EF16:EF115,MATCH(GF24,A16:A115,0))</f>
        <v>-46876.481381621306</v>
      </c>
      <c r="GA26" s="359">
        <f>FT26</f>
        <v>6.0188976377952744E-2</v>
      </c>
      <c r="GB26" s="326">
        <f ca="1">INDEX(EH16:EH115,MATCH(GF24,A16:A115,0))</f>
        <v>-9931.7744650960685</v>
      </c>
      <c r="GC26" s="362">
        <f t="shared" si="105"/>
        <v>6.0188976377952744E-2</v>
      </c>
      <c r="GD26" s="359">
        <f ca="1">INDEX(EJ16:EJ115,MATCH(GF24,A16:A115,0))</f>
        <v>4057.8909384355197</v>
      </c>
      <c r="GE26" s="363">
        <f t="shared" si="120"/>
        <v>6.0188976377952744E-2</v>
      </c>
      <c r="GF26" s="364"/>
      <c r="GG26" s="365">
        <f ca="1">FS26+FZ26</f>
        <v>-43329.500062984116</v>
      </c>
      <c r="GH26" s="320">
        <f>FT26</f>
        <v>6.0188976377952744E-2</v>
      </c>
      <c r="GI26" s="365">
        <f ca="1">FU26+GB26</f>
        <v>-9408.2429632204457</v>
      </c>
      <c r="GJ26" s="366">
        <f t="shared" si="106"/>
        <v>6.0188976377952744E-2</v>
      </c>
      <c r="GK26" s="365">
        <f ca="1">FW26+GD26</f>
        <v>3902.7038810190484</v>
      </c>
      <c r="GL26" s="366">
        <f t="shared" si="107"/>
        <v>6.0188976377952744E-2</v>
      </c>
      <c r="GN26" s="359">
        <f t="shared" si="69"/>
        <v>6.0188976377952744E-2</v>
      </c>
      <c r="GO26" s="367">
        <f ca="1">GO25</f>
        <v>3.43671758300792E-2</v>
      </c>
      <c r="GP26" s="367">
        <f t="shared" ref="GP26" ca="1" si="122">GP25</f>
        <v>4.3108118703523157E-2</v>
      </c>
      <c r="GQ26" s="367">
        <f t="shared" ref="GQ26" ca="1" si="123">GQ25</f>
        <v>-0.14393561934953203</v>
      </c>
      <c r="GR26" s="367">
        <f t="shared" ref="GR26" ca="1" si="124">GR25</f>
        <v>-0.12351837458304504</v>
      </c>
      <c r="GS26" s="367">
        <f t="shared" ref="GS26" ca="1" si="125">GS25</f>
        <v>4.0826809164405065E-2</v>
      </c>
      <c r="GT26" s="367">
        <f t="shared" ref="GT26" ca="1" si="126">GT25</f>
        <v>3.4608168396965358</v>
      </c>
      <c r="GU26" s="367">
        <f t="shared" ref="GU26" ca="1" si="127">GU25</f>
        <v>1.4914999513008356</v>
      </c>
      <c r="HH26" s="321">
        <f ca="1">IF(D25="","",INDEX(INDIRECT(AE60),MATCH(HH15,Matl!B3:B29,0),MATCH(D25,Matl!D2:K2,0)))</f>
        <v>3000</v>
      </c>
      <c r="HI26" s="314">
        <f ca="1">IF(D25="","",INDEX(INDIRECT(AE60),MATCH(HI15,Matl!B3:B29,0),MATCH(D25,Matl!D2:K2,0)))</f>
        <v>4500</v>
      </c>
      <c r="HO26" s="338"/>
      <c r="HP26" s="338"/>
      <c r="HQ26" s="346" t="s">
        <v>39</v>
      </c>
      <c r="HR26" s="346" t="s">
        <v>36</v>
      </c>
      <c r="HS26" s="348">
        <f ca="1">F51/2*AE76+AE71</f>
        <v>1.3698753505576738E-3</v>
      </c>
      <c r="HT26" s="365">
        <f ca="1">HS26*1000000</f>
        <v>1369.8753505576738</v>
      </c>
      <c r="HU26" s="365"/>
      <c r="HY26" s="338"/>
      <c r="HZ26" s="338"/>
      <c r="IA26" s="338"/>
      <c r="IB26" s="338"/>
      <c r="IC26" s="338">
        <v>2</v>
      </c>
      <c r="ID26" s="338">
        <f ca="1">IA21</f>
        <v>4500</v>
      </c>
      <c r="IE26" s="338">
        <f ca="1">-ID26*IC21</f>
        <v>-1449.6268534600099</v>
      </c>
      <c r="IF26" s="338"/>
      <c r="IG26" s="338">
        <f ca="1">ACOS(ABS(ID45)/IG44)</f>
        <v>0</v>
      </c>
      <c r="IH26" s="338"/>
      <c r="II26" s="338"/>
      <c r="IJ26" s="338"/>
      <c r="IK26" s="338"/>
      <c r="IL26" s="338">
        <f ca="1">IK25*SIN(IK42)</f>
        <v>3000</v>
      </c>
      <c r="IM26" s="338">
        <f ca="1">IK25*SIN(IK27)+IF27</f>
        <v>0</v>
      </c>
      <c r="IN26" s="338"/>
      <c r="IO26" s="338"/>
      <c r="IP26" s="338"/>
    </row>
    <row r="27" spans="1:250" s="314" customFormat="1" ht="12" x14ac:dyDescent="0.25">
      <c r="A27" s="310">
        <v>12</v>
      </c>
      <c r="B27" s="311">
        <v>0</v>
      </c>
      <c r="C27" s="311"/>
      <c r="D27" s="380" t="s">
        <v>109</v>
      </c>
      <c r="E27" s="380"/>
      <c r="F27" s="312">
        <f>IF(C27="",INDEX(Matl!$C$15:$K$15,MATCH(D27,Matl!$C$2:$K$2,0)),C27)</f>
        <v>8.5984251968503952E-3</v>
      </c>
      <c r="G27" s="313"/>
      <c r="H27" s="313"/>
      <c r="I27" s="313"/>
      <c r="J27" s="313"/>
      <c r="K27" s="313"/>
      <c r="M27" s="315"/>
      <c r="N27" s="315"/>
      <c r="O27" s="315"/>
      <c r="P27" s="316"/>
      <c r="Q27" s="316"/>
      <c r="R27" s="316"/>
      <c r="S27" s="316"/>
      <c r="T27" s="315"/>
      <c r="U27" s="317"/>
      <c r="V27" s="317"/>
      <c r="W27" s="317">
        <f t="shared" si="3"/>
        <v>0</v>
      </c>
      <c r="X27" s="317"/>
      <c r="Y27" s="317"/>
      <c r="Z27" s="318">
        <f t="shared" si="4"/>
        <v>1</v>
      </c>
      <c r="AA27" s="319">
        <f t="shared" si="5"/>
        <v>1</v>
      </c>
      <c r="AB27" s="314">
        <f t="shared" si="6"/>
        <v>8.5984251968503952E-3</v>
      </c>
      <c r="AC27" s="320">
        <f t="shared" si="7"/>
        <v>0</v>
      </c>
      <c r="AD27" s="320">
        <f>IF(D27="",0,SUM(F15:F27))</f>
        <v>0.10318110236220472</v>
      </c>
      <c r="AE27" s="320">
        <f>IF(D27="",0,SUM(F16:F50)/2-AD27)</f>
        <v>-1.7196850393700794E-2</v>
      </c>
      <c r="AF27" s="320">
        <f t="shared" si="8"/>
        <v>-8.5984251968503986E-3</v>
      </c>
      <c r="AG27" s="320">
        <f>IF(D27="",0,(AD27+AD26)/2-SUM(F16:F50)/2)</f>
        <v>1.2897637795275599E-2</v>
      </c>
      <c r="AH27" s="321">
        <f ca="1">IF(D27="",0,INDEX(INDIRECT($AE$60),MATCH(AH$14,Matl!$B$3:$B$17,0),MATCH(D27,Matl!$D$2:$K$2,0)))</f>
        <v>7702519.151965999</v>
      </c>
      <c r="AI27" s="321">
        <f ca="1">IF(D27="",0,INDEX(INDIRECT($AE$60),MATCH(AI$14,Matl!$B$3:$B$17,0),MATCH(D27,Matl!$D$2:$K$2,0)))</f>
        <v>7702519.151965999</v>
      </c>
      <c r="AJ27" s="321">
        <f ca="1">IF(D27="",0,INDEX(INDIRECT(AE60),MATCH(AJ14,Matl!B3:B15,0),MATCH(D27,Matl!D2:K2,0)))</f>
        <v>5.8999999999999997E-2</v>
      </c>
      <c r="AK27" s="322">
        <f t="shared" ca="1" si="9"/>
        <v>5.8999999999999997E-2</v>
      </c>
      <c r="AL27" s="321">
        <f ca="1">IF(D27="",0,INDEX(INDIRECT(AE60),MATCH(AL14,Matl!B3:B15,0),MATCH(D27,Matl!D2:K2,0)))</f>
        <v>559990.70641799993</v>
      </c>
      <c r="AM27" s="323">
        <f ca="1">IF(D27="",0,INDEX(INDIRECT(AE60),MATCH(AM14,Matl!B3:B15,0),MATCH(D27,Matl!D2:K2,0)))</f>
        <v>86297.454109999991</v>
      </c>
      <c r="AN27" s="323">
        <f ca="1">IF(D27="",0,INDEX(INDIRECT(AE60),MATCH(AN14,Matl!B3:B15,0),MATCH(D27,Matl!D2:K2,0)))</f>
        <v>70488.34066799999</v>
      </c>
      <c r="AO27" s="323">
        <f ca="1">IF(D27="",0,INDEX(INDIRECT(AE60),MATCH(AO14,Matl!B3:B15,0),MATCH(D27,Matl!D2:K2,0)))</f>
        <v>52068.547941999997</v>
      </c>
      <c r="AP27" s="323">
        <f ca="1">IF(D27="",0,INDEX(INDIRECT(AE60),MATCH(AP14,Matl!B3:B15,0),MATCH(D27,Matl!D2:K2,0)))</f>
        <v>48297.566753999999</v>
      </c>
      <c r="AQ27" s="323">
        <f ca="1">IF(D27="",0,INDEX(INDIRECT(AE60),MATCH(AQ14,Matl!B3:B15,0),MATCH(D27,Matl!D2:K2,0)))</f>
        <v>11167.905825999998</v>
      </c>
      <c r="AR27" s="321"/>
      <c r="AS27" s="321"/>
      <c r="AT27" s="324">
        <f t="shared" ca="1" si="10"/>
        <v>7729425.2813704489</v>
      </c>
      <c r="AU27" s="325">
        <f t="shared" ca="1" si="11"/>
        <v>7729425.2813704489</v>
      </c>
      <c r="AV27" s="325">
        <f t="shared" ca="1" si="12"/>
        <v>456036.09160085651</v>
      </c>
      <c r="AW27" s="325">
        <f t="shared" ca="1" si="13"/>
        <v>456036.09160085651</v>
      </c>
      <c r="AX27" s="326">
        <v>0</v>
      </c>
      <c r="AY27" s="326">
        <v>0</v>
      </c>
      <c r="AZ27" s="326">
        <v>0</v>
      </c>
      <c r="BA27" s="326">
        <v>0</v>
      </c>
      <c r="BB27" s="327">
        <f t="shared" ca="1" si="14"/>
        <v>559990.70641799993</v>
      </c>
      <c r="BC27" s="328"/>
      <c r="BD27" s="324">
        <f t="shared" ca="1" si="15"/>
        <v>7729425.2813704489</v>
      </c>
      <c r="BE27" s="325">
        <f t="shared" ca="1" si="16"/>
        <v>7729425.2813704489</v>
      </c>
      <c r="BF27" s="325">
        <f t="shared" ca="1" si="17"/>
        <v>456036.09160085651</v>
      </c>
      <c r="BG27" s="325">
        <f t="shared" ca="1" si="18"/>
        <v>456036.09160085651</v>
      </c>
      <c r="BH27" s="325">
        <f t="shared" ca="1" si="19"/>
        <v>0</v>
      </c>
      <c r="BI27" s="325">
        <f t="shared" ca="1" si="20"/>
        <v>0</v>
      </c>
      <c r="BJ27" s="325">
        <f t="shared" ca="1" si="21"/>
        <v>0</v>
      </c>
      <c r="BK27" s="325">
        <f t="shared" ca="1" si="22"/>
        <v>0</v>
      </c>
      <c r="BL27" s="329">
        <f t="shared" ca="1" si="23"/>
        <v>559990.70641799993</v>
      </c>
      <c r="BM27" s="330"/>
      <c r="BN27" s="324">
        <f t="shared" ca="1" si="24"/>
        <v>66460.885096508122</v>
      </c>
      <c r="BO27" s="325">
        <f t="shared" ca="1" si="25"/>
        <v>66460.885096508122</v>
      </c>
      <c r="BP27" s="325">
        <f t="shared" ca="1" si="26"/>
        <v>3921.1922206939794</v>
      </c>
      <c r="BQ27" s="325">
        <f t="shared" ca="1" si="27"/>
        <v>3921.1922206939794</v>
      </c>
      <c r="BR27" s="325">
        <f t="shared" ca="1" si="28"/>
        <v>0</v>
      </c>
      <c r="BS27" s="325">
        <f t="shared" ca="1" si="29"/>
        <v>0</v>
      </c>
      <c r="BT27" s="325">
        <f t="shared" ca="1" si="30"/>
        <v>0</v>
      </c>
      <c r="BU27" s="325">
        <f t="shared" ca="1" si="31"/>
        <v>0</v>
      </c>
      <c r="BV27" s="329">
        <f t="shared" ca="1" si="32"/>
        <v>4815.0382000665832</v>
      </c>
      <c r="BW27" s="330"/>
      <c r="BX27" s="325">
        <f t="shared" ca="1" si="33"/>
        <v>857.18842352819195</v>
      </c>
      <c r="BY27" s="325">
        <f t="shared" ca="1" si="34"/>
        <v>857.18842352819195</v>
      </c>
      <c r="BZ27" s="325">
        <f t="shared" ca="1" si="35"/>
        <v>50.574116988163325</v>
      </c>
      <c r="CA27" s="325">
        <f t="shared" ca="1" si="36"/>
        <v>50.574116988163325</v>
      </c>
      <c r="CB27" s="325">
        <f t="shared" ca="1" si="37"/>
        <v>0</v>
      </c>
      <c r="CC27" s="325">
        <f t="shared" ca="1" si="38"/>
        <v>0</v>
      </c>
      <c r="CD27" s="325">
        <f t="shared" ca="1" si="39"/>
        <v>0</v>
      </c>
      <c r="CE27" s="325">
        <f t="shared" ca="1" si="40"/>
        <v>0</v>
      </c>
      <c r="CF27" s="325">
        <f t="shared" ca="1" si="41"/>
        <v>62.102618674874549</v>
      </c>
      <c r="CG27" s="330"/>
      <c r="CH27" s="331">
        <f t="shared" ca="1" si="42"/>
        <v>11.465176394487321</v>
      </c>
      <c r="CI27" s="332">
        <f t="shared" ca="1" si="43"/>
        <v>11.465176394487321</v>
      </c>
      <c r="CJ27" s="332">
        <f t="shared" ca="1" si="44"/>
        <v>0.67644540727475189</v>
      </c>
      <c r="CK27" s="332">
        <f t="shared" ca="1" si="45"/>
        <v>0.67644540727475189</v>
      </c>
      <c r="CL27" s="332">
        <f t="shared" ca="1" si="46"/>
        <v>0</v>
      </c>
      <c r="CM27" s="332">
        <f t="shared" ca="1" si="47"/>
        <v>0</v>
      </c>
      <c r="CN27" s="332">
        <f t="shared" ca="1" si="48"/>
        <v>0</v>
      </c>
      <c r="CO27" s="332">
        <f t="shared" ca="1" si="49"/>
        <v>0</v>
      </c>
      <c r="CP27" s="333">
        <f t="shared" ca="1" si="50"/>
        <v>0.83064289965134097</v>
      </c>
      <c r="CR27" s="334"/>
      <c r="CS27" s="335"/>
      <c r="CT27" s="335"/>
      <c r="CU27" s="336" t="s">
        <v>133</v>
      </c>
      <c r="CV27" s="337">
        <f ca="1">AE72</f>
        <v>-2.771243444540907E-4</v>
      </c>
      <c r="CW27" s="338"/>
      <c r="CX27" s="369">
        <f ca="1">BI19</f>
        <v>0</v>
      </c>
      <c r="CY27" s="370">
        <f ca="1">BJ19</f>
        <v>0</v>
      </c>
      <c r="CZ27" s="371">
        <f ca="1">BL19</f>
        <v>3636694.5948847961</v>
      </c>
      <c r="DA27" s="338"/>
      <c r="DB27" s="342">
        <f ca="1"/>
        <v>-1007.8166055871841</v>
      </c>
      <c r="DC27" s="338"/>
      <c r="DD27" s="343">
        <f ca="1">-AE75*AE27/F69</f>
        <v>1.7170822678694831E-3</v>
      </c>
      <c r="DE27" s="344">
        <f ca="1">-AE75*AF27/F69</f>
        <v>8.5854113393474165E-4</v>
      </c>
      <c r="DF27" s="344">
        <f ca="1">-AE76*AE27/F70</f>
        <v>2.6581515261244452E-4</v>
      </c>
      <c r="DG27" s="344">
        <f ca="1">-AE76*AF27/F70</f>
        <v>1.3290757630622229E-4</v>
      </c>
      <c r="DH27" s="344">
        <f ca="1">-AE77*AE27/F69</f>
        <v>-2.0703868790925188E-3</v>
      </c>
      <c r="DI27" s="345">
        <f ca="1">-AE77*AF27/F69</f>
        <v>-1.0351934395462596E-3</v>
      </c>
      <c r="DJ27" s="338"/>
      <c r="DK27" s="338"/>
      <c r="DL27" s="338"/>
      <c r="DM27" s="346" t="s">
        <v>133</v>
      </c>
      <c r="DN27" s="347">
        <f ca="1">INDEX(DI16:DI115,MATCH(DJ25,A16:A50,0))</f>
        <v>7.2463540768238112E-3</v>
      </c>
      <c r="DO27" s="338"/>
      <c r="DP27" s="338"/>
      <c r="DQ27" s="346" t="s">
        <v>134</v>
      </c>
      <c r="DR27" s="347">
        <f ca="1">INDEX(DH16:DH115,MATCH(DJ25,A16:A50,0))</f>
        <v>6.2111606372775522E-3</v>
      </c>
      <c r="DS27" s="338"/>
      <c r="DT27" s="369">
        <f t="shared" ca="1" si="121"/>
        <v>0</v>
      </c>
      <c r="DU27" s="370">
        <f t="shared" ca="1" si="102"/>
        <v>0</v>
      </c>
      <c r="DV27" s="371">
        <f t="shared" ca="1" si="103"/>
        <v>3636694.5948847961</v>
      </c>
      <c r="DW27" s="338"/>
      <c r="DX27" s="349">
        <f ca="1"/>
        <v>26352.776703806561</v>
      </c>
      <c r="DY27" s="349"/>
      <c r="DZ27" s="349">
        <f ca="1"/>
        <v>22588.094317548479</v>
      </c>
      <c r="EB27" s="350">
        <f t="shared" ca="1" si="52"/>
        <v>3546.9813186371889</v>
      </c>
      <c r="EC27" s="351">
        <f t="shared" ca="1" si="53"/>
        <v>523.53150187562358</v>
      </c>
      <c r="ED27" s="352">
        <f t="shared" ca="1" si="54"/>
        <v>-155.18705741647139</v>
      </c>
      <c r="EE27" s="350">
        <f t="shared" ca="1" si="55"/>
        <v>6696.6401973744778</v>
      </c>
      <c r="EF27" s="351">
        <f t="shared" ca="1" si="56"/>
        <v>13393.280394748954</v>
      </c>
      <c r="EG27" s="351">
        <f t="shared" ca="1" si="57"/>
        <v>1418.8249235851536</v>
      </c>
      <c r="EH27" s="351">
        <f t="shared" ca="1" si="58"/>
        <v>2837.6498471703067</v>
      </c>
      <c r="EI27" s="351">
        <f t="shared" ca="1" si="59"/>
        <v>-579.69870549078905</v>
      </c>
      <c r="EJ27" s="352">
        <f t="shared" ca="1" si="60"/>
        <v>-1159.3974109815779</v>
      </c>
      <c r="EK27" s="350">
        <f t="shared" ca="1" si="71"/>
        <v>10243.621516011666</v>
      </c>
      <c r="EL27" s="351">
        <f t="shared" ca="1" si="72"/>
        <v>16940.261713386142</v>
      </c>
      <c r="EM27" s="351">
        <f t="shared" ca="1" si="73"/>
        <v>1942.3564254607772</v>
      </c>
      <c r="EN27" s="351">
        <f t="shared" ca="1" si="74"/>
        <v>3361.1813490459303</v>
      </c>
      <c r="EO27" s="351">
        <f t="shared" ca="1" si="75"/>
        <v>-734.88576290726041</v>
      </c>
      <c r="EP27" s="352">
        <f t="shared" ca="1" si="76"/>
        <v>-1314.5844683980492</v>
      </c>
      <c r="EQ27" s="323">
        <f t="shared" ca="1" si="77"/>
        <v>16940.261713386142</v>
      </c>
      <c r="ER27" s="323">
        <f t="shared" ca="1" si="78"/>
        <v>3361.1813490459303</v>
      </c>
      <c r="ES27" s="323">
        <f t="shared" ca="1" si="79"/>
        <v>-1314.5844683980492</v>
      </c>
      <c r="ET27" s="323">
        <f t="shared" ca="1" si="80"/>
        <v>86297.454109999991</v>
      </c>
      <c r="EU27" s="323">
        <f t="shared" ca="1" si="81"/>
        <v>52068.547941999997</v>
      </c>
      <c r="EV27" s="323">
        <f t="shared" ca="1" si="82"/>
        <v>70488.34066799999</v>
      </c>
      <c r="EW27" s="323">
        <f t="shared" ca="1" si="83"/>
        <v>48297.566753999999</v>
      </c>
      <c r="EX27" s="323">
        <f t="shared" ca="1" si="84"/>
        <v>11167.905825999998</v>
      </c>
      <c r="EY27" s="353">
        <f t="shared" ca="1" si="85"/>
        <v>2.2254946258207747E-10</v>
      </c>
      <c r="EZ27" s="353">
        <f t="shared" ca="1" si="86"/>
        <v>2.9373619270409085E-10</v>
      </c>
      <c r="FA27" s="321">
        <f t="shared" ca="1" si="87"/>
        <v>8.0178239087273853E-9</v>
      </c>
      <c r="FB27" s="354">
        <f t="shared" ca="1" si="88"/>
        <v>-1.1127473129103873E-10</v>
      </c>
      <c r="FC27" s="321">
        <f t="shared" ca="1" si="89"/>
        <v>-7.6176246724607548E-6</v>
      </c>
      <c r="FD27" s="321">
        <f t="shared" ca="1" si="90"/>
        <v>-6.5182334426556133E-6</v>
      </c>
      <c r="FE27" s="355">
        <f t="shared" ca="1" si="91"/>
        <v>6.8368116590332095E-2</v>
      </c>
      <c r="FF27" s="338">
        <f t="shared" ca="1" si="92"/>
        <v>-0.15095352026201408</v>
      </c>
      <c r="FG27" s="335">
        <f t="shared" ca="1" si="93"/>
        <v>-1.2783860120010795E-10</v>
      </c>
      <c r="FH27" s="356">
        <f t="shared" ca="1" si="94"/>
        <v>6.6481846548836293E-2</v>
      </c>
      <c r="FI27" s="335">
        <f t="shared" ca="1" si="95"/>
        <v>-0.15095352026201408</v>
      </c>
      <c r="FJ27" s="357">
        <f t="shared" ca="1" si="61"/>
        <v>2.1076488301756413</v>
      </c>
      <c r="FK27" s="357">
        <f t="shared" ca="1" si="62"/>
        <v>3.6982434481351882</v>
      </c>
      <c r="FL27" s="357">
        <f t="shared" ca="1" si="63"/>
        <v>3.131589653707529</v>
      </c>
      <c r="FM27" s="357">
        <f t="shared" ca="1" si="64"/>
        <v>3.1920676588169172</v>
      </c>
      <c r="FN27" s="357">
        <f t="shared" ca="1" si="65"/>
        <v>4.0942220120370401</v>
      </c>
      <c r="FO27" s="357">
        <f t="shared" ca="1" si="96"/>
        <v>19.971299477193657</v>
      </c>
      <c r="FP27" s="357">
        <f t="shared" ca="1" si="97"/>
        <v>7.4953885387138275</v>
      </c>
      <c r="FR27" s="358"/>
      <c r="FS27" s="326">
        <v>0</v>
      </c>
      <c r="FT27" s="359">
        <f>FT26</f>
        <v>6.0188976377952744E-2</v>
      </c>
      <c r="FU27" s="326">
        <v>0</v>
      </c>
      <c r="FV27" s="359">
        <f t="shared" si="118"/>
        <v>6.0188976377952744E-2</v>
      </c>
      <c r="FW27" s="359">
        <v>0</v>
      </c>
      <c r="FX27" s="360">
        <f t="shared" si="119"/>
        <v>6.0188976377952744E-2</v>
      </c>
      <c r="FY27" s="358"/>
      <c r="FZ27" s="326">
        <v>0</v>
      </c>
      <c r="GA27" s="359">
        <f>GA26</f>
        <v>6.0188976377952744E-2</v>
      </c>
      <c r="GB27" s="326">
        <v>0</v>
      </c>
      <c r="GC27" s="362">
        <f t="shared" si="105"/>
        <v>6.0188976377952744E-2</v>
      </c>
      <c r="GD27" s="326">
        <v>0</v>
      </c>
      <c r="GE27" s="363">
        <f t="shared" si="120"/>
        <v>6.0188976377952744E-2</v>
      </c>
      <c r="GF27" s="364"/>
      <c r="GG27" s="365">
        <v>0</v>
      </c>
      <c r="GH27" s="320">
        <f>GH26</f>
        <v>6.0188976377952744E-2</v>
      </c>
      <c r="GI27" s="366">
        <v>0</v>
      </c>
      <c r="GJ27" s="366">
        <f t="shared" si="106"/>
        <v>6.0188976377952744E-2</v>
      </c>
      <c r="GK27" s="366">
        <v>0</v>
      </c>
      <c r="GL27" s="366">
        <f t="shared" si="107"/>
        <v>6.0188976377952744E-2</v>
      </c>
      <c r="GN27" s="359">
        <f t="shared" si="69"/>
        <v>6.0188976377952744E-2</v>
      </c>
      <c r="GO27" s="367"/>
      <c r="GP27" s="367"/>
      <c r="GQ27" s="367"/>
      <c r="GR27" s="367"/>
      <c r="GS27" s="367"/>
      <c r="GT27" s="367"/>
      <c r="GU27" s="367"/>
      <c r="HH27" s="321">
        <f ca="1">IF(D26="","",INDEX(INDIRECT(AE60),MATCH(HH15,Matl!B3:B29,0),MATCH(D26,Matl!D2:K2,0)))</f>
        <v>3000</v>
      </c>
      <c r="HI27" s="314">
        <f ca="1">IF(D26="","",INDEX(INDIRECT(AE60),MATCH(HI15,Matl!B3:B29,0),MATCH(D26,Matl!D2:K2,0)))</f>
        <v>4500</v>
      </c>
      <c r="HO27" s="338"/>
      <c r="HP27" s="338"/>
      <c r="HQ27" s="346" t="s">
        <v>39</v>
      </c>
      <c r="HR27" s="346" t="s">
        <v>37</v>
      </c>
      <c r="HS27" s="348">
        <f ca="1">F51/2*AE77+AE72</f>
        <v>-1.0629058739916679E-2</v>
      </c>
      <c r="HT27" s="365">
        <f ca="1">HS27*1000000</f>
        <v>-10629.058739916678</v>
      </c>
      <c r="HU27" s="365"/>
      <c r="HY27" s="338"/>
      <c r="HZ27" s="338"/>
      <c r="IA27" s="338">
        <f ca="1">ID27</f>
        <v>1000</v>
      </c>
      <c r="IB27" s="338">
        <f ca="1">IE27</f>
        <v>-3000</v>
      </c>
      <c r="IC27" s="338">
        <v>3</v>
      </c>
      <c r="ID27" s="338">
        <f ca="1">-IE27/3</f>
        <v>1000</v>
      </c>
      <c r="IE27" s="338">
        <f ca="1">IA20</f>
        <v>-3000</v>
      </c>
      <c r="IF27" s="338"/>
      <c r="IG27" s="338"/>
      <c r="IH27" s="338"/>
      <c r="II27" s="338"/>
      <c r="IJ27" s="338"/>
      <c r="IK27" s="342">
        <v>0</v>
      </c>
      <c r="IL27" s="338">
        <f ca="1">IK25*SIN(IK43)</f>
        <v>2983.5656861048201</v>
      </c>
      <c r="IM27" s="338">
        <f ca="1">IK25*SIN(IK28)+IF27</f>
        <v>313.58538980296038</v>
      </c>
      <c r="IN27" s="338"/>
      <c r="IO27" s="338"/>
      <c r="IP27" s="338"/>
    </row>
    <row r="28" spans="1:250" s="314" customFormat="1" ht="12" x14ac:dyDescent="0.25">
      <c r="A28" s="310">
        <v>13</v>
      </c>
      <c r="B28" s="311">
        <v>45</v>
      </c>
      <c r="C28" s="311"/>
      <c r="D28" s="380" t="s">
        <v>109</v>
      </c>
      <c r="E28" s="380"/>
      <c r="F28" s="312">
        <f>IF(C28="",INDEX(Matl!$C$15:$K$15,MATCH(D28,Matl!$C$2:$K$2,0)),C28)</f>
        <v>8.5984251968503952E-3</v>
      </c>
      <c r="G28" s="313"/>
      <c r="H28" s="313"/>
      <c r="I28" s="313"/>
      <c r="J28" s="313"/>
      <c r="K28" s="313"/>
      <c r="M28" s="315"/>
      <c r="N28" s="315"/>
      <c r="O28" s="315"/>
      <c r="P28" s="316"/>
      <c r="Q28" s="316"/>
      <c r="R28" s="316"/>
      <c r="S28" s="316"/>
      <c r="T28" s="315"/>
      <c r="U28" s="317"/>
      <c r="V28" s="317"/>
      <c r="W28" s="317">
        <f t="shared" si="3"/>
        <v>8.5984251968503952E-3</v>
      </c>
      <c r="X28" s="317"/>
      <c r="Y28" s="317"/>
      <c r="Z28" s="318">
        <f t="shared" si="4"/>
        <v>0</v>
      </c>
      <c r="AA28" s="319">
        <f t="shared" si="5"/>
        <v>1</v>
      </c>
      <c r="AB28" s="314">
        <f t="shared" si="6"/>
        <v>0</v>
      </c>
      <c r="AC28" s="320">
        <f t="shared" si="7"/>
        <v>0.78539816339744828</v>
      </c>
      <c r="AD28" s="320">
        <f>IF(D28="",0,SUM(F15:F28))</f>
        <v>0.11177952755905511</v>
      </c>
      <c r="AE28" s="320">
        <f>IF(D28="",0,SUM(F16:F50)/2-AD28)</f>
        <v>-2.5795275590551184E-2</v>
      </c>
      <c r="AF28" s="320">
        <f t="shared" si="8"/>
        <v>-1.7196850393700787E-2</v>
      </c>
      <c r="AG28" s="320">
        <f>IF(D28="",0,(AD28+AD27)/2-SUM(F16:F50)/2)</f>
        <v>2.1496062992125989E-2</v>
      </c>
      <c r="AH28" s="321">
        <f ca="1">IF(D28="",0,INDEX(INDIRECT($AE$60),MATCH(AH$14,Matl!$B$3:$B$17,0),MATCH(D28,Matl!$D$2:$K$2,0)))</f>
        <v>7702519.151965999</v>
      </c>
      <c r="AI28" s="321">
        <f ca="1">IF(D28="",0,INDEX(INDIRECT($AE$60),MATCH(AI$14,Matl!$B$3:$B$17,0),MATCH(D28,Matl!$D$2:$K$2,0)))</f>
        <v>7702519.151965999</v>
      </c>
      <c r="AJ28" s="321">
        <f ca="1">IF(D28="",0,INDEX(INDIRECT(AE60),MATCH(AJ14,Matl!B3:B15,0),MATCH(D28,Matl!D2:K2,0)))</f>
        <v>5.8999999999999997E-2</v>
      </c>
      <c r="AK28" s="322">
        <f t="shared" ca="1" si="9"/>
        <v>5.8999999999999997E-2</v>
      </c>
      <c r="AL28" s="321">
        <f ca="1">IF(D28="",0,INDEX(INDIRECT(AE60),MATCH(AL14,Matl!B3:B15,0),MATCH(D28,Matl!D2:K2,0)))</f>
        <v>559990.70641799993</v>
      </c>
      <c r="AM28" s="323">
        <f ca="1">IF(D28="",0,INDEX(INDIRECT(AE60),MATCH(AM14,Matl!B3:B15,0),MATCH(D28,Matl!D2:K2,0)))</f>
        <v>86297.454109999991</v>
      </c>
      <c r="AN28" s="323">
        <f ca="1">IF(D28="",0,INDEX(INDIRECT(AE60),MATCH(AN14,Matl!B3:B15,0),MATCH(D28,Matl!D2:K2,0)))</f>
        <v>70488.34066799999</v>
      </c>
      <c r="AO28" s="323">
        <f ca="1">IF(D28="",0,INDEX(INDIRECT(AE60),MATCH(AO14,Matl!B3:B15,0),MATCH(D28,Matl!D2:K2,0)))</f>
        <v>52068.547941999997</v>
      </c>
      <c r="AP28" s="323">
        <f ca="1">IF(D28="",0,INDEX(INDIRECT(AE60),MATCH(AP14,Matl!B3:B15,0),MATCH(D28,Matl!D2:K2,0)))</f>
        <v>48297.566753999999</v>
      </c>
      <c r="AQ28" s="323">
        <f ca="1">IF(D28="",0,INDEX(INDIRECT(AE60),MATCH(AQ14,Matl!B3:B15,0),MATCH(D28,Matl!D2:K2,0)))</f>
        <v>11167.905825999998</v>
      </c>
      <c r="AR28" s="321"/>
      <c r="AS28" s="321"/>
      <c r="AT28" s="324">
        <f t="shared" ca="1" si="10"/>
        <v>7729425.2813704489</v>
      </c>
      <c r="AU28" s="325">
        <f t="shared" ca="1" si="11"/>
        <v>7729425.2813704489</v>
      </c>
      <c r="AV28" s="325">
        <f t="shared" ca="1" si="12"/>
        <v>456036.09160085651</v>
      </c>
      <c r="AW28" s="325">
        <f t="shared" ca="1" si="13"/>
        <v>456036.09160085651</v>
      </c>
      <c r="AX28" s="326">
        <v>0</v>
      </c>
      <c r="AY28" s="326">
        <v>0</v>
      </c>
      <c r="AZ28" s="326">
        <v>0</v>
      </c>
      <c r="BA28" s="326">
        <v>0</v>
      </c>
      <c r="BB28" s="327">
        <f t="shared" ca="1" si="14"/>
        <v>559990.70641799993</v>
      </c>
      <c r="BC28" s="328"/>
      <c r="BD28" s="324">
        <f t="shared" ca="1" si="15"/>
        <v>4652721.392903653</v>
      </c>
      <c r="BE28" s="325">
        <f t="shared" ca="1" si="16"/>
        <v>4652721.392903653</v>
      </c>
      <c r="BF28" s="325">
        <f t="shared" ca="1" si="17"/>
        <v>3532739.9800676531</v>
      </c>
      <c r="BG28" s="325">
        <f t="shared" ca="1" si="18"/>
        <v>3532739.9800676531</v>
      </c>
      <c r="BH28" s="325">
        <f t="shared" ca="1" si="19"/>
        <v>0</v>
      </c>
      <c r="BI28" s="325">
        <f t="shared" ca="1" si="20"/>
        <v>0</v>
      </c>
      <c r="BJ28" s="325">
        <f t="shared" ca="1" si="21"/>
        <v>0</v>
      </c>
      <c r="BK28" s="325">
        <f t="shared" ca="1" si="22"/>
        <v>0</v>
      </c>
      <c r="BL28" s="329">
        <f t="shared" ca="1" si="23"/>
        <v>3636694.5948847961</v>
      </c>
      <c r="BM28" s="330"/>
      <c r="BN28" s="324">
        <f t="shared" ca="1" si="24"/>
        <v>40006.076858667635</v>
      </c>
      <c r="BO28" s="325">
        <f t="shared" ca="1" si="25"/>
        <v>40006.076858667635</v>
      </c>
      <c r="BP28" s="325">
        <f t="shared" ca="1" si="26"/>
        <v>30376.000458534472</v>
      </c>
      <c r="BQ28" s="325">
        <f t="shared" ca="1" si="27"/>
        <v>30376.000458534472</v>
      </c>
      <c r="BR28" s="325">
        <f t="shared" ca="1" si="28"/>
        <v>0</v>
      </c>
      <c r="BS28" s="325">
        <f t="shared" ca="1" si="29"/>
        <v>0</v>
      </c>
      <c r="BT28" s="325">
        <f t="shared" ca="1" si="30"/>
        <v>0</v>
      </c>
      <c r="BU28" s="325">
        <f t="shared" ca="1" si="31"/>
        <v>0</v>
      </c>
      <c r="BV28" s="329">
        <f t="shared" ca="1" si="32"/>
        <v>31269.846437907072</v>
      </c>
      <c r="BW28" s="330"/>
      <c r="BX28" s="325">
        <f t="shared" ca="1" si="33"/>
        <v>859.97314822175338</v>
      </c>
      <c r="BY28" s="325">
        <f t="shared" ca="1" si="34"/>
        <v>859.97314822175338</v>
      </c>
      <c r="BZ28" s="325">
        <f t="shared" ca="1" si="35"/>
        <v>652.96441930550498</v>
      </c>
      <c r="CA28" s="325">
        <f t="shared" ca="1" si="36"/>
        <v>652.96441930550498</v>
      </c>
      <c r="CB28" s="325">
        <f t="shared" ca="1" si="37"/>
        <v>0</v>
      </c>
      <c r="CC28" s="325">
        <f t="shared" ca="1" si="38"/>
        <v>0</v>
      </c>
      <c r="CD28" s="325">
        <f t="shared" ca="1" si="39"/>
        <v>0</v>
      </c>
      <c r="CE28" s="325">
        <f t="shared" ca="1" si="40"/>
        <v>0</v>
      </c>
      <c r="CF28" s="325">
        <f t="shared" ca="1" si="41"/>
        <v>672.17858878335687</v>
      </c>
      <c r="CG28" s="330"/>
      <c r="CH28" s="331">
        <f t="shared" ca="1" si="42"/>
        <v>18.732517458587864</v>
      </c>
      <c r="CI28" s="332">
        <f t="shared" ca="1" si="43"/>
        <v>18.732517458587864</v>
      </c>
      <c r="CJ28" s="332">
        <f t="shared" ca="1" si="44"/>
        <v>14.223313146194876</v>
      </c>
      <c r="CK28" s="332">
        <f t="shared" ca="1" si="45"/>
        <v>14.223313146194876</v>
      </c>
      <c r="CL28" s="332">
        <f t="shared" ca="1" si="46"/>
        <v>0</v>
      </c>
      <c r="CM28" s="332">
        <f t="shared" ca="1" si="47"/>
        <v>0</v>
      </c>
      <c r="CN28" s="332">
        <f t="shared" ca="1" si="48"/>
        <v>0</v>
      </c>
      <c r="CO28" s="332">
        <f t="shared" ca="1" si="49"/>
        <v>0</v>
      </c>
      <c r="CP28" s="333">
        <f t="shared" ca="1" si="50"/>
        <v>14.641849196931329</v>
      </c>
      <c r="CR28" s="334">
        <f>CR25+1</f>
        <v>5</v>
      </c>
      <c r="CS28" s="335"/>
      <c r="CT28" s="335"/>
      <c r="CU28" s="336" t="s">
        <v>129</v>
      </c>
      <c r="CV28" s="337">
        <f ca="1">AE70</f>
        <v>4.5648610417658959E-4</v>
      </c>
      <c r="CW28" s="338"/>
      <c r="CX28" s="339">
        <f ca="1">BD20</f>
        <v>7729425.2813704489</v>
      </c>
      <c r="CY28" s="340">
        <f ca="1">BF20</f>
        <v>456036.09160085651</v>
      </c>
      <c r="CZ28" s="341">
        <f ca="1">BH20</f>
        <v>0</v>
      </c>
      <c r="DA28" s="338"/>
      <c r="DB28" s="342">
        <f t="array" aca="1" ref="DB28:DB30" ca="1">MMULT(CX28:CZ30,CV28:CV30)</f>
        <v>3546.9813186371889</v>
      </c>
      <c r="DC28" s="338"/>
      <c r="DD28" s="343">
        <f ca="1">-AE75*AE28/F69</f>
        <v>2.575623401804224E-3</v>
      </c>
      <c r="DE28" s="344">
        <f ca="1">-AE75*AF28/F69</f>
        <v>1.7170822678694824E-3</v>
      </c>
      <c r="DF28" s="344">
        <f ca="1">-AE76*AE28/F70</f>
        <v>3.987227289186667E-4</v>
      </c>
      <c r="DG28" s="344">
        <f ca="1">-AE76*AF28/F70</f>
        <v>2.6581515261244441E-4</v>
      </c>
      <c r="DH28" s="344">
        <f ca="1">-AE77*AE28/F69</f>
        <v>-3.1055803186387774E-3</v>
      </c>
      <c r="DI28" s="345">
        <f ca="1">-AE77*AF28/F69</f>
        <v>-2.070386879092518E-3</v>
      </c>
      <c r="DJ28" s="338">
        <f>DJ25+1</f>
        <v>5</v>
      </c>
      <c r="DK28" s="338"/>
      <c r="DL28" s="338"/>
      <c r="DM28" s="346" t="s">
        <v>129</v>
      </c>
      <c r="DN28" s="347">
        <f ca="1">INDEX(DE16:DE115,MATCH(DJ28,A16:A50,0))</f>
        <v>-5.1512468036084454E-3</v>
      </c>
      <c r="DO28" s="338"/>
      <c r="DP28" s="338"/>
      <c r="DQ28" s="346" t="s">
        <v>130</v>
      </c>
      <c r="DR28" s="347">
        <f ca="1">INDEX(DD16:DD115,MATCH(DJ28,A16:A50,0))</f>
        <v>-4.2927056696737045E-3</v>
      </c>
      <c r="DS28" s="338"/>
      <c r="DT28" s="339">
        <f ca="1">CX28</f>
        <v>7729425.2813704489</v>
      </c>
      <c r="DU28" s="340">
        <f t="shared" ca="1" si="102"/>
        <v>456036.09160085651</v>
      </c>
      <c r="DV28" s="341">
        <f t="shared" ca="1" si="103"/>
        <v>0</v>
      </c>
      <c r="DW28" s="338"/>
      <c r="DX28" s="349">
        <f t="array" aca="1" ref="DX28:DX30" ca="1">MMULT(DT28:DV30,DN28:DN30)</f>
        <v>-40179.841184246827</v>
      </c>
      <c r="DY28" s="349"/>
      <c r="DZ28" s="349">
        <f t="array" aca="1" ref="DZ28:DZ30" ca="1">MMULT(DT28:DV30,DR28:DR30)</f>
        <v>-33483.200986872354</v>
      </c>
      <c r="EB28" s="350">
        <f t="shared" ca="1" si="52"/>
        <v>2268.0369963811145</v>
      </c>
      <c r="EC28" s="351">
        <f t="shared" ca="1" si="53"/>
        <v>1802.4758241316983</v>
      </c>
      <c r="ED28" s="352">
        <f t="shared" ca="1" si="54"/>
        <v>-1007.8166055871841</v>
      </c>
      <c r="EE28" s="350">
        <f t="shared" ca="1" si="55"/>
        <v>8928.1612180336288</v>
      </c>
      <c r="EF28" s="351">
        <f t="shared" ca="1" si="56"/>
        <v>13392.241827050446</v>
      </c>
      <c r="EG28" s="351">
        <f t="shared" ca="1" si="57"/>
        <v>7302.7690238856258</v>
      </c>
      <c r="EH28" s="351">
        <f t="shared" ca="1" si="58"/>
        <v>10954.15353582844</v>
      </c>
      <c r="EI28" s="351">
        <f t="shared" ca="1" si="59"/>
        <v>-7529.3647725161618</v>
      </c>
      <c r="EJ28" s="352">
        <f t="shared" ca="1" si="60"/>
        <v>-11294.047158774245</v>
      </c>
      <c r="EK28" s="350">
        <f ca="1">EE28+EB28</f>
        <v>11196.198214414744</v>
      </c>
      <c r="EL28" s="351">
        <f ca="1">EF28+EB28</f>
        <v>15660.278823431559</v>
      </c>
      <c r="EM28" s="351">
        <f ca="1">EG28+EC28</f>
        <v>9105.2448480173243</v>
      </c>
      <c r="EN28" s="351">
        <f ca="1">EH28+EC28</f>
        <v>12756.629359960138</v>
      </c>
      <c r="EO28" s="351">
        <f ca="1">EI28+ED28</f>
        <v>-8537.1813781033452</v>
      </c>
      <c r="EP28" s="352">
        <f ca="1">EJ28+ED28</f>
        <v>-12301.863764361429</v>
      </c>
      <c r="EQ28" s="323">
        <f ca="1">IF(ABS(MIN(EK28:EL28))&gt;MAX(EK28:EL28),MIN(EK28:EL28),MAX(EK28:EL28))</f>
        <v>15660.278823431559</v>
      </c>
      <c r="ER28" s="323">
        <f ca="1">IF(ABS(MIN(EM28:EN28))&gt;MAX(EM28:EN28),MIN(EM28:EN28),MAX(EM28:EN28))</f>
        <v>12756.629359960138</v>
      </c>
      <c r="ES28" s="323">
        <f ca="1">IF(ABS(MIN(EO28:EP28))&gt;MAX(EO28:EP28),MIN(EO28:EP28),MAX(EO28:EP28))</f>
        <v>-12301.863764361429</v>
      </c>
      <c r="ET28" s="323">
        <f ca="1">AM28</f>
        <v>86297.454109999991</v>
      </c>
      <c r="EU28" s="323">
        <f ca="1">AO28</f>
        <v>52068.547941999997</v>
      </c>
      <c r="EV28" s="323">
        <f ca="1">AN28</f>
        <v>70488.34066799999</v>
      </c>
      <c r="EW28" s="323">
        <f ca="1">AP28</f>
        <v>48297.566753999999</v>
      </c>
      <c r="EX28" s="323">
        <f ca="1">AQ28</f>
        <v>11167.905825999998</v>
      </c>
      <c r="EY28" s="353">
        <f ca="1">1/(ET28*EU28)</f>
        <v>2.2254946258207747E-10</v>
      </c>
      <c r="EZ28" s="353">
        <f ca="1">1/(EV28*EW28)</f>
        <v>2.9373619270409085E-10</v>
      </c>
      <c r="FA28" s="321">
        <f ca="1">1/EX28^2</f>
        <v>8.0178239087273853E-9</v>
      </c>
      <c r="FB28" s="354">
        <f ca="1">-1/(2*ET28*EU28)</f>
        <v>-1.1127473129103873E-10</v>
      </c>
      <c r="FC28" s="321">
        <f ca="1">(1/ET28-1/EU28)</f>
        <v>-7.6176246724607548E-6</v>
      </c>
      <c r="FD28" s="321">
        <f ca="1">(1/EV28-1/EW28)</f>
        <v>-6.5182334426556133E-6</v>
      </c>
      <c r="FE28" s="355">
        <f ca="1">EY28*EQ28^2+EZ28*ER28^2+2*FB28*EQ28*ER28+ES28^2*FA28</f>
        <v>1.2713041317867506</v>
      </c>
      <c r="FF28" s="338">
        <f ca="1">EQ28*FC28+ER28*FD28</f>
        <v>-0.20244481445264156</v>
      </c>
      <c r="FG28" s="335">
        <f ca="1">-0.5/(ET28*EU28*EV28*EW28)^0.5</f>
        <v>-1.2783860120010795E-10</v>
      </c>
      <c r="FH28" s="356">
        <f ca="1">EY28*EQ28^2+EZ28*ER28^2+2*FG28*EQ28*ER28+ES28^2*FA28</f>
        <v>1.2646861246036054</v>
      </c>
      <c r="FI28" s="335">
        <f ca="1">EQ28*FC28+ER28*FD28</f>
        <v>-0.20244481445264156</v>
      </c>
      <c r="FJ28" s="357">
        <f t="shared" ca="1" si="61"/>
        <v>-0.12291462570414569</v>
      </c>
      <c r="FK28" s="357">
        <f t="shared" ca="1" si="62"/>
        <v>-0.1042194241060993</v>
      </c>
      <c r="FL28" s="357">
        <f t="shared" ca="1" si="63"/>
        <v>9.2912855515514314E-2</v>
      </c>
      <c r="FM28" s="357">
        <f t="shared" ca="1" si="64"/>
        <v>9.5258367331013227E-2</v>
      </c>
      <c r="FN28" s="357">
        <f t="shared" ca="1" si="65"/>
        <v>4.5105949953380238</v>
      </c>
      <c r="FO28" s="357">
        <f ca="1">IF(ER28&gt;0,EV28/ER28-1,EW28/(ABS(ER28))-1)</f>
        <v>4.5256242600608294</v>
      </c>
      <c r="FP28" s="357">
        <f ca="1">EX28/ABS(ES28)-1</f>
        <v>-9.217773502308757E-2</v>
      </c>
      <c r="FR28" s="358">
        <f>FR24+1</f>
        <v>4</v>
      </c>
      <c r="FS28" s="326">
        <v>0</v>
      </c>
      <c r="FT28" s="359">
        <f>INDEX(AF16:AF115,MATCH(GF28,A16:A115,0))</f>
        <v>6.0188976377952744E-2</v>
      </c>
      <c r="FU28" s="326">
        <v>0</v>
      </c>
      <c r="FV28" s="359">
        <f>FT28</f>
        <v>6.0188976377952744E-2</v>
      </c>
      <c r="FW28" s="359">
        <v>0</v>
      </c>
      <c r="FX28" s="360">
        <f>FV28</f>
        <v>6.0188976377952744E-2</v>
      </c>
      <c r="FY28" s="358">
        <f>FY24+1</f>
        <v>4</v>
      </c>
      <c r="FZ28" s="326">
        <v>0</v>
      </c>
      <c r="GA28" s="359">
        <f>FT28</f>
        <v>6.0188976377952744E-2</v>
      </c>
      <c r="GB28" s="361">
        <v>0</v>
      </c>
      <c r="GC28" s="362">
        <f t="shared" si="105"/>
        <v>6.0188976377952744E-2</v>
      </c>
      <c r="GD28" s="326">
        <v>0</v>
      </c>
      <c r="GE28" s="363">
        <f>GC28</f>
        <v>6.0188976377952744E-2</v>
      </c>
      <c r="GF28" s="364">
        <f>GF24+1</f>
        <v>4</v>
      </c>
      <c r="GG28" s="365">
        <v>0</v>
      </c>
      <c r="GH28" s="320">
        <f>FT28</f>
        <v>6.0188976377952744E-2</v>
      </c>
      <c r="GI28" s="366">
        <v>0</v>
      </c>
      <c r="GJ28" s="366">
        <f t="shared" si="106"/>
        <v>6.0188976377952744E-2</v>
      </c>
      <c r="GK28" s="366">
        <v>0</v>
      </c>
      <c r="GL28" s="366">
        <f t="shared" si="107"/>
        <v>6.0188976377952744E-2</v>
      </c>
      <c r="GM28" s="372">
        <f>GM24+1</f>
        <v>4</v>
      </c>
      <c r="GN28" s="359">
        <f t="shared" si="69"/>
        <v>6.0188976377952744E-2</v>
      </c>
      <c r="GO28" s="367"/>
      <c r="GP28" s="367"/>
      <c r="GQ28" s="367"/>
      <c r="GR28" s="367"/>
      <c r="GS28" s="367"/>
      <c r="GT28" s="367"/>
      <c r="GU28" s="367"/>
      <c r="HH28" s="321">
        <f ca="1">IF(D27="","",INDEX(INDIRECT(AE60),MATCH(HH15,Matl!B3:B29,0),MATCH(D27,Matl!D2:K2,0)))</f>
        <v>3000</v>
      </c>
      <c r="HI28" s="314">
        <f ca="1">IF(D27="","",INDEX(INDIRECT(AE60),MATCH(HI15,Matl!B3:B29,0),MATCH(D27,Matl!D2:K2,0)))</f>
        <v>4500</v>
      </c>
      <c r="HO28" s="338"/>
      <c r="HP28" s="338"/>
      <c r="HQ28" s="338"/>
      <c r="HR28" s="338"/>
      <c r="HS28" s="338"/>
      <c r="HT28" s="338"/>
      <c r="HU28" s="338"/>
      <c r="HY28" s="338"/>
      <c r="HZ28" s="338"/>
      <c r="IA28" s="338">
        <f ca="1">ID45</f>
        <v>-3000</v>
      </c>
      <c r="IB28" s="338">
        <f ca="1">IE45</f>
        <v>1000</v>
      </c>
      <c r="IC28" s="338"/>
      <c r="ID28" s="338">
        <f ca="1">IM26</f>
        <v>0</v>
      </c>
      <c r="IE28" s="338">
        <f ca="1">-IL26</f>
        <v>-3000</v>
      </c>
      <c r="IF28" s="338"/>
      <c r="IG28" s="338"/>
      <c r="IH28" s="338"/>
      <c r="II28" s="338"/>
      <c r="IJ28" s="338">
        <v>1</v>
      </c>
      <c r="IK28" s="342">
        <f>IK27-(IK27-IK57)*IJ28/(IJ56+1)</f>
        <v>0.10471975511965977</v>
      </c>
      <c r="IL28" s="338">
        <f ca="1">IK25*SIN(IK44)</f>
        <v>2934.4428022014172</v>
      </c>
      <c r="IM28" s="338">
        <f ca="1">IK25*SIN(IK29)+IF27</f>
        <v>623.73507245327789</v>
      </c>
      <c r="IN28" s="338"/>
      <c r="IO28" s="338"/>
      <c r="IP28" s="338"/>
    </row>
    <row r="29" spans="1:250" s="314" customFormat="1" ht="14.4" x14ac:dyDescent="0.35">
      <c r="A29" s="310">
        <v>14</v>
      </c>
      <c r="B29" s="311">
        <v>45</v>
      </c>
      <c r="C29" s="311"/>
      <c r="D29" s="380" t="s">
        <v>109</v>
      </c>
      <c r="E29" s="380"/>
      <c r="F29" s="312">
        <f>IF(C29="",INDEX(Matl!$C$15:$K$15,MATCH(D29,Matl!$C$2:$K$2,0)),C29)</f>
        <v>8.5984251968503952E-3</v>
      </c>
      <c r="G29" s="313"/>
      <c r="H29" s="313"/>
      <c r="I29" s="313"/>
      <c r="J29" s="313"/>
      <c r="K29" s="313"/>
      <c r="M29" s="315"/>
      <c r="N29" s="315"/>
      <c r="O29" s="315"/>
      <c r="P29" s="316"/>
      <c r="Q29" s="316"/>
      <c r="R29" s="316"/>
      <c r="S29" s="316"/>
      <c r="T29" s="315"/>
      <c r="U29" s="317"/>
      <c r="V29" s="317"/>
      <c r="W29" s="317">
        <f t="shared" si="3"/>
        <v>8.5984251968503952E-3</v>
      </c>
      <c r="X29" s="317"/>
      <c r="Y29" s="317"/>
      <c r="Z29" s="318">
        <f t="shared" si="4"/>
        <v>0</v>
      </c>
      <c r="AA29" s="319">
        <f t="shared" si="5"/>
        <v>1</v>
      </c>
      <c r="AB29" s="314">
        <f t="shared" si="6"/>
        <v>0</v>
      </c>
      <c r="AC29" s="320">
        <f t="shared" si="7"/>
        <v>0.78539816339744828</v>
      </c>
      <c r="AD29" s="320">
        <f>IF(D29="",0,SUM(F15:F29))</f>
        <v>0.1203779527559055</v>
      </c>
      <c r="AE29" s="320">
        <f>IF(D29="",0,SUM(F16:F50)/2-AD29)</f>
        <v>-3.4393700787401574E-2</v>
      </c>
      <c r="AF29" s="320">
        <f t="shared" si="8"/>
        <v>-2.5795275590551177E-2</v>
      </c>
      <c r="AG29" s="320">
        <f>IF(D29="",0,(AD29+AD28)/2-SUM(F16:F50)/2)</f>
        <v>3.0094488188976379E-2</v>
      </c>
      <c r="AH29" s="321">
        <f ca="1">IF(D29="",0,INDEX(INDIRECT($AE$60),MATCH(AH$14,Matl!$B$3:$B$17,0),MATCH(D29,Matl!$D$2:$K$2,0)))</f>
        <v>7702519.151965999</v>
      </c>
      <c r="AI29" s="321">
        <f ca="1">IF(D29="",0,INDEX(INDIRECT($AE$60),MATCH(AI$14,Matl!$B$3:$B$17,0),MATCH(D29,Matl!$D$2:$K$2,0)))</f>
        <v>7702519.151965999</v>
      </c>
      <c r="AJ29" s="321">
        <f ca="1">IF(D29="",0,INDEX(INDIRECT(AE60),MATCH(AJ14,Matl!B3:B15,0),MATCH(D29,Matl!D2:K2,0)))</f>
        <v>5.8999999999999997E-2</v>
      </c>
      <c r="AK29" s="322">
        <f t="shared" ca="1" si="9"/>
        <v>5.8999999999999997E-2</v>
      </c>
      <c r="AL29" s="321">
        <f ca="1">IF(D29="",0,INDEX(INDIRECT(AE60),MATCH(AL14,Matl!B3:B15,0),MATCH(D29,Matl!D2:K2,0)))</f>
        <v>559990.70641799993</v>
      </c>
      <c r="AM29" s="323">
        <f ca="1">IF(D29="",0,INDEX(INDIRECT(AE60),MATCH(AM14,Matl!B3:B15,0),MATCH(D29,Matl!D2:K2,0)))</f>
        <v>86297.454109999991</v>
      </c>
      <c r="AN29" s="323">
        <f ca="1">IF(D29="",0,INDEX(INDIRECT(AE60),MATCH(AN14,Matl!B3:B15,0),MATCH(D29,Matl!D2:K2,0)))</f>
        <v>70488.34066799999</v>
      </c>
      <c r="AO29" s="323">
        <f ca="1">IF(D29="",0,INDEX(INDIRECT(AE60),MATCH(AO14,Matl!B3:B15,0),MATCH(D29,Matl!D2:K2,0)))</f>
        <v>52068.547941999997</v>
      </c>
      <c r="AP29" s="323">
        <f ca="1">IF(D29="",0,INDEX(INDIRECT(AE60),MATCH(AP14,Matl!B3:B15,0),MATCH(D29,Matl!D2:K2,0)))</f>
        <v>48297.566753999999</v>
      </c>
      <c r="AQ29" s="323">
        <f ca="1">IF(D29="",0,INDEX(INDIRECT(AE60),MATCH(AQ14,Matl!B3:B15,0),MATCH(D29,Matl!D2:K2,0)))</f>
        <v>11167.905825999998</v>
      </c>
      <c r="AR29" s="321"/>
      <c r="AS29" s="321"/>
      <c r="AT29" s="324">
        <f t="shared" ca="1" si="10"/>
        <v>7729425.2813704489</v>
      </c>
      <c r="AU29" s="325">
        <f t="shared" ca="1" si="11"/>
        <v>7729425.2813704489</v>
      </c>
      <c r="AV29" s="325">
        <f t="shared" ca="1" si="12"/>
        <v>456036.09160085651</v>
      </c>
      <c r="AW29" s="325">
        <f t="shared" ca="1" si="13"/>
        <v>456036.09160085651</v>
      </c>
      <c r="AX29" s="326">
        <v>0</v>
      </c>
      <c r="AY29" s="326">
        <v>0</v>
      </c>
      <c r="AZ29" s="326">
        <v>0</v>
      </c>
      <c r="BA29" s="326">
        <v>0</v>
      </c>
      <c r="BB29" s="327">
        <f t="shared" ca="1" si="14"/>
        <v>559990.70641799993</v>
      </c>
      <c r="BC29" s="328"/>
      <c r="BD29" s="324">
        <f t="shared" ca="1" si="15"/>
        <v>4652721.392903653</v>
      </c>
      <c r="BE29" s="325">
        <f t="shared" ca="1" si="16"/>
        <v>4652721.392903653</v>
      </c>
      <c r="BF29" s="325">
        <f t="shared" ca="1" si="17"/>
        <v>3532739.9800676531</v>
      </c>
      <c r="BG29" s="325">
        <f t="shared" ca="1" si="18"/>
        <v>3532739.9800676531</v>
      </c>
      <c r="BH29" s="325">
        <f t="shared" ca="1" si="19"/>
        <v>0</v>
      </c>
      <c r="BI29" s="325">
        <f t="shared" ca="1" si="20"/>
        <v>0</v>
      </c>
      <c r="BJ29" s="325">
        <f t="shared" ca="1" si="21"/>
        <v>0</v>
      </c>
      <c r="BK29" s="325">
        <f t="shared" ca="1" si="22"/>
        <v>0</v>
      </c>
      <c r="BL29" s="329">
        <f t="shared" ca="1" si="23"/>
        <v>3636694.5948847961</v>
      </c>
      <c r="BM29" s="330"/>
      <c r="BN29" s="324">
        <f t="shared" ca="1" si="24"/>
        <v>40006.076858667635</v>
      </c>
      <c r="BO29" s="325">
        <f t="shared" ca="1" si="25"/>
        <v>40006.076858667635</v>
      </c>
      <c r="BP29" s="325">
        <f t="shared" ca="1" si="26"/>
        <v>30376.000458534472</v>
      </c>
      <c r="BQ29" s="325">
        <f t="shared" ca="1" si="27"/>
        <v>30376.000458534472</v>
      </c>
      <c r="BR29" s="325">
        <f t="shared" ca="1" si="28"/>
        <v>0</v>
      </c>
      <c r="BS29" s="325">
        <f t="shared" ca="1" si="29"/>
        <v>0</v>
      </c>
      <c r="BT29" s="325">
        <f t="shared" ca="1" si="30"/>
        <v>0</v>
      </c>
      <c r="BU29" s="325">
        <f t="shared" ca="1" si="31"/>
        <v>0</v>
      </c>
      <c r="BV29" s="329">
        <f t="shared" ca="1" si="32"/>
        <v>31269.846437907072</v>
      </c>
      <c r="BW29" s="330"/>
      <c r="BX29" s="325">
        <f t="shared" ca="1" si="33"/>
        <v>1203.9624075104543</v>
      </c>
      <c r="BY29" s="325">
        <f t="shared" ca="1" si="34"/>
        <v>1203.9624075104543</v>
      </c>
      <c r="BZ29" s="325">
        <f t="shared" ca="1" si="35"/>
        <v>914.15018702770669</v>
      </c>
      <c r="CA29" s="325">
        <f t="shared" ca="1" si="36"/>
        <v>914.15018702770669</v>
      </c>
      <c r="CB29" s="325">
        <f t="shared" ca="1" si="37"/>
        <v>0</v>
      </c>
      <c r="CC29" s="325">
        <f t="shared" ca="1" si="38"/>
        <v>0</v>
      </c>
      <c r="CD29" s="325">
        <f t="shared" ca="1" si="39"/>
        <v>0</v>
      </c>
      <c r="CE29" s="325">
        <f t="shared" ca="1" si="40"/>
        <v>0</v>
      </c>
      <c r="CF29" s="325">
        <f t="shared" ca="1" si="41"/>
        <v>941.05002429669946</v>
      </c>
      <c r="CG29" s="330"/>
      <c r="CH29" s="331">
        <f t="shared" ca="1" si="42"/>
        <v>36.479112945671098</v>
      </c>
      <c r="CI29" s="332">
        <f t="shared" ca="1" si="43"/>
        <v>36.479112945671098</v>
      </c>
      <c r="CJ29" s="332">
        <f t="shared" ca="1" si="44"/>
        <v>27.698030863642646</v>
      </c>
      <c r="CK29" s="332">
        <f t="shared" ca="1" si="45"/>
        <v>27.698030863642646</v>
      </c>
      <c r="CL29" s="332">
        <f t="shared" ca="1" si="46"/>
        <v>0</v>
      </c>
      <c r="CM29" s="332">
        <f t="shared" ca="1" si="47"/>
        <v>0</v>
      </c>
      <c r="CN29" s="332">
        <f t="shared" ca="1" si="48"/>
        <v>0</v>
      </c>
      <c r="CO29" s="332">
        <f t="shared" ca="1" si="49"/>
        <v>0</v>
      </c>
      <c r="CP29" s="333">
        <f t="shared" ca="1" si="50"/>
        <v>28.5130747519189</v>
      </c>
      <c r="CR29" s="334"/>
      <c r="CS29" s="335"/>
      <c r="CT29" s="335"/>
      <c r="CU29" s="336" t="s">
        <v>131</v>
      </c>
      <c r="CV29" s="337">
        <f ca="1">AE71</f>
        <v>4.0799587495451728E-5</v>
      </c>
      <c r="CW29" s="338"/>
      <c r="CX29" s="324">
        <f ca="1">BG20</f>
        <v>456036.09160085651</v>
      </c>
      <c r="CY29" s="325">
        <f ca="1">BE20</f>
        <v>7729425.2813704489</v>
      </c>
      <c r="CZ29" s="329">
        <f ca="1">BK20</f>
        <v>0</v>
      </c>
      <c r="DA29" s="338"/>
      <c r="DB29" s="342">
        <f ca="1"/>
        <v>523.53150187562358</v>
      </c>
      <c r="DC29" s="338"/>
      <c r="DD29" s="343">
        <f ca="1">-AE75*AE29/F69</f>
        <v>3.4341645357389649E-3</v>
      </c>
      <c r="DE29" s="344">
        <f ca="1">-AE75*AF29/F69</f>
        <v>2.5756234018042231E-3</v>
      </c>
      <c r="DF29" s="344">
        <f ca="1">-AE76*AE29/F70</f>
        <v>5.3163030522488882E-4</v>
      </c>
      <c r="DG29" s="344">
        <f ca="1">-AE76*AF29/F70</f>
        <v>3.9872272891866659E-4</v>
      </c>
      <c r="DH29" s="344">
        <f ca="1">-AE77*AE29/F69</f>
        <v>-4.140773758185036E-3</v>
      </c>
      <c r="DI29" s="345">
        <f ca="1">-AE77*AF29/F69</f>
        <v>-3.1055803186387765E-3</v>
      </c>
      <c r="DJ29" s="338"/>
      <c r="DK29" s="338"/>
      <c r="DL29" s="338"/>
      <c r="DM29" s="346" t="s">
        <v>131</v>
      </c>
      <c r="DN29" s="347">
        <f ca="1">INDEX(DG16:DG115,MATCH(DJ28,A16:A50,0))</f>
        <v>-7.9744545783733307E-4</v>
      </c>
      <c r="DO29" s="338"/>
      <c r="DP29" s="338"/>
      <c r="DQ29" s="346" t="s">
        <v>132</v>
      </c>
      <c r="DR29" s="347">
        <f ca="1">INDEX(DF16:DF115,MATCH(DJ28,A16:A50,0))</f>
        <v>-6.6453788153111079E-4</v>
      </c>
      <c r="DS29" s="338"/>
      <c r="DT29" s="324">
        <f t="shared" ref="DT29:DT30" ca="1" si="128">CX29</f>
        <v>456036.09160085651</v>
      </c>
      <c r="DU29" s="325">
        <f t="shared" ca="1" si="102"/>
        <v>7729425.2813704489</v>
      </c>
      <c r="DV29" s="329">
        <f t="shared" ca="1" si="103"/>
        <v>0</v>
      </c>
      <c r="DW29" s="338"/>
      <c r="DX29" s="349">
        <f ca="1"/>
        <v>-8512.9495415109141</v>
      </c>
      <c r="DY29" s="349"/>
      <c r="DZ29" s="349">
        <f ca="1"/>
        <v>-7094.1246179257614</v>
      </c>
      <c r="EB29" s="350">
        <f t="shared" ca="1" si="52"/>
        <v>2268.0369963811145</v>
      </c>
      <c r="EC29" s="351">
        <f t="shared" ca="1" si="53"/>
        <v>1802.4758241316983</v>
      </c>
      <c r="ED29" s="352">
        <f t="shared" ca="1" si="54"/>
        <v>-1007.8166055871841</v>
      </c>
      <c r="EE29" s="350">
        <f t="shared" ca="1" si="55"/>
        <v>13392.24182705044</v>
      </c>
      <c r="EF29" s="351">
        <f t="shared" ca="1" si="56"/>
        <v>17856.322436067258</v>
      </c>
      <c r="EG29" s="351">
        <f t="shared" ca="1" si="57"/>
        <v>10954.153535828435</v>
      </c>
      <c r="EH29" s="351">
        <f t="shared" ca="1" si="58"/>
        <v>14605.538047771252</v>
      </c>
      <c r="EI29" s="351">
        <f t="shared" ca="1" si="59"/>
        <v>-11294.047158774241</v>
      </c>
      <c r="EJ29" s="352">
        <f t="shared" ca="1" si="60"/>
        <v>-15058.729545032324</v>
      </c>
      <c r="EK29" s="350">
        <f t="shared" ref="EK29:EK39" ca="1" si="129">EE29+EB29</f>
        <v>15660.278823431556</v>
      </c>
      <c r="EL29" s="351">
        <f t="shared" ref="EL29:EL39" ca="1" si="130">EF29+EB29</f>
        <v>20124.359432448371</v>
      </c>
      <c r="EM29" s="351">
        <f t="shared" ref="EM29:EM39" ca="1" si="131">EG29+EC29</f>
        <v>12756.629359960132</v>
      </c>
      <c r="EN29" s="351">
        <f t="shared" ref="EN29:EN39" ca="1" si="132">EH29+EC29</f>
        <v>16408.013871902949</v>
      </c>
      <c r="EO29" s="351">
        <f t="shared" ref="EO29:EO39" ca="1" si="133">EI29+ED29</f>
        <v>-12301.863764361426</v>
      </c>
      <c r="EP29" s="352">
        <f t="shared" ref="EP29:EP39" ca="1" si="134">EJ29+ED29</f>
        <v>-16066.546150619508</v>
      </c>
      <c r="EQ29" s="323">
        <f t="shared" ref="EQ29:EQ39" ca="1" si="135">IF(ABS(MIN(EK29:EL29))&gt;MAX(EK29:EL29),MIN(EK29:EL29),MAX(EK29:EL29))</f>
        <v>20124.359432448371</v>
      </c>
      <c r="ER29" s="323">
        <f t="shared" ref="ER29:ER39" ca="1" si="136">IF(ABS(MIN(EM29:EN29))&gt;MAX(EM29:EN29),MIN(EM29:EN29),MAX(EM29:EN29))</f>
        <v>16408.013871902949</v>
      </c>
      <c r="ES29" s="323">
        <f t="shared" ref="ES29:ES39" ca="1" si="137">IF(ABS(MIN(EO29:EP29))&gt;MAX(EO29:EP29),MIN(EO29:EP29),MAX(EO29:EP29))</f>
        <v>-16066.546150619508</v>
      </c>
      <c r="ET29" s="323">
        <f t="shared" ref="ET29:ET39" ca="1" si="138">AM29</f>
        <v>86297.454109999991</v>
      </c>
      <c r="EU29" s="323">
        <f t="shared" ref="EU29:EU39" ca="1" si="139">AO29</f>
        <v>52068.547941999997</v>
      </c>
      <c r="EV29" s="323">
        <f t="shared" ref="EV29:EV39" ca="1" si="140">AN29</f>
        <v>70488.34066799999</v>
      </c>
      <c r="EW29" s="323">
        <f t="shared" ref="EW29:EW39" ca="1" si="141">AP29</f>
        <v>48297.566753999999</v>
      </c>
      <c r="EX29" s="323">
        <f t="shared" ref="EX29:EX39" ca="1" si="142">AQ29</f>
        <v>11167.905825999998</v>
      </c>
      <c r="EY29" s="353">
        <f t="shared" ref="EY29:EY39" ca="1" si="143">1/(ET29*EU29)</f>
        <v>2.2254946258207747E-10</v>
      </c>
      <c r="EZ29" s="353">
        <f t="shared" ref="EZ29:EZ39" ca="1" si="144">1/(EV29*EW29)</f>
        <v>2.9373619270409085E-10</v>
      </c>
      <c r="FA29" s="321">
        <f t="shared" ref="FA29:FA39" ca="1" si="145">1/EX29^2</f>
        <v>8.0178239087273853E-9</v>
      </c>
      <c r="FB29" s="354">
        <f t="shared" ref="FB29:FB39" ca="1" si="146">-1/(2*ET29*EU29)</f>
        <v>-1.1127473129103873E-10</v>
      </c>
      <c r="FC29" s="321">
        <f t="shared" ref="FC29:FC39" ca="1" si="147">(1/ET29-1/EU29)</f>
        <v>-7.6176246724607548E-6</v>
      </c>
      <c r="FD29" s="321">
        <f t="shared" ref="FD29:FD39" ca="1" si="148">(1/EV29-1/EW29)</f>
        <v>-6.5182334426556133E-6</v>
      </c>
      <c r="FE29" s="355">
        <f t="shared" ref="FE29:FE39" ca="1" si="149">EY29*EQ29^2+EZ29*ER29^2+2*FB29*EQ29*ER29+ES29^2*FA29</f>
        <v>2.1653969803154509</v>
      </c>
      <c r="FF29" s="338">
        <f t="shared" ref="FF29:FF39" ca="1" si="150">EQ29*FC29+ER29*FD29</f>
        <v>-0.26025108167748201</v>
      </c>
      <c r="FG29" s="335">
        <f t="shared" ref="FG29:FG39" ca="1" si="151">-0.5/(ET29*EU29*EV29*EW29)^0.5</f>
        <v>-1.2783860120010795E-10</v>
      </c>
      <c r="FH29" s="356">
        <f t="shared" ref="FH29:FH39" ca="1" si="152">EY29*EQ29^2+EZ29*ER29^2+2*FG29*EQ29*ER29+ES29^2*FA29</f>
        <v>2.1544581751611882</v>
      </c>
      <c r="FI29" s="335">
        <f t="shared" ref="FI29:FI39" ca="1" si="153">EQ29*FC29+ER29*FD29</f>
        <v>-0.26025108167748201</v>
      </c>
      <c r="FJ29" s="357">
        <f t="shared" ca="1" si="61"/>
        <v>-0.32773362286661467</v>
      </c>
      <c r="FK29" s="357">
        <f t="shared" ca="1" si="62"/>
        <v>-0.31383696292188745</v>
      </c>
      <c r="FL29" s="357">
        <f t="shared" ca="1" si="63"/>
        <v>-5.7531743675017788E-2</v>
      </c>
      <c r="FM29" s="357">
        <f t="shared" ca="1" si="64"/>
        <v>-5.5788558070171357E-2</v>
      </c>
      <c r="FN29" s="357">
        <f t="shared" ca="1" si="65"/>
        <v>3.2882087452112687</v>
      </c>
      <c r="FO29" s="357">
        <f t="shared" ref="FO29:FO39" ca="1" si="154">IF(ER29&gt;0,EV29/ER29-1,EW29/(ABS(ER29))-1)</f>
        <v>3.2959703239100797</v>
      </c>
      <c r="FP29" s="357">
        <f t="shared" ref="FP29:FP39" ca="1" si="155">EX29/ABS(ES29)-1</f>
        <v>-0.30489691304503697</v>
      </c>
      <c r="FR29" s="358"/>
      <c r="FS29" s="359">
        <f ca="1">INDEX(EB16:EB115,MATCH(GF28,A16:A115,0))</f>
        <v>2268.0369963811145</v>
      </c>
      <c r="FT29" s="359">
        <f>FT28</f>
        <v>6.0188976377952744E-2</v>
      </c>
      <c r="FU29" s="359">
        <f ca="1">INDEX(EC16:EC115,MATCH(GF28,A16:A115,0))</f>
        <v>1802.4758241316983</v>
      </c>
      <c r="FV29" s="359">
        <f t="shared" ref="FV29:FV31" si="156">FT29</f>
        <v>6.0188976377952744E-2</v>
      </c>
      <c r="FW29" s="359">
        <f ca="1">INDEX(ED16:ED115,MATCH(GF28,A16:A115,0))</f>
        <v>-1007.8166055871841</v>
      </c>
      <c r="FX29" s="360">
        <f t="shared" ref="FX29:FX31" si="157">FV29</f>
        <v>6.0188976377952744E-2</v>
      </c>
      <c r="FY29" s="358"/>
      <c r="FZ29" s="351">
        <f ca="1">INDEX(EE16:EE115,MATCH(GF28,A16:A115,0))</f>
        <v>-31248.564263117692</v>
      </c>
      <c r="GA29" s="359">
        <f>GA28</f>
        <v>6.0188976377952744E-2</v>
      </c>
      <c r="GB29" s="326">
        <f ca="1">INDEX(EG16:EG115,MATCH(GF28,A16:A115,0))</f>
        <v>-25559.691583599684</v>
      </c>
      <c r="GC29" s="362">
        <f t="shared" si="105"/>
        <v>6.0188976377952744E-2</v>
      </c>
      <c r="GD29" s="359">
        <f ca="1">INDEX(EI16:EI115,MATCH(GF28,A16:A115,0))</f>
        <v>26352.776703806561</v>
      </c>
      <c r="GE29" s="363">
        <f t="shared" ref="GE29:GE31" si="158">GC29</f>
        <v>6.0188976377952744E-2</v>
      </c>
      <c r="GF29" s="364"/>
      <c r="GG29" s="365">
        <f ca="1">FS29+FZ29</f>
        <v>-28980.527266736579</v>
      </c>
      <c r="GH29" s="320">
        <f>GH28</f>
        <v>6.0188976377952744E-2</v>
      </c>
      <c r="GI29" s="365">
        <f ca="1">FU29+GB29</f>
        <v>-23757.215759467985</v>
      </c>
      <c r="GJ29" s="366">
        <f t="shared" si="106"/>
        <v>6.0188976377952744E-2</v>
      </c>
      <c r="GK29" s="365">
        <f ca="1">FW29+GD29</f>
        <v>25344.960098219377</v>
      </c>
      <c r="GL29" s="366">
        <f t="shared" si="107"/>
        <v>6.0188976377952744E-2</v>
      </c>
      <c r="GN29" s="359">
        <f t="shared" si="69"/>
        <v>6.0188976377952744E-2</v>
      </c>
      <c r="GO29" s="367">
        <f ca="1">INDEX(FJ16:FJ115,MATCH(GM28,A16:A115,0))</f>
        <v>-0.57157544998894472</v>
      </c>
      <c r="GP29" s="367">
        <f ca="1">INDEX(FK16:FK115,MATCH(GM28,A16:A115,0))</f>
        <v>-0.57079371335286244</v>
      </c>
      <c r="GQ29" s="367">
        <f ca="1">INDEX(FL16:FL115,MATCH(GM28,A16:A115,0))</f>
        <v>-0.94185160041784055</v>
      </c>
      <c r="GR29" s="367">
        <f ca="1">INDEX(FM16:FM115,MATCH(GM28,A16:A115,0))</f>
        <v>-0.94091788886010996</v>
      </c>
      <c r="GS29" s="367">
        <f ca="1">INDEX(FN16:FN115,MATCH(GM28,A16:A115,0))</f>
        <v>0.79667358922635989</v>
      </c>
      <c r="GT29" s="367">
        <f ca="1">INDEX(FO16:FO115,MATCH(GM28,A16:A115,0))</f>
        <v>1.0329640999599006</v>
      </c>
      <c r="GU29" s="367">
        <f ca="1">INDEX(FP16:FP115,MATCH(GM28,A16:A115,0))</f>
        <v>-0.55936384264481021</v>
      </c>
      <c r="HH29" s="321">
        <f ca="1">IF(D28="","",INDEX(INDIRECT(AE60),MATCH(HH15,Matl!B3:B29,0),MATCH(D28,Matl!D2:K2,0)))</f>
        <v>3000</v>
      </c>
      <c r="HI29" s="314">
        <f ca="1">IF(D28="","",INDEX(INDIRECT(AE60),MATCH(HI15,Matl!B3:B29,0),MATCH(D28,Matl!D2:K2,0)))</f>
        <v>4500</v>
      </c>
      <c r="HO29" s="338"/>
      <c r="HP29" s="338"/>
      <c r="HQ29" s="346" t="s">
        <v>38</v>
      </c>
      <c r="HR29" s="346" t="s">
        <v>35</v>
      </c>
      <c r="HS29" s="348">
        <f ca="1">AE70</f>
        <v>4.5648610417658959E-4</v>
      </c>
      <c r="HT29" s="365">
        <f ca="1">HS29*1000000</f>
        <v>456.48610417658961</v>
      </c>
      <c r="HU29" s="338" t="s">
        <v>276</v>
      </c>
      <c r="HY29" s="338"/>
      <c r="HZ29" s="338"/>
      <c r="IA29" s="338"/>
      <c r="IB29" s="338"/>
      <c r="IC29" s="338"/>
      <c r="ID29" s="338">
        <f>AD121</f>
        <v>0</v>
      </c>
      <c r="IE29" s="338">
        <f>-AC121</f>
        <v>0</v>
      </c>
      <c r="IF29" s="338"/>
      <c r="IG29" s="338"/>
      <c r="IH29" s="338"/>
      <c r="II29" s="338"/>
      <c r="IJ29" s="338">
        <v>2</v>
      </c>
      <c r="IK29" s="342">
        <f>IK27-(IK27-IK57)*IJ29/(IJ56+1)</f>
        <v>0.20943951023931953</v>
      </c>
      <c r="IL29" s="338">
        <f ca="1">IK25*SIN(IK45)</f>
        <v>2853.1695488854612</v>
      </c>
      <c r="IM29" s="338">
        <f ca="1">IK25*SIN(IK30)+IF27</f>
        <v>927.05098312484222</v>
      </c>
      <c r="IN29" s="338"/>
      <c r="IO29" s="338"/>
      <c r="IP29" s="338"/>
    </row>
    <row r="30" spans="1:250" s="314" customFormat="1" ht="14.4" x14ac:dyDescent="0.35">
      <c r="A30" s="310">
        <v>15</v>
      </c>
      <c r="B30" s="311">
        <v>0</v>
      </c>
      <c r="C30" s="311"/>
      <c r="D30" s="380" t="s">
        <v>109</v>
      </c>
      <c r="E30" s="380"/>
      <c r="F30" s="312">
        <f>IF(C30="",INDEX(Matl!$C$15:$K$15,MATCH(D30,Matl!$C$2:$K$2,0)),C30)</f>
        <v>8.5984251968503952E-3</v>
      </c>
      <c r="G30" s="313"/>
      <c r="H30" s="313"/>
      <c r="I30" s="313"/>
      <c r="J30" s="313"/>
      <c r="K30" s="313"/>
      <c r="M30" s="315"/>
      <c r="N30" s="315"/>
      <c r="O30" s="315"/>
      <c r="P30" s="316"/>
      <c r="Q30" s="316"/>
      <c r="R30" s="316"/>
      <c r="S30" s="316"/>
      <c r="T30" s="315"/>
      <c r="U30" s="317"/>
      <c r="V30" s="317"/>
      <c r="W30" s="317">
        <f t="shared" si="3"/>
        <v>0</v>
      </c>
      <c r="X30" s="317"/>
      <c r="Y30" s="317"/>
      <c r="Z30" s="318">
        <f t="shared" si="4"/>
        <v>1</v>
      </c>
      <c r="AA30" s="319">
        <f t="shared" si="5"/>
        <v>1</v>
      </c>
      <c r="AB30" s="314">
        <f t="shared" si="6"/>
        <v>8.5984251968503952E-3</v>
      </c>
      <c r="AC30" s="320">
        <f t="shared" si="7"/>
        <v>0</v>
      </c>
      <c r="AD30" s="320">
        <f>IF(D30="",0,SUM(F15:F30))</f>
        <v>0.12897637795275591</v>
      </c>
      <c r="AE30" s="320">
        <f>IF(D30="",0,SUM(F16:F50)/2-AD30)</f>
        <v>-4.2992125984251978E-2</v>
      </c>
      <c r="AF30" s="320">
        <f t="shared" si="8"/>
        <v>-3.4393700787401581E-2</v>
      </c>
      <c r="AG30" s="320">
        <f>IF(D30="",0,(AD30+AD29)/2-SUM(F16:F50)/2)</f>
        <v>3.8692913385826783E-2</v>
      </c>
      <c r="AH30" s="321">
        <f ca="1">IF(D30="",0,INDEX(INDIRECT($AE$60),MATCH(AH$14,Matl!$B$3:$B$17,0),MATCH(D30,Matl!$D$2:$K$2,0)))</f>
        <v>7702519.151965999</v>
      </c>
      <c r="AI30" s="321">
        <f ca="1">IF(D30="",0,INDEX(INDIRECT($AE$60),MATCH(AI$14,Matl!$B$3:$B$17,0),MATCH(D30,Matl!$D$2:$K$2,0)))</f>
        <v>7702519.151965999</v>
      </c>
      <c r="AJ30" s="321">
        <f ca="1">IF(D30="",0,INDEX(INDIRECT(AE60),MATCH(AJ14,Matl!B3:B15,0),MATCH(D30,Matl!D2:K2,0)))</f>
        <v>5.8999999999999997E-2</v>
      </c>
      <c r="AK30" s="322">
        <f t="shared" ca="1" si="9"/>
        <v>5.8999999999999997E-2</v>
      </c>
      <c r="AL30" s="321">
        <f ca="1">IF(D30="",0,INDEX(INDIRECT(AE60),MATCH(AL14,Matl!B3:B15,0),MATCH(D30,Matl!D2:K2,0)))</f>
        <v>559990.70641799993</v>
      </c>
      <c r="AM30" s="323">
        <f ca="1">IF(D30="",0,INDEX(INDIRECT(AE60),MATCH(AM14,Matl!B3:B15,0),MATCH(D30,Matl!D2:K2,0)))</f>
        <v>86297.454109999991</v>
      </c>
      <c r="AN30" s="323">
        <f ca="1">IF(D30="",0,INDEX(INDIRECT(AE60),MATCH(AN14,Matl!B3:B15,0),MATCH(D30,Matl!D2:K2,0)))</f>
        <v>70488.34066799999</v>
      </c>
      <c r="AO30" s="323">
        <f ca="1">IF(D30="",0,INDEX(INDIRECT(AE60),MATCH(AO14,Matl!B3:B15,0),MATCH(D30,Matl!D2:K2,0)))</f>
        <v>52068.547941999997</v>
      </c>
      <c r="AP30" s="323">
        <f ca="1">IF(D30="",0,INDEX(INDIRECT(AE60),MATCH(AP14,Matl!B3:B15,0),MATCH(D30,Matl!D2:K2,0)))</f>
        <v>48297.566753999999</v>
      </c>
      <c r="AQ30" s="323">
        <f ca="1">IF(D30="",0,INDEX(INDIRECT(AE60),MATCH(AQ14,Matl!B3:B15,0),MATCH(D30,Matl!D2:K2,0)))</f>
        <v>11167.905825999998</v>
      </c>
      <c r="AR30" s="321"/>
      <c r="AS30" s="321"/>
      <c r="AT30" s="324">
        <f t="shared" ca="1" si="10"/>
        <v>7729425.2813704489</v>
      </c>
      <c r="AU30" s="325">
        <f t="shared" ca="1" si="11"/>
        <v>7729425.2813704489</v>
      </c>
      <c r="AV30" s="325">
        <f t="shared" ca="1" si="12"/>
        <v>456036.09160085651</v>
      </c>
      <c r="AW30" s="325">
        <f t="shared" ca="1" si="13"/>
        <v>456036.09160085651</v>
      </c>
      <c r="AX30" s="326">
        <v>0</v>
      </c>
      <c r="AY30" s="326">
        <v>0</v>
      </c>
      <c r="AZ30" s="326">
        <v>0</v>
      </c>
      <c r="BA30" s="326">
        <v>0</v>
      </c>
      <c r="BB30" s="327">
        <f t="shared" ca="1" si="14"/>
        <v>559990.70641799993</v>
      </c>
      <c r="BC30" s="328"/>
      <c r="BD30" s="324">
        <f t="shared" ca="1" si="15"/>
        <v>7729425.2813704489</v>
      </c>
      <c r="BE30" s="325">
        <f t="shared" ca="1" si="16"/>
        <v>7729425.2813704489</v>
      </c>
      <c r="BF30" s="325">
        <f t="shared" ca="1" si="17"/>
        <v>456036.09160085651</v>
      </c>
      <c r="BG30" s="325">
        <f t="shared" ca="1" si="18"/>
        <v>456036.09160085651</v>
      </c>
      <c r="BH30" s="325">
        <f t="shared" ca="1" si="19"/>
        <v>0</v>
      </c>
      <c r="BI30" s="325">
        <f t="shared" ca="1" si="20"/>
        <v>0</v>
      </c>
      <c r="BJ30" s="325">
        <f t="shared" ca="1" si="21"/>
        <v>0</v>
      </c>
      <c r="BK30" s="325">
        <f t="shared" ca="1" si="22"/>
        <v>0</v>
      </c>
      <c r="BL30" s="329">
        <f t="shared" ca="1" si="23"/>
        <v>559990.70641799993</v>
      </c>
      <c r="BM30" s="330"/>
      <c r="BN30" s="324">
        <f t="shared" ca="1" si="24"/>
        <v>66460.885096508122</v>
      </c>
      <c r="BO30" s="325">
        <f t="shared" ca="1" si="25"/>
        <v>66460.885096508122</v>
      </c>
      <c r="BP30" s="325">
        <f t="shared" ca="1" si="26"/>
        <v>3921.1922206939794</v>
      </c>
      <c r="BQ30" s="325">
        <f t="shared" ca="1" si="27"/>
        <v>3921.1922206939794</v>
      </c>
      <c r="BR30" s="325">
        <f t="shared" ca="1" si="28"/>
        <v>0</v>
      </c>
      <c r="BS30" s="325">
        <f t="shared" ca="1" si="29"/>
        <v>0</v>
      </c>
      <c r="BT30" s="325">
        <f t="shared" ca="1" si="30"/>
        <v>0</v>
      </c>
      <c r="BU30" s="325">
        <f t="shared" ca="1" si="31"/>
        <v>0</v>
      </c>
      <c r="BV30" s="329">
        <f t="shared" ca="1" si="32"/>
        <v>4815.0382000665832</v>
      </c>
      <c r="BW30" s="330"/>
      <c r="BX30" s="325">
        <f t="shared" ca="1" si="33"/>
        <v>2571.565270584575</v>
      </c>
      <c r="BY30" s="325">
        <f t="shared" ca="1" si="34"/>
        <v>2571.565270584575</v>
      </c>
      <c r="BZ30" s="325">
        <f t="shared" ca="1" si="35"/>
        <v>151.72235096448992</v>
      </c>
      <c r="CA30" s="325">
        <f t="shared" ca="1" si="36"/>
        <v>151.72235096448992</v>
      </c>
      <c r="CB30" s="325">
        <f t="shared" ca="1" si="37"/>
        <v>0</v>
      </c>
      <c r="CC30" s="325">
        <f t="shared" ca="1" si="38"/>
        <v>0</v>
      </c>
      <c r="CD30" s="325">
        <f t="shared" ca="1" si="39"/>
        <v>0</v>
      </c>
      <c r="CE30" s="325">
        <f t="shared" ca="1" si="40"/>
        <v>0</v>
      </c>
      <c r="CF30" s="325">
        <f t="shared" ca="1" si="41"/>
        <v>186.30785602462359</v>
      </c>
      <c r="CG30" s="330"/>
      <c r="CH30" s="331">
        <f t="shared" ca="1" si="42"/>
        <v>99.910822866246576</v>
      </c>
      <c r="CI30" s="332">
        <f t="shared" ca="1" si="43"/>
        <v>99.910822866246576</v>
      </c>
      <c r="CJ30" s="332">
        <f t="shared" ca="1" si="44"/>
        <v>5.8947385491085482</v>
      </c>
      <c r="CK30" s="332">
        <f t="shared" ca="1" si="45"/>
        <v>5.8947385491085482</v>
      </c>
      <c r="CL30" s="332">
        <f t="shared" ca="1" si="46"/>
        <v>0</v>
      </c>
      <c r="CM30" s="332">
        <f t="shared" ca="1" si="47"/>
        <v>0</v>
      </c>
      <c r="CN30" s="332">
        <f t="shared" ca="1" si="48"/>
        <v>0</v>
      </c>
      <c r="CO30" s="332">
        <f t="shared" ca="1" si="49"/>
        <v>0</v>
      </c>
      <c r="CP30" s="333">
        <f t="shared" ca="1" si="50"/>
        <v>7.238459554104538</v>
      </c>
      <c r="CR30" s="334"/>
      <c r="CS30" s="335"/>
      <c r="CT30" s="335"/>
      <c r="CU30" s="336" t="s">
        <v>133</v>
      </c>
      <c r="CV30" s="337">
        <f ca="1">AE72</f>
        <v>-2.771243444540907E-4</v>
      </c>
      <c r="CW30" s="338"/>
      <c r="CX30" s="369">
        <f ca="1">BI20</f>
        <v>0</v>
      </c>
      <c r="CY30" s="370">
        <f ca="1">BJ20</f>
        <v>0</v>
      </c>
      <c r="CZ30" s="371">
        <f ca="1">BL20</f>
        <v>559990.70641799993</v>
      </c>
      <c r="DA30" s="338"/>
      <c r="DB30" s="342">
        <f ca="1"/>
        <v>-155.18705741647139</v>
      </c>
      <c r="DC30" s="338"/>
      <c r="DD30" s="343">
        <f ca="1">-AE75*AE30/F69</f>
        <v>4.2927056696737071E-3</v>
      </c>
      <c r="DE30" s="344">
        <f ca="1">-AE75*AF30/F69</f>
        <v>3.4341645357389653E-3</v>
      </c>
      <c r="DF30" s="344">
        <f ca="1">-AE76*AE30/F70</f>
        <v>6.6453788153111122E-4</v>
      </c>
      <c r="DG30" s="344">
        <f ca="1">-AE76*AF30/F70</f>
        <v>5.3163030522488893E-4</v>
      </c>
      <c r="DH30" s="344">
        <f ca="1">-AE77*AE30/F69</f>
        <v>-5.1759671977312958E-3</v>
      </c>
      <c r="DI30" s="345">
        <f ca="1">-AE77*AF30/F69</f>
        <v>-4.1407737581850368E-3</v>
      </c>
      <c r="DJ30" s="338"/>
      <c r="DK30" s="338"/>
      <c r="DL30" s="338"/>
      <c r="DM30" s="346" t="s">
        <v>133</v>
      </c>
      <c r="DN30" s="347">
        <f ca="1">INDEX(DI16:DI115,MATCH(DJ28,A16:A50,0))</f>
        <v>6.2111606372775522E-3</v>
      </c>
      <c r="DO30" s="338"/>
      <c r="DP30" s="338"/>
      <c r="DQ30" s="346" t="s">
        <v>134</v>
      </c>
      <c r="DR30" s="347">
        <f ca="1">INDEX(DH16:DH115,MATCH(DJ28,A16:A50,0))</f>
        <v>5.1759671977312923E-3</v>
      </c>
      <c r="DS30" s="338"/>
      <c r="DT30" s="369">
        <f t="shared" ca="1" si="128"/>
        <v>0</v>
      </c>
      <c r="DU30" s="370">
        <f t="shared" ca="1" si="102"/>
        <v>0</v>
      </c>
      <c r="DV30" s="371">
        <f t="shared" ca="1" si="103"/>
        <v>559990.70641799993</v>
      </c>
      <c r="DW30" s="338"/>
      <c r="DX30" s="349">
        <f ca="1"/>
        <v>3478.1922329447311</v>
      </c>
      <c r="DY30" s="349"/>
      <c r="DZ30" s="349">
        <f ca="1"/>
        <v>2898.4935274539421</v>
      </c>
      <c r="EB30" s="350">
        <f t="shared" ca="1" si="52"/>
        <v>3546.9813186371889</v>
      </c>
      <c r="EC30" s="351">
        <f t="shared" ca="1" si="53"/>
        <v>523.53150187562358</v>
      </c>
      <c r="ED30" s="352">
        <f t="shared" ca="1" si="54"/>
        <v>-155.18705741647139</v>
      </c>
      <c r="EE30" s="350">
        <f t="shared" ca="1" si="55"/>
        <v>26786.5607894979</v>
      </c>
      <c r="EF30" s="351">
        <f t="shared" ca="1" si="56"/>
        <v>33483.200986872376</v>
      </c>
      <c r="EG30" s="351">
        <f t="shared" ca="1" si="57"/>
        <v>5675.2996943406124</v>
      </c>
      <c r="EH30" s="351">
        <f t="shared" ca="1" si="58"/>
        <v>7094.1246179257669</v>
      </c>
      <c r="EI30" s="351">
        <f t="shared" ca="1" si="59"/>
        <v>-2318.7948219631553</v>
      </c>
      <c r="EJ30" s="352">
        <f t="shared" ca="1" si="60"/>
        <v>-2898.4935274539439</v>
      </c>
      <c r="EK30" s="350">
        <f t="shared" ca="1" si="129"/>
        <v>30333.542108135091</v>
      </c>
      <c r="EL30" s="351">
        <f t="shared" ca="1" si="130"/>
        <v>37030.182305509567</v>
      </c>
      <c r="EM30" s="351">
        <f t="shared" ca="1" si="131"/>
        <v>6198.8311962162361</v>
      </c>
      <c r="EN30" s="351">
        <f t="shared" ca="1" si="132"/>
        <v>7617.6561198013906</v>
      </c>
      <c r="EO30" s="351">
        <f t="shared" ca="1" si="133"/>
        <v>-2473.9818793796267</v>
      </c>
      <c r="EP30" s="352">
        <f t="shared" ca="1" si="134"/>
        <v>-3053.6805848704153</v>
      </c>
      <c r="EQ30" s="323">
        <f t="shared" ca="1" si="135"/>
        <v>37030.182305509567</v>
      </c>
      <c r="ER30" s="323">
        <f t="shared" ca="1" si="136"/>
        <v>7617.6561198013906</v>
      </c>
      <c r="ES30" s="323">
        <f t="shared" ca="1" si="137"/>
        <v>-3053.6805848704153</v>
      </c>
      <c r="ET30" s="323">
        <f t="shared" ca="1" si="138"/>
        <v>86297.454109999991</v>
      </c>
      <c r="EU30" s="323">
        <f t="shared" ca="1" si="139"/>
        <v>52068.547941999997</v>
      </c>
      <c r="EV30" s="323">
        <f t="shared" ca="1" si="140"/>
        <v>70488.34066799999</v>
      </c>
      <c r="EW30" s="323">
        <f t="shared" ca="1" si="141"/>
        <v>48297.566753999999</v>
      </c>
      <c r="EX30" s="323">
        <f t="shared" ca="1" si="142"/>
        <v>11167.905825999998</v>
      </c>
      <c r="EY30" s="353">
        <f t="shared" ca="1" si="143"/>
        <v>2.2254946258207747E-10</v>
      </c>
      <c r="EZ30" s="353">
        <f t="shared" ca="1" si="144"/>
        <v>2.9373619270409085E-10</v>
      </c>
      <c r="FA30" s="321">
        <f t="shared" ca="1" si="145"/>
        <v>8.0178239087273853E-9</v>
      </c>
      <c r="FB30" s="354">
        <f t="shared" ca="1" si="146"/>
        <v>-1.1127473129103873E-10</v>
      </c>
      <c r="FC30" s="321">
        <f t="shared" ca="1" si="147"/>
        <v>-7.6176246724607548E-6</v>
      </c>
      <c r="FD30" s="321">
        <f t="shared" ca="1" si="148"/>
        <v>-6.5182334426556133E-6</v>
      </c>
      <c r="FE30" s="355">
        <f t="shared" ca="1" si="149"/>
        <v>0.33420106889797657</v>
      </c>
      <c r="FF30" s="338">
        <f t="shared" ca="1" si="150"/>
        <v>-0.33173569123090896</v>
      </c>
      <c r="FG30" s="335">
        <f t="shared" ca="1" si="151"/>
        <v>-1.2783860120010795E-10</v>
      </c>
      <c r="FH30" s="356">
        <f t="shared" ca="1" si="152"/>
        <v>0.32485629021168705</v>
      </c>
      <c r="FI30" s="335">
        <f t="shared" ca="1" si="153"/>
        <v>-0.33173569123090896</v>
      </c>
      <c r="FJ30" s="357">
        <f t="shared" ca="1" si="61"/>
        <v>0.4122725231141211</v>
      </c>
      <c r="FK30" s="357">
        <f t="shared" ca="1" si="62"/>
        <v>1.111949596111272</v>
      </c>
      <c r="FL30" s="357">
        <f t="shared" ca="1" si="63"/>
        <v>1.131328922295765</v>
      </c>
      <c r="FM30" s="357">
        <f t="shared" ca="1" si="64"/>
        <v>1.1590245940710027</v>
      </c>
      <c r="FN30" s="357">
        <f t="shared" ca="1" si="65"/>
        <v>1.3304625777432415</v>
      </c>
      <c r="FO30" s="357">
        <f t="shared" ca="1" si="154"/>
        <v>8.2532846796237074</v>
      </c>
      <c r="FP30" s="357">
        <f t="shared" ca="1" si="155"/>
        <v>2.6571951504462654</v>
      </c>
      <c r="FR30" s="358"/>
      <c r="FS30" s="359">
        <f ca="1">FS29</f>
        <v>2268.0369963811145</v>
      </c>
      <c r="FT30" s="359">
        <f>INDEX(AE16:AE115,MATCH(GF28,A16:A115,0))</f>
        <v>5.1590551181102347E-2</v>
      </c>
      <c r="FU30" s="359">
        <f ca="1">FU29</f>
        <v>1802.4758241316983</v>
      </c>
      <c r="FV30" s="359">
        <f t="shared" si="156"/>
        <v>5.1590551181102347E-2</v>
      </c>
      <c r="FW30" s="359">
        <f ca="1">FW29</f>
        <v>-1007.8166055871841</v>
      </c>
      <c r="FX30" s="360">
        <f t="shared" si="157"/>
        <v>5.1590551181102347E-2</v>
      </c>
      <c r="FY30" s="358"/>
      <c r="FZ30" s="351">
        <f ca="1">INDEX(EF16:EF115,MATCH(GF28,A16:A115,0))</f>
        <v>-26784.483654100877</v>
      </c>
      <c r="GA30" s="359">
        <f>FT30</f>
        <v>5.1590551181102347E-2</v>
      </c>
      <c r="GB30" s="326">
        <f ca="1">INDEX(EH16:EH115,MATCH(GF28,A16:A115,0))</f>
        <v>-21908.307071656869</v>
      </c>
      <c r="GC30" s="362">
        <f t="shared" si="105"/>
        <v>5.1590551181102347E-2</v>
      </c>
      <c r="GD30" s="359">
        <f ca="1">INDEX(EJ16:EJ115,MATCH(GF28,A16:A115,0))</f>
        <v>22588.094317548479</v>
      </c>
      <c r="GE30" s="363">
        <f t="shared" si="158"/>
        <v>5.1590551181102347E-2</v>
      </c>
      <c r="GF30" s="364"/>
      <c r="GG30" s="365">
        <f ca="1">FS30+FZ30</f>
        <v>-24516.446657719764</v>
      </c>
      <c r="GH30" s="320">
        <f>FT30</f>
        <v>5.1590551181102347E-2</v>
      </c>
      <c r="GI30" s="365">
        <f ca="1">FU30+GB30</f>
        <v>-20105.83124752517</v>
      </c>
      <c r="GJ30" s="366">
        <f t="shared" si="106"/>
        <v>5.1590551181102347E-2</v>
      </c>
      <c r="GK30" s="365">
        <f ca="1">FW30+GD30</f>
        <v>21580.277711961295</v>
      </c>
      <c r="GL30" s="366">
        <f t="shared" si="107"/>
        <v>5.1590551181102347E-2</v>
      </c>
      <c r="GN30" s="359">
        <f t="shared" si="69"/>
        <v>5.1590551181102347E-2</v>
      </c>
      <c r="GO30" s="367">
        <f ca="1">GO29</f>
        <v>-0.57157544998894472</v>
      </c>
      <c r="GP30" s="367">
        <f t="shared" ref="GP30" ca="1" si="159">GP29</f>
        <v>-0.57079371335286244</v>
      </c>
      <c r="GQ30" s="367">
        <f t="shared" ref="GQ30" ca="1" si="160">GQ29</f>
        <v>-0.94185160041784055</v>
      </c>
      <c r="GR30" s="367">
        <f t="shared" ref="GR30" ca="1" si="161">GR29</f>
        <v>-0.94091788886010996</v>
      </c>
      <c r="GS30" s="367">
        <f t="shared" ref="GS30" ca="1" si="162">GS29</f>
        <v>0.79667358922635989</v>
      </c>
      <c r="GT30" s="367">
        <f t="shared" ref="GT30" ca="1" si="163">GT29</f>
        <v>1.0329640999599006</v>
      </c>
      <c r="GU30" s="367">
        <f t="shared" ref="GU30" ca="1" si="164">GU29</f>
        <v>-0.55936384264481021</v>
      </c>
      <c r="HH30" s="321">
        <f ca="1">IF(D29="","",INDEX(INDIRECT(AE60),MATCH(HH15,Matl!B3:B29,0),MATCH(D29,Matl!D2:K2,0)))</f>
        <v>3000</v>
      </c>
      <c r="HI30" s="314">
        <f ca="1">IF(D29="","",INDEX(INDIRECT(AE60),MATCH(HI15,Matl!B3:B29,0),MATCH(D29,Matl!D2:K2,0)))</f>
        <v>4500</v>
      </c>
      <c r="HO30" s="338"/>
      <c r="HP30" s="338"/>
      <c r="HQ30" s="346" t="s">
        <v>38</v>
      </c>
      <c r="HR30" s="346" t="s">
        <v>36</v>
      </c>
      <c r="HS30" s="348">
        <f ca="1">AE71</f>
        <v>4.0799587495451728E-5</v>
      </c>
      <c r="HT30" s="365">
        <f ca="1">HS30*1000000</f>
        <v>40.799587495451732</v>
      </c>
      <c r="HU30" s="338" t="s">
        <v>277</v>
      </c>
      <c r="HY30" s="338"/>
      <c r="HZ30" s="338"/>
      <c r="IA30" s="338"/>
      <c r="IB30" s="338"/>
      <c r="IC30" s="338"/>
      <c r="ID30" s="338">
        <f>IP40</f>
        <v>0</v>
      </c>
      <c r="IE30" s="338">
        <f>-IO40</f>
        <v>0</v>
      </c>
      <c r="IF30" s="338"/>
      <c r="IG30" s="338"/>
      <c r="IH30" s="338"/>
      <c r="II30" s="338"/>
      <c r="IJ30" s="338">
        <v>3</v>
      </c>
      <c r="IK30" s="342">
        <f>IK27-(IK27-IK57)*IJ30/(IJ56+1)</f>
        <v>0.31415926535897931</v>
      </c>
      <c r="IL30" s="338">
        <f ca="1">IK25*SIN(IK46)</f>
        <v>2740.6363729278028</v>
      </c>
      <c r="IM30" s="338">
        <f ca="1">IK25*SIN(IK31)+IF27</f>
        <v>1220.2099292274004</v>
      </c>
      <c r="IN30" s="338"/>
      <c r="IO30" s="338"/>
      <c r="IP30" s="338"/>
    </row>
    <row r="31" spans="1:250" s="314" customFormat="1" ht="14.4" x14ac:dyDescent="0.35">
      <c r="A31" s="310">
        <v>16</v>
      </c>
      <c r="B31" s="311">
        <v>0</v>
      </c>
      <c r="C31" s="311"/>
      <c r="D31" s="380" t="s">
        <v>109</v>
      </c>
      <c r="E31" s="380"/>
      <c r="F31" s="312">
        <f>IF(C31="",INDEX(Matl!$C$15:$K$15,MATCH(D31,Matl!$C$2:$K$2,0)),C31)</f>
        <v>8.5984251968503952E-3</v>
      </c>
      <c r="G31" s="313"/>
      <c r="H31" s="313"/>
      <c r="I31" s="313"/>
      <c r="J31" s="313"/>
      <c r="K31" s="313"/>
      <c r="M31" s="315"/>
      <c r="N31" s="315"/>
      <c r="O31" s="315"/>
      <c r="P31" s="316"/>
      <c r="Q31" s="316"/>
      <c r="R31" s="316"/>
      <c r="S31" s="316"/>
      <c r="T31" s="315"/>
      <c r="U31" s="317"/>
      <c r="V31" s="317"/>
      <c r="W31" s="317">
        <f t="shared" si="3"/>
        <v>0</v>
      </c>
      <c r="X31" s="317"/>
      <c r="Y31" s="317"/>
      <c r="Z31" s="318">
        <f t="shared" si="4"/>
        <v>1</v>
      </c>
      <c r="AA31" s="319">
        <f t="shared" si="5"/>
        <v>1</v>
      </c>
      <c r="AB31" s="314">
        <f t="shared" si="6"/>
        <v>8.5984251968503952E-3</v>
      </c>
      <c r="AC31" s="320">
        <f t="shared" si="7"/>
        <v>0</v>
      </c>
      <c r="AD31" s="320">
        <f>IF(D31="",0,SUM(F15:F31))</f>
        <v>0.1375748031496063</v>
      </c>
      <c r="AE31" s="320">
        <f>IF(D31="",0,SUM(F16:F50)/2-AD31)</f>
        <v>-5.1590551181102368E-2</v>
      </c>
      <c r="AF31" s="320">
        <f t="shared" si="8"/>
        <v>-4.2992125984251971E-2</v>
      </c>
      <c r="AG31" s="320">
        <f>IF(D31="",0,(AD31+AD30)/2-SUM(F16:F50)/2)</f>
        <v>4.7291338582677173E-2</v>
      </c>
      <c r="AH31" s="321">
        <f ca="1">IF(D31="",0,INDEX(INDIRECT($AE$60),MATCH(AH$14,Matl!$B$3:$B$17,0),MATCH(D31,Matl!$D$2:$K$2,0)))</f>
        <v>7702519.151965999</v>
      </c>
      <c r="AI31" s="321">
        <f ca="1">IF(D31="",0,INDEX(INDIRECT($AE$60),MATCH(AI$14,Matl!$B$3:$B$17,0),MATCH(D31,Matl!$D$2:$K$2,0)))</f>
        <v>7702519.151965999</v>
      </c>
      <c r="AJ31" s="321">
        <f ca="1">IF(D31="",0,INDEX(INDIRECT(AE60),MATCH(AJ14,Matl!B3:B15,0),MATCH(D31,Matl!D2:K2,0)))</f>
        <v>5.8999999999999997E-2</v>
      </c>
      <c r="AK31" s="322">
        <f t="shared" ca="1" si="9"/>
        <v>5.8999999999999997E-2</v>
      </c>
      <c r="AL31" s="321">
        <f ca="1">IF(D31="",0,INDEX(INDIRECT(AE60),MATCH(AL14,Matl!B3:B15,0),MATCH(D31,Matl!D2:K2,0)))</f>
        <v>559990.70641799993</v>
      </c>
      <c r="AM31" s="323">
        <f ca="1">IF(D31="",0,INDEX(INDIRECT(AE60),MATCH(AM14,Matl!B3:B15,0),MATCH(D31,Matl!D2:K2,0)))</f>
        <v>86297.454109999991</v>
      </c>
      <c r="AN31" s="323">
        <f ca="1">IF(D31="",0,INDEX(INDIRECT(AE60),MATCH(AN14,Matl!B3:B15,0),MATCH(D31,Matl!D2:K2,0)))</f>
        <v>70488.34066799999</v>
      </c>
      <c r="AO31" s="323">
        <f ca="1">IF(D31="",0,INDEX(INDIRECT(AE60),MATCH(AO14,Matl!B3:B15,0),MATCH(D31,Matl!D2:K2,0)))</f>
        <v>52068.547941999997</v>
      </c>
      <c r="AP31" s="323">
        <f ca="1">IF(D31="",0,INDEX(INDIRECT(AE60),MATCH(AP14,Matl!B3:B15,0),MATCH(D31,Matl!D2:K2,0)))</f>
        <v>48297.566753999999</v>
      </c>
      <c r="AQ31" s="323">
        <f ca="1">IF(D31="",0,INDEX(INDIRECT(AE60),MATCH(AQ14,Matl!B3:B15,0),MATCH(D31,Matl!D2:K2,0)))</f>
        <v>11167.905825999998</v>
      </c>
      <c r="AR31" s="321"/>
      <c r="AS31" s="321"/>
      <c r="AT31" s="324">
        <f t="shared" ca="1" si="10"/>
        <v>7729425.2813704489</v>
      </c>
      <c r="AU31" s="325">
        <f t="shared" ca="1" si="11"/>
        <v>7729425.2813704489</v>
      </c>
      <c r="AV31" s="325">
        <f t="shared" ca="1" si="12"/>
        <v>456036.09160085651</v>
      </c>
      <c r="AW31" s="325">
        <f t="shared" ca="1" si="13"/>
        <v>456036.09160085651</v>
      </c>
      <c r="AX31" s="326">
        <v>0</v>
      </c>
      <c r="AY31" s="326">
        <v>0</v>
      </c>
      <c r="AZ31" s="326">
        <v>0</v>
      </c>
      <c r="BA31" s="326">
        <v>0</v>
      </c>
      <c r="BB31" s="327">
        <f t="shared" ca="1" si="14"/>
        <v>559990.70641799993</v>
      </c>
      <c r="BC31" s="328"/>
      <c r="BD31" s="324">
        <f t="shared" ca="1" si="15"/>
        <v>7729425.2813704489</v>
      </c>
      <c r="BE31" s="325">
        <f t="shared" ca="1" si="16"/>
        <v>7729425.2813704489</v>
      </c>
      <c r="BF31" s="325">
        <f t="shared" ca="1" si="17"/>
        <v>456036.09160085651</v>
      </c>
      <c r="BG31" s="325">
        <f t="shared" ca="1" si="18"/>
        <v>456036.09160085651</v>
      </c>
      <c r="BH31" s="325">
        <f t="shared" ca="1" si="19"/>
        <v>0</v>
      </c>
      <c r="BI31" s="325">
        <f t="shared" ca="1" si="20"/>
        <v>0</v>
      </c>
      <c r="BJ31" s="325">
        <f t="shared" ca="1" si="21"/>
        <v>0</v>
      </c>
      <c r="BK31" s="325">
        <f t="shared" ca="1" si="22"/>
        <v>0</v>
      </c>
      <c r="BL31" s="329">
        <f t="shared" ca="1" si="23"/>
        <v>559990.70641799993</v>
      </c>
      <c r="BM31" s="330"/>
      <c r="BN31" s="324">
        <f t="shared" ca="1" si="24"/>
        <v>66460.885096508122</v>
      </c>
      <c r="BO31" s="325">
        <f t="shared" ca="1" si="25"/>
        <v>66460.885096508122</v>
      </c>
      <c r="BP31" s="325">
        <f t="shared" ca="1" si="26"/>
        <v>3921.1922206939794</v>
      </c>
      <c r="BQ31" s="325">
        <f t="shared" ca="1" si="27"/>
        <v>3921.1922206939794</v>
      </c>
      <c r="BR31" s="325">
        <f t="shared" ca="1" si="28"/>
        <v>0</v>
      </c>
      <c r="BS31" s="325">
        <f t="shared" ca="1" si="29"/>
        <v>0</v>
      </c>
      <c r="BT31" s="325">
        <f t="shared" ca="1" si="30"/>
        <v>0</v>
      </c>
      <c r="BU31" s="325">
        <f t="shared" ca="1" si="31"/>
        <v>0</v>
      </c>
      <c r="BV31" s="329">
        <f t="shared" ca="1" si="32"/>
        <v>4815.0382000665832</v>
      </c>
      <c r="BW31" s="330"/>
      <c r="BX31" s="325">
        <f t="shared" ca="1" si="33"/>
        <v>3143.0242196033687</v>
      </c>
      <c r="BY31" s="325">
        <f t="shared" ca="1" si="34"/>
        <v>3143.0242196033687</v>
      </c>
      <c r="BZ31" s="325">
        <f t="shared" ca="1" si="35"/>
        <v>185.43842895659878</v>
      </c>
      <c r="CA31" s="325">
        <f t="shared" ca="1" si="36"/>
        <v>185.43842895659878</v>
      </c>
      <c r="CB31" s="325">
        <f t="shared" ca="1" si="37"/>
        <v>0</v>
      </c>
      <c r="CC31" s="325">
        <f t="shared" ca="1" si="38"/>
        <v>0</v>
      </c>
      <c r="CD31" s="325">
        <f t="shared" ca="1" si="39"/>
        <v>0</v>
      </c>
      <c r="CE31" s="325">
        <f t="shared" ca="1" si="40"/>
        <v>0</v>
      </c>
      <c r="CF31" s="325">
        <f t="shared" ca="1" si="41"/>
        <v>227.70960180787324</v>
      </c>
      <c r="CG31" s="330"/>
      <c r="CH31" s="331">
        <f t="shared" ca="1" si="42"/>
        <v>149.04729312833501</v>
      </c>
      <c r="CI31" s="332">
        <f t="shared" ca="1" si="43"/>
        <v>149.04729312833501</v>
      </c>
      <c r="CJ31" s="332">
        <f t="shared" ca="1" si="44"/>
        <v>8.7937902945717656</v>
      </c>
      <c r="CK31" s="332">
        <f t="shared" ca="1" si="45"/>
        <v>8.7937902945717656</v>
      </c>
      <c r="CL31" s="332">
        <f t="shared" ca="1" si="46"/>
        <v>0</v>
      </c>
      <c r="CM31" s="332">
        <f t="shared" ca="1" si="47"/>
        <v>0</v>
      </c>
      <c r="CN31" s="332">
        <f t="shared" ca="1" si="48"/>
        <v>0</v>
      </c>
      <c r="CO31" s="332">
        <f t="shared" ca="1" si="49"/>
        <v>0</v>
      </c>
      <c r="CP31" s="333">
        <f t="shared" ca="1" si="50"/>
        <v>10.798357695467422</v>
      </c>
      <c r="CR31" s="334">
        <f>CR28+1</f>
        <v>6</v>
      </c>
      <c r="CS31" s="335"/>
      <c r="CT31" s="335"/>
      <c r="CU31" s="336" t="s">
        <v>129</v>
      </c>
      <c r="CV31" s="337">
        <f ca="1">AE70</f>
        <v>4.5648610417658959E-4</v>
      </c>
      <c r="CW31" s="338"/>
      <c r="CX31" s="339">
        <f ca="1">BD21</f>
        <v>7729425.2813704489</v>
      </c>
      <c r="CY31" s="340">
        <f ca="1">BF21</f>
        <v>456036.09160085651</v>
      </c>
      <c r="CZ31" s="341">
        <f ca="1">BH21</f>
        <v>0</v>
      </c>
      <c r="DA31" s="338"/>
      <c r="DB31" s="342">
        <f t="array" aca="1" ref="DB31:DB33" ca="1">MMULT(CX31:CZ33,CV31:CV33)</f>
        <v>3546.9813186371889</v>
      </c>
      <c r="DC31" s="338"/>
      <c r="DD31" s="343">
        <f ca="1">-AE75*AE31/F69</f>
        <v>5.151246803608448E-3</v>
      </c>
      <c r="DE31" s="344">
        <f ca="1">-AE75*AF31/F69</f>
        <v>4.2927056696737062E-3</v>
      </c>
      <c r="DF31" s="344">
        <f ca="1">-AE76*AE31/F70</f>
        <v>7.974454578373334E-4</v>
      </c>
      <c r="DG31" s="344">
        <f ca="1">-AE76*AF31/F70</f>
        <v>6.6453788153111111E-4</v>
      </c>
      <c r="DH31" s="344">
        <f ca="1">-AE77*AE31/F69</f>
        <v>-6.2111606372775548E-3</v>
      </c>
      <c r="DI31" s="345">
        <f ca="1">-AE77*AF31/F69</f>
        <v>-5.1759671977312949E-3</v>
      </c>
      <c r="DJ31" s="338">
        <f>DJ28+1</f>
        <v>6</v>
      </c>
      <c r="DK31" s="338"/>
      <c r="DL31" s="338"/>
      <c r="DM31" s="346" t="s">
        <v>129</v>
      </c>
      <c r="DN31" s="347">
        <f ca="1">INDEX(DE16:DE115,MATCH(DJ31,A16:A50,0))</f>
        <v>-4.2927056696737045E-3</v>
      </c>
      <c r="DO31" s="338"/>
      <c r="DP31" s="338"/>
      <c r="DQ31" s="346" t="s">
        <v>130</v>
      </c>
      <c r="DR31" s="347">
        <f ca="1">INDEX(DD16:DD115,MATCH(DJ31,A16:A50,0))</f>
        <v>-3.4341645357389627E-3</v>
      </c>
      <c r="DS31" s="338"/>
      <c r="DT31" s="339">
        <f ca="1">CX31</f>
        <v>7729425.2813704489</v>
      </c>
      <c r="DU31" s="340">
        <f t="shared" ca="1" si="102"/>
        <v>456036.09160085651</v>
      </c>
      <c r="DV31" s="341">
        <f t="shared" ca="1" si="103"/>
        <v>0</v>
      </c>
      <c r="DW31" s="338"/>
      <c r="DX31" s="349">
        <f t="array" aca="1" ref="DX31:DX33" ca="1">MMULT(DT31:DV33,DN31:DN33)</f>
        <v>-33483.200986872354</v>
      </c>
      <c r="DY31" s="349"/>
      <c r="DZ31" s="349">
        <f t="array" aca="1" ref="DZ31:DZ33" ca="1">MMULT(DT31:DV33,DR31:DR33)</f>
        <v>-26786.560789497875</v>
      </c>
      <c r="EB31" s="350">
        <f t="shared" ca="1" si="52"/>
        <v>3546.9813186371889</v>
      </c>
      <c r="EC31" s="351">
        <f t="shared" ca="1" si="53"/>
        <v>523.53150187562358</v>
      </c>
      <c r="ED31" s="352">
        <f t="shared" ca="1" si="54"/>
        <v>-155.18705741647139</v>
      </c>
      <c r="EE31" s="350">
        <f t="shared" ca="1" si="55"/>
        <v>33483.200986872369</v>
      </c>
      <c r="EF31" s="351">
        <f t="shared" ca="1" si="56"/>
        <v>40179.841184246849</v>
      </c>
      <c r="EG31" s="351">
        <f t="shared" ca="1" si="57"/>
        <v>7094.1246179257651</v>
      </c>
      <c r="EH31" s="351">
        <f t="shared" ca="1" si="58"/>
        <v>8512.9495415109195</v>
      </c>
      <c r="EI31" s="351">
        <f t="shared" ca="1" si="59"/>
        <v>-2898.4935274539434</v>
      </c>
      <c r="EJ31" s="352">
        <f t="shared" ca="1" si="60"/>
        <v>-3478.1922329447325</v>
      </c>
      <c r="EK31" s="350">
        <f t="shared" ca="1" si="129"/>
        <v>37030.182305509559</v>
      </c>
      <c r="EL31" s="351">
        <f t="shared" ca="1" si="130"/>
        <v>43726.822502884039</v>
      </c>
      <c r="EM31" s="351">
        <f t="shared" ca="1" si="131"/>
        <v>7617.6561198013887</v>
      </c>
      <c r="EN31" s="351">
        <f t="shared" ca="1" si="132"/>
        <v>9036.4810433865423</v>
      </c>
      <c r="EO31" s="351">
        <f t="shared" ca="1" si="133"/>
        <v>-3053.6805848704148</v>
      </c>
      <c r="EP31" s="352">
        <f t="shared" ca="1" si="134"/>
        <v>-3633.3792903612039</v>
      </c>
      <c r="EQ31" s="323">
        <f t="shared" ca="1" si="135"/>
        <v>43726.822502884039</v>
      </c>
      <c r="ER31" s="323">
        <f t="shared" ca="1" si="136"/>
        <v>9036.4810433865423</v>
      </c>
      <c r="ES31" s="323">
        <f t="shared" ca="1" si="137"/>
        <v>-3633.3792903612039</v>
      </c>
      <c r="ET31" s="323">
        <f t="shared" ca="1" si="138"/>
        <v>86297.454109999991</v>
      </c>
      <c r="EU31" s="323">
        <f t="shared" ca="1" si="139"/>
        <v>52068.547941999997</v>
      </c>
      <c r="EV31" s="323">
        <f t="shared" ca="1" si="140"/>
        <v>70488.34066799999</v>
      </c>
      <c r="EW31" s="323">
        <f t="shared" ca="1" si="141"/>
        <v>48297.566753999999</v>
      </c>
      <c r="EX31" s="323">
        <f t="shared" ca="1" si="142"/>
        <v>11167.905825999998</v>
      </c>
      <c r="EY31" s="353">
        <f t="shared" ca="1" si="143"/>
        <v>2.2254946258207747E-10</v>
      </c>
      <c r="EZ31" s="353">
        <f t="shared" ca="1" si="144"/>
        <v>2.9373619270409085E-10</v>
      </c>
      <c r="FA31" s="321">
        <f t="shared" ca="1" si="145"/>
        <v>8.0178239087273853E-9</v>
      </c>
      <c r="FB31" s="354">
        <f t="shared" ca="1" si="146"/>
        <v>-1.1127473129103873E-10</v>
      </c>
      <c r="FC31" s="321">
        <f t="shared" ca="1" si="147"/>
        <v>-7.6176246724607548E-6</v>
      </c>
      <c r="FD31" s="321">
        <f t="shared" ca="1" si="148"/>
        <v>-6.5182334426556133E-6</v>
      </c>
      <c r="FE31" s="355">
        <f t="shared" ca="1" si="149"/>
        <v>0.46741769338063677</v>
      </c>
      <c r="FF31" s="338">
        <f t="shared" ca="1" si="150"/>
        <v>-0.39199641488720721</v>
      </c>
      <c r="FG31" s="335">
        <f t="shared" ca="1" si="151"/>
        <v>-1.2783860120010795E-10</v>
      </c>
      <c r="FH31" s="356">
        <f t="shared" ca="1" si="152"/>
        <v>0.4543277108159266</v>
      </c>
      <c r="FI31" s="335">
        <f t="shared" ca="1" si="153"/>
        <v>-0.39199641488720721</v>
      </c>
      <c r="FJ31" s="357">
        <f t="shared" ca="1" si="61"/>
        <v>0.19492106913437524</v>
      </c>
      <c r="FK31" s="357">
        <f t="shared" ca="1" si="62"/>
        <v>0.7843847629400329</v>
      </c>
      <c r="FL31" s="357">
        <f t="shared" ca="1" si="63"/>
        <v>0.91358915511558236</v>
      </c>
      <c r="FM31" s="357">
        <f t="shared" ca="1" si="64"/>
        <v>0.93704097291625654</v>
      </c>
      <c r="FN31" s="357">
        <f t="shared" ca="1" si="65"/>
        <v>0.97355877171976468</v>
      </c>
      <c r="FO31" s="357">
        <f t="shared" ca="1" si="154"/>
        <v>6.8004192483298276</v>
      </c>
      <c r="FP31" s="357">
        <f t="shared" ca="1" si="155"/>
        <v>2.0736966701017794</v>
      </c>
      <c r="FR31" s="358"/>
      <c r="FS31" s="326">
        <v>0</v>
      </c>
      <c r="FT31" s="359">
        <f>FT30</f>
        <v>5.1590551181102347E-2</v>
      </c>
      <c r="FU31" s="326">
        <v>0</v>
      </c>
      <c r="FV31" s="359">
        <f t="shared" si="156"/>
        <v>5.1590551181102347E-2</v>
      </c>
      <c r="FW31" s="359">
        <v>0</v>
      </c>
      <c r="FX31" s="360">
        <f t="shared" si="157"/>
        <v>5.1590551181102347E-2</v>
      </c>
      <c r="FY31" s="358"/>
      <c r="FZ31" s="326">
        <v>0</v>
      </c>
      <c r="GA31" s="359">
        <f>GA30</f>
        <v>5.1590551181102347E-2</v>
      </c>
      <c r="GB31" s="326">
        <v>0</v>
      </c>
      <c r="GC31" s="362">
        <f t="shared" si="105"/>
        <v>5.1590551181102347E-2</v>
      </c>
      <c r="GD31" s="326">
        <v>0</v>
      </c>
      <c r="GE31" s="363">
        <f t="shared" si="158"/>
        <v>5.1590551181102347E-2</v>
      </c>
      <c r="GF31" s="364"/>
      <c r="GG31" s="365">
        <v>0</v>
      </c>
      <c r="GH31" s="320">
        <f>GH30</f>
        <v>5.1590551181102347E-2</v>
      </c>
      <c r="GI31" s="366">
        <v>0</v>
      </c>
      <c r="GJ31" s="366">
        <f t="shared" si="106"/>
        <v>5.1590551181102347E-2</v>
      </c>
      <c r="GK31" s="366">
        <v>0</v>
      </c>
      <c r="GL31" s="366">
        <f t="shared" si="107"/>
        <v>5.1590551181102347E-2</v>
      </c>
      <c r="GN31" s="359">
        <f t="shared" si="69"/>
        <v>5.1590551181102347E-2</v>
      </c>
      <c r="GO31" s="367"/>
      <c r="GP31" s="367"/>
      <c r="GQ31" s="367"/>
      <c r="GR31" s="367"/>
      <c r="GS31" s="367"/>
      <c r="GT31" s="367"/>
      <c r="GU31" s="367"/>
      <c r="HH31" s="321">
        <f ca="1">IF(D30="","",INDEX(INDIRECT(AE60),MATCH(HH15,Matl!B3:B29,0),MATCH(D30,Matl!D2:K2,0)))</f>
        <v>3000</v>
      </c>
      <c r="HI31" s="314">
        <f ca="1">IF(D30="","",INDEX(INDIRECT(AE60),MATCH(HI15,Matl!B3:B29,0),MATCH(D30,Matl!D2:K2,0)))</f>
        <v>4500</v>
      </c>
      <c r="HO31" s="338"/>
      <c r="HP31" s="338"/>
      <c r="HQ31" s="346" t="s">
        <v>38</v>
      </c>
      <c r="HR31" s="346" t="s">
        <v>37</v>
      </c>
      <c r="HS31" s="348">
        <f ca="1">AE72</f>
        <v>-2.771243444540907E-4</v>
      </c>
      <c r="HT31" s="365">
        <f ca="1">HS31*1000000</f>
        <v>-277.1243444540907</v>
      </c>
      <c r="HU31" s="338" t="s">
        <v>278</v>
      </c>
      <c r="HY31" s="338"/>
      <c r="HZ31" s="338"/>
      <c r="IA31" s="338"/>
      <c r="IB31" s="338"/>
      <c r="IC31" s="338"/>
      <c r="ID31" s="338">
        <f>IP39</f>
        <v>0</v>
      </c>
      <c r="IE31" s="338">
        <f>-IO39</f>
        <v>0</v>
      </c>
      <c r="IF31" s="338"/>
      <c r="IG31" s="338"/>
      <c r="IH31" s="338"/>
      <c r="II31" s="338"/>
      <c r="IJ31" s="338">
        <v>4</v>
      </c>
      <c r="IK31" s="342">
        <f>IK27-(IK27-IK57)*IJ31/(IJ56+1)</f>
        <v>0.41887902047863906</v>
      </c>
      <c r="IL31" s="338">
        <f ca="1">IK25*SIN(IK47)</f>
        <v>2598.076211353316</v>
      </c>
      <c r="IM31" s="338">
        <f ca="1">IK25*SIN(IK32)+IF27</f>
        <v>1499.9999999999998</v>
      </c>
      <c r="IN31" s="338"/>
      <c r="IO31" s="338"/>
      <c r="IP31" s="338"/>
    </row>
    <row r="32" spans="1:250" s="314" customFormat="1" ht="12" x14ac:dyDescent="0.25">
      <c r="A32" s="310">
        <v>17</v>
      </c>
      <c r="B32" s="311">
        <v>45</v>
      </c>
      <c r="C32" s="311"/>
      <c r="D32" s="380" t="s">
        <v>109</v>
      </c>
      <c r="E32" s="380"/>
      <c r="F32" s="312">
        <f>IF(C32="",INDEX(Matl!$C$15:$K$15,MATCH(D32,Matl!$C$2:$K$2,0)),C32)</f>
        <v>8.5984251968503952E-3</v>
      </c>
      <c r="G32" s="313"/>
      <c r="H32" s="313"/>
      <c r="I32" s="313"/>
      <c r="J32" s="313"/>
      <c r="K32" s="313"/>
      <c r="M32" s="315"/>
      <c r="N32" s="315"/>
      <c r="O32" s="315"/>
      <c r="P32" s="316"/>
      <c r="Q32" s="316"/>
      <c r="R32" s="316"/>
      <c r="S32" s="316"/>
      <c r="T32" s="315"/>
      <c r="U32" s="317"/>
      <c r="V32" s="317"/>
      <c r="W32" s="317">
        <f t="shared" si="3"/>
        <v>8.5984251968503952E-3</v>
      </c>
      <c r="X32" s="317"/>
      <c r="Y32" s="317"/>
      <c r="Z32" s="318">
        <f t="shared" si="4"/>
        <v>0</v>
      </c>
      <c r="AA32" s="319">
        <f t="shared" si="5"/>
        <v>1</v>
      </c>
      <c r="AB32" s="314">
        <f t="shared" si="6"/>
        <v>0</v>
      </c>
      <c r="AC32" s="320">
        <f t="shared" si="7"/>
        <v>0.78539816339744828</v>
      </c>
      <c r="AD32" s="320">
        <f>IF(D32="",0,SUM(F15:F32))</f>
        <v>0.14617322834645669</v>
      </c>
      <c r="AE32" s="320">
        <f>IF(D32="",0,SUM(F16:F50)/2-AD32)</f>
        <v>-6.0188976377952758E-2</v>
      </c>
      <c r="AF32" s="320">
        <f t="shared" si="8"/>
        <v>-5.1590551181102361E-2</v>
      </c>
      <c r="AG32" s="320">
        <f>IF(D32="",0,(AD32+AD31)/2-SUM(F16:F50)/2)</f>
        <v>5.5889763779527563E-2</v>
      </c>
      <c r="AH32" s="321">
        <f ca="1">IF(D32="",0,INDEX(INDIRECT($AE$60),MATCH(AH$14,Matl!$B$3:$B$17,0),MATCH(D32,Matl!$D$2:$K$2,0)))</f>
        <v>7702519.151965999</v>
      </c>
      <c r="AI32" s="321">
        <f ca="1">IF(D32="",0,INDEX(INDIRECT($AE$60),MATCH(AI$14,Matl!$B$3:$B$17,0),MATCH(D32,Matl!$D$2:$K$2,0)))</f>
        <v>7702519.151965999</v>
      </c>
      <c r="AJ32" s="321">
        <f ca="1">IF(D32="",0,INDEX(INDIRECT(AE60),MATCH(AJ14,Matl!B3:B15,0),MATCH(D32,Matl!D2:K2,0)))</f>
        <v>5.8999999999999997E-2</v>
      </c>
      <c r="AK32" s="322">
        <f t="shared" ca="1" si="9"/>
        <v>5.8999999999999997E-2</v>
      </c>
      <c r="AL32" s="321">
        <f ca="1">IF(D32="",0,INDEX(INDIRECT(AE60),MATCH(AL14,Matl!B3:B15,0),MATCH(D32,Matl!D2:K2,0)))</f>
        <v>559990.70641799993</v>
      </c>
      <c r="AM32" s="323">
        <f ca="1">IF(D32="",0,INDEX(INDIRECT(AE60),MATCH(AM14,Matl!B3:B15,0),MATCH(D32,Matl!D2:K2,0)))</f>
        <v>86297.454109999991</v>
      </c>
      <c r="AN32" s="323">
        <f ca="1">IF(D32="",0,INDEX(INDIRECT(AE60),MATCH(AN14,Matl!B3:B15,0),MATCH(D32,Matl!D2:K2,0)))</f>
        <v>70488.34066799999</v>
      </c>
      <c r="AO32" s="323">
        <f ca="1">IF(D32="",0,INDEX(INDIRECT(AE60),MATCH(AO14,Matl!B3:B15,0),MATCH(D32,Matl!D2:K2,0)))</f>
        <v>52068.547941999997</v>
      </c>
      <c r="AP32" s="323">
        <f ca="1">IF(D32="",0,INDEX(INDIRECT(AE60),MATCH(AP14,Matl!B3:B15,0),MATCH(D32,Matl!D2:K2,0)))</f>
        <v>48297.566753999999</v>
      </c>
      <c r="AQ32" s="323">
        <f ca="1">IF(D32="",0,INDEX(INDIRECT(AE60),MATCH(AQ14,Matl!B3:B15,0),MATCH(D32,Matl!D2:K2,0)))</f>
        <v>11167.905825999998</v>
      </c>
      <c r="AR32" s="321"/>
      <c r="AS32" s="321"/>
      <c r="AT32" s="324">
        <f t="shared" ca="1" si="10"/>
        <v>7729425.2813704489</v>
      </c>
      <c r="AU32" s="325">
        <f t="shared" ca="1" si="11"/>
        <v>7729425.2813704489</v>
      </c>
      <c r="AV32" s="325">
        <f t="shared" ca="1" si="12"/>
        <v>456036.09160085651</v>
      </c>
      <c r="AW32" s="325">
        <f t="shared" ca="1" si="13"/>
        <v>456036.09160085651</v>
      </c>
      <c r="AX32" s="326">
        <v>0</v>
      </c>
      <c r="AY32" s="326">
        <v>0</v>
      </c>
      <c r="AZ32" s="326">
        <v>0</v>
      </c>
      <c r="BA32" s="326">
        <v>0</v>
      </c>
      <c r="BB32" s="327">
        <f t="shared" ca="1" si="14"/>
        <v>559990.70641799993</v>
      </c>
      <c r="BC32" s="328"/>
      <c r="BD32" s="324">
        <f t="shared" ca="1" si="15"/>
        <v>4652721.392903653</v>
      </c>
      <c r="BE32" s="325">
        <f t="shared" ca="1" si="16"/>
        <v>4652721.392903653</v>
      </c>
      <c r="BF32" s="325">
        <f t="shared" ca="1" si="17"/>
        <v>3532739.9800676531</v>
      </c>
      <c r="BG32" s="325">
        <f t="shared" ca="1" si="18"/>
        <v>3532739.9800676531</v>
      </c>
      <c r="BH32" s="325">
        <f t="shared" ca="1" si="19"/>
        <v>0</v>
      </c>
      <c r="BI32" s="325">
        <f t="shared" ca="1" si="20"/>
        <v>0</v>
      </c>
      <c r="BJ32" s="325">
        <f t="shared" ca="1" si="21"/>
        <v>0</v>
      </c>
      <c r="BK32" s="325">
        <f t="shared" ca="1" si="22"/>
        <v>0</v>
      </c>
      <c r="BL32" s="329">
        <f t="shared" ca="1" si="23"/>
        <v>3636694.5948847961</v>
      </c>
      <c r="BM32" s="330"/>
      <c r="BN32" s="324">
        <f t="shared" ca="1" si="24"/>
        <v>40006.076858667635</v>
      </c>
      <c r="BO32" s="325">
        <f t="shared" ca="1" si="25"/>
        <v>40006.076858667635</v>
      </c>
      <c r="BP32" s="325">
        <f t="shared" ca="1" si="26"/>
        <v>30376.000458534472</v>
      </c>
      <c r="BQ32" s="325">
        <f t="shared" ca="1" si="27"/>
        <v>30376.000458534472</v>
      </c>
      <c r="BR32" s="325">
        <f t="shared" ca="1" si="28"/>
        <v>0</v>
      </c>
      <c r="BS32" s="325">
        <f t="shared" ca="1" si="29"/>
        <v>0</v>
      </c>
      <c r="BT32" s="325">
        <f t="shared" ca="1" si="30"/>
        <v>0</v>
      </c>
      <c r="BU32" s="325">
        <f t="shared" ca="1" si="31"/>
        <v>0</v>
      </c>
      <c r="BV32" s="329">
        <f t="shared" ca="1" si="32"/>
        <v>31269.846437907072</v>
      </c>
      <c r="BW32" s="330"/>
      <c r="BX32" s="325">
        <f t="shared" ca="1" si="33"/>
        <v>2235.9301853765583</v>
      </c>
      <c r="BY32" s="325">
        <f t="shared" ca="1" si="34"/>
        <v>2235.9301853765583</v>
      </c>
      <c r="BZ32" s="325">
        <f t="shared" ca="1" si="35"/>
        <v>1697.7074901943124</v>
      </c>
      <c r="CA32" s="325">
        <f t="shared" ca="1" si="36"/>
        <v>1697.7074901943124</v>
      </c>
      <c r="CB32" s="325">
        <f t="shared" ca="1" si="37"/>
        <v>0</v>
      </c>
      <c r="CC32" s="325">
        <f t="shared" ca="1" si="38"/>
        <v>0</v>
      </c>
      <c r="CD32" s="325">
        <f t="shared" ca="1" si="39"/>
        <v>0</v>
      </c>
      <c r="CE32" s="325">
        <f t="shared" ca="1" si="40"/>
        <v>0</v>
      </c>
      <c r="CF32" s="325">
        <f t="shared" ca="1" si="41"/>
        <v>1747.6643308367275</v>
      </c>
      <c r="CG32" s="330"/>
      <c r="CH32" s="331">
        <f t="shared" ca="1" si="42"/>
        <v>125.21209038108726</v>
      </c>
      <c r="CI32" s="332">
        <f t="shared" ca="1" si="43"/>
        <v>125.21209038108726</v>
      </c>
      <c r="CJ32" s="332">
        <f t="shared" ca="1" si="44"/>
        <v>95.071619450881499</v>
      </c>
      <c r="CK32" s="332">
        <f t="shared" ca="1" si="45"/>
        <v>95.071619450881499</v>
      </c>
      <c r="CL32" s="332">
        <f t="shared" ca="1" si="46"/>
        <v>0</v>
      </c>
      <c r="CM32" s="332">
        <f t="shared" ca="1" si="47"/>
        <v>0</v>
      </c>
      <c r="CN32" s="332">
        <f t="shared" ca="1" si="48"/>
        <v>0</v>
      </c>
      <c r="CO32" s="332">
        <f t="shared" ca="1" si="49"/>
        <v>0</v>
      </c>
      <c r="CP32" s="333">
        <f t="shared" ca="1" si="50"/>
        <v>97.869202526856753</v>
      </c>
      <c r="CR32" s="334"/>
      <c r="CS32" s="335"/>
      <c r="CT32" s="335"/>
      <c r="CU32" s="336" t="s">
        <v>131</v>
      </c>
      <c r="CV32" s="337">
        <f ca="1">AE71</f>
        <v>4.0799587495451728E-5</v>
      </c>
      <c r="CW32" s="338"/>
      <c r="CX32" s="324">
        <f ca="1">BG21</f>
        <v>456036.09160085651</v>
      </c>
      <c r="CY32" s="325">
        <f ca="1">BE21</f>
        <v>7729425.2813704489</v>
      </c>
      <c r="CZ32" s="329">
        <f ca="1">BK21</f>
        <v>0</v>
      </c>
      <c r="DA32" s="338"/>
      <c r="DB32" s="342">
        <f ca="1"/>
        <v>523.53150187562358</v>
      </c>
      <c r="DC32" s="338"/>
      <c r="DD32" s="343">
        <f ca="1">-AE75*AE32/F69</f>
        <v>6.0097879375431889E-3</v>
      </c>
      <c r="DE32" s="344">
        <f ca="1">-AE75*AF32/F69</f>
        <v>5.1512468036084471E-3</v>
      </c>
      <c r="DF32" s="344">
        <f ca="1">-AE76*AE32/F70</f>
        <v>9.3035303414355558E-4</v>
      </c>
      <c r="DG32" s="344">
        <f ca="1">-AE76*AF32/F70</f>
        <v>7.9744545783733329E-4</v>
      </c>
      <c r="DH32" s="344">
        <f ca="1">-AE77*AE32/F69</f>
        <v>-7.2463540768238129E-3</v>
      </c>
      <c r="DI32" s="345">
        <f ca="1">-AE77*AF32/F69</f>
        <v>-6.2111606372775539E-3</v>
      </c>
      <c r="DJ32" s="338"/>
      <c r="DK32" s="338"/>
      <c r="DL32" s="338"/>
      <c r="DM32" s="346" t="s">
        <v>131</v>
      </c>
      <c r="DN32" s="347">
        <f ca="1">INDEX(DG16:DG115,MATCH(DJ31,A16:A50,0))</f>
        <v>-6.6453788153111079E-4</v>
      </c>
      <c r="DO32" s="338"/>
      <c r="DP32" s="338"/>
      <c r="DQ32" s="346" t="s">
        <v>132</v>
      </c>
      <c r="DR32" s="347">
        <f ca="1">INDEX(DF16:DF115,MATCH(DJ31,A16:A50,0))</f>
        <v>-5.3163030522488861E-4</v>
      </c>
      <c r="DS32" s="338"/>
      <c r="DT32" s="324">
        <f t="shared" ref="DT32:DT33" ca="1" si="165">CX32</f>
        <v>456036.09160085651</v>
      </c>
      <c r="DU32" s="325">
        <f t="shared" ca="1" si="102"/>
        <v>7729425.2813704489</v>
      </c>
      <c r="DV32" s="329">
        <f t="shared" ca="1" si="103"/>
        <v>0</v>
      </c>
      <c r="DW32" s="338"/>
      <c r="DX32" s="349">
        <f ca="1"/>
        <v>-7094.1246179257614</v>
      </c>
      <c r="DY32" s="349"/>
      <c r="DZ32" s="349">
        <f ca="1"/>
        <v>-5675.2996943406088</v>
      </c>
      <c r="EB32" s="350">
        <f t="shared" ca="1" si="52"/>
        <v>2268.0369963811145</v>
      </c>
      <c r="EC32" s="351">
        <f t="shared" ca="1" si="53"/>
        <v>1802.4758241316983</v>
      </c>
      <c r="ED32" s="352">
        <f t="shared" ca="1" si="54"/>
        <v>-1007.8166055871841</v>
      </c>
      <c r="EE32" s="350">
        <f t="shared" ca="1" si="55"/>
        <v>26784.483654100884</v>
      </c>
      <c r="EF32" s="351">
        <f t="shared" ca="1" si="56"/>
        <v>31248.5642631177</v>
      </c>
      <c r="EG32" s="351">
        <f t="shared" ca="1" si="57"/>
        <v>21908.307071656876</v>
      </c>
      <c r="EH32" s="351">
        <f t="shared" ca="1" si="58"/>
        <v>25559.691583599692</v>
      </c>
      <c r="EI32" s="351">
        <f t="shared" ca="1" si="59"/>
        <v>-22588.094317548486</v>
      </c>
      <c r="EJ32" s="352">
        <f t="shared" ca="1" si="60"/>
        <v>-26352.776703806569</v>
      </c>
      <c r="EK32" s="350">
        <f t="shared" ca="1" si="129"/>
        <v>29052.520650481998</v>
      </c>
      <c r="EL32" s="351">
        <f t="shared" ca="1" si="130"/>
        <v>33516.601259498813</v>
      </c>
      <c r="EM32" s="351">
        <f t="shared" ca="1" si="131"/>
        <v>23710.782895788576</v>
      </c>
      <c r="EN32" s="351">
        <f t="shared" ca="1" si="132"/>
        <v>27362.167407731391</v>
      </c>
      <c r="EO32" s="351">
        <f t="shared" ca="1" si="133"/>
        <v>-23595.910923135671</v>
      </c>
      <c r="EP32" s="352">
        <f t="shared" ca="1" si="134"/>
        <v>-27360.593309393753</v>
      </c>
      <c r="EQ32" s="323">
        <f t="shared" ca="1" si="135"/>
        <v>33516.601259498813</v>
      </c>
      <c r="ER32" s="323">
        <f t="shared" ca="1" si="136"/>
        <v>27362.167407731391</v>
      </c>
      <c r="ES32" s="323">
        <f t="shared" ca="1" si="137"/>
        <v>-27360.593309393753</v>
      </c>
      <c r="ET32" s="323">
        <f t="shared" ca="1" si="138"/>
        <v>86297.454109999991</v>
      </c>
      <c r="EU32" s="323">
        <f t="shared" ca="1" si="139"/>
        <v>52068.547941999997</v>
      </c>
      <c r="EV32" s="323">
        <f t="shared" ca="1" si="140"/>
        <v>70488.34066799999</v>
      </c>
      <c r="EW32" s="323">
        <f t="shared" ca="1" si="141"/>
        <v>48297.566753999999</v>
      </c>
      <c r="EX32" s="323">
        <f t="shared" ca="1" si="142"/>
        <v>11167.905825999998</v>
      </c>
      <c r="EY32" s="353">
        <f t="shared" ca="1" si="143"/>
        <v>2.2254946258207747E-10</v>
      </c>
      <c r="EZ32" s="353">
        <f t="shared" ca="1" si="144"/>
        <v>2.9373619270409085E-10</v>
      </c>
      <c r="FA32" s="321">
        <f t="shared" ca="1" si="145"/>
        <v>8.0178239087273853E-9</v>
      </c>
      <c r="FB32" s="354">
        <f t="shared" ca="1" si="146"/>
        <v>-1.1127473129103873E-10</v>
      </c>
      <c r="FC32" s="321">
        <f t="shared" ca="1" si="147"/>
        <v>-7.6176246724607548E-6</v>
      </c>
      <c r="FD32" s="321">
        <f t="shared" ca="1" si="148"/>
        <v>-6.5182334426556133E-6</v>
      </c>
      <c r="FE32" s="355">
        <f t="shared" ca="1" si="149"/>
        <v>6.2679829151481448</v>
      </c>
      <c r="FF32" s="338">
        <f t="shared" ca="1" si="150"/>
        <v>-0.43366988335200357</v>
      </c>
      <c r="FG32" s="335">
        <f t="shared" ca="1" si="151"/>
        <v>-1.2783860120010795E-10</v>
      </c>
      <c r="FH32" s="356">
        <f t="shared" ca="1" si="152"/>
        <v>6.2376019004383023</v>
      </c>
      <c r="FI32" s="335">
        <f t="shared" ca="1" si="153"/>
        <v>-0.43366988335200357</v>
      </c>
      <c r="FJ32" s="357">
        <f t="shared" ca="1" si="61"/>
        <v>-0.60469070532983937</v>
      </c>
      <c r="FK32" s="357">
        <f t="shared" ca="1" si="62"/>
        <v>-0.5968568645096215</v>
      </c>
      <c r="FL32" s="357">
        <f t="shared" ca="1" si="63"/>
        <v>-0.16540904367384013</v>
      </c>
      <c r="FM32" s="357">
        <f t="shared" ca="1" si="64"/>
        <v>-0.16442657471190314</v>
      </c>
      <c r="FN32" s="357">
        <f t="shared" ca="1" si="65"/>
        <v>1.5747674545474015</v>
      </c>
      <c r="FO32" s="357">
        <f t="shared" ca="1" si="154"/>
        <v>1.5761241650792241</v>
      </c>
      <c r="FP32" s="357">
        <f t="shared" ca="1" si="155"/>
        <v>-0.59182515891694121</v>
      </c>
      <c r="FR32" s="358">
        <f>FR28+1</f>
        <v>5</v>
      </c>
      <c r="FS32" s="326">
        <v>0</v>
      </c>
      <c r="FT32" s="359">
        <f>INDEX(AF16:AF115,MATCH(GF32,A16:A115,0))</f>
        <v>5.1590551181102347E-2</v>
      </c>
      <c r="FU32" s="326">
        <v>0</v>
      </c>
      <c r="FV32" s="359">
        <f>FT32</f>
        <v>5.1590551181102347E-2</v>
      </c>
      <c r="FW32" s="359">
        <v>0</v>
      </c>
      <c r="FX32" s="360">
        <f>FV32</f>
        <v>5.1590551181102347E-2</v>
      </c>
      <c r="FY32" s="358">
        <f>FY28+1</f>
        <v>5</v>
      </c>
      <c r="FZ32" s="326">
        <v>0</v>
      </c>
      <c r="GA32" s="359">
        <f>FT32</f>
        <v>5.1590551181102347E-2</v>
      </c>
      <c r="GB32" s="361">
        <v>0</v>
      </c>
      <c r="GC32" s="362">
        <f t="shared" si="105"/>
        <v>5.1590551181102347E-2</v>
      </c>
      <c r="GD32" s="326">
        <v>0</v>
      </c>
      <c r="GE32" s="363">
        <f>GC32</f>
        <v>5.1590551181102347E-2</v>
      </c>
      <c r="GF32" s="364">
        <f>GF28+1</f>
        <v>5</v>
      </c>
      <c r="GG32" s="365">
        <v>0</v>
      </c>
      <c r="GH32" s="320">
        <f>FT32</f>
        <v>5.1590551181102347E-2</v>
      </c>
      <c r="GI32" s="366">
        <v>0</v>
      </c>
      <c r="GJ32" s="366">
        <f t="shared" si="106"/>
        <v>5.1590551181102347E-2</v>
      </c>
      <c r="GK32" s="366">
        <v>0</v>
      </c>
      <c r="GL32" s="366">
        <f t="shared" si="107"/>
        <v>5.1590551181102347E-2</v>
      </c>
      <c r="GM32" s="372">
        <f>GM28+1</f>
        <v>5</v>
      </c>
      <c r="GN32" s="359">
        <f t="shared" si="69"/>
        <v>5.1590551181102347E-2</v>
      </c>
      <c r="GO32" s="367"/>
      <c r="GP32" s="367"/>
      <c r="GQ32" s="367"/>
      <c r="GR32" s="367"/>
      <c r="GS32" s="367"/>
      <c r="GT32" s="367"/>
      <c r="GU32" s="367"/>
      <c r="HH32" s="321">
        <f ca="1">IF(D31="","",INDEX(INDIRECT(AE60),MATCH(HH15,Matl!B3:B29,0),MATCH(D31,Matl!D2:K2,0)))</f>
        <v>3000</v>
      </c>
      <c r="HI32" s="314">
        <f ca="1">IF(D31="","",INDEX(INDIRECT(AE60),MATCH(HI15,Matl!B3:B29,0),MATCH(D31,Matl!D2:K2,0)))</f>
        <v>4500</v>
      </c>
      <c r="HO32" s="338"/>
      <c r="HP32" s="338"/>
      <c r="HQ32" s="346"/>
      <c r="HR32" s="338"/>
      <c r="HS32" s="338"/>
      <c r="HT32" s="365"/>
      <c r="HU32" s="365"/>
      <c r="HY32" s="338"/>
      <c r="HZ32" s="338"/>
      <c r="IA32" s="338"/>
      <c r="IB32" s="338"/>
      <c r="IC32" s="338"/>
      <c r="ID32" s="338">
        <f>IP38</f>
        <v>0</v>
      </c>
      <c r="IE32" s="338">
        <f>-IO38</f>
        <v>0</v>
      </c>
      <c r="IF32" s="338"/>
      <c r="IG32" s="338"/>
      <c r="IH32" s="338"/>
      <c r="II32" s="338"/>
      <c r="IJ32" s="338">
        <v>5</v>
      </c>
      <c r="IK32" s="342">
        <f>IK27-(IK27-IK57)*IJ32/(IJ56+1)</f>
        <v>0.52359877559829882</v>
      </c>
      <c r="IL32" s="338">
        <f ca="1">IK25*SIN(IK48)</f>
        <v>2427.0509831248423</v>
      </c>
      <c r="IM32" s="338">
        <f ca="1">IK25*SIN(IK33)+IF27</f>
        <v>1763.3557568774195</v>
      </c>
      <c r="IN32" s="338"/>
      <c r="IO32" s="338"/>
      <c r="IP32" s="338"/>
    </row>
    <row r="33" spans="1:250" s="314" customFormat="1" ht="12" x14ac:dyDescent="0.25">
      <c r="A33" s="310">
        <v>18</v>
      </c>
      <c r="B33" s="311">
        <v>0</v>
      </c>
      <c r="C33" s="311"/>
      <c r="D33" s="380" t="s">
        <v>109</v>
      </c>
      <c r="E33" s="380"/>
      <c r="F33" s="312">
        <f>IF(C33="",INDEX(Matl!$C$15:$K$15,MATCH(D33,Matl!$C$2:$K$2,0)),C33)</f>
        <v>8.5984251968503952E-3</v>
      </c>
      <c r="G33" s="313"/>
      <c r="H33" s="313"/>
      <c r="I33" s="313"/>
      <c r="J33" s="313"/>
      <c r="K33" s="313"/>
      <c r="M33" s="315"/>
      <c r="N33" s="315"/>
      <c r="O33" s="315"/>
      <c r="P33" s="316"/>
      <c r="Q33" s="316"/>
      <c r="R33" s="316"/>
      <c r="S33" s="316"/>
      <c r="T33" s="315"/>
      <c r="U33" s="317"/>
      <c r="V33" s="317"/>
      <c r="W33" s="317">
        <f t="shared" si="3"/>
        <v>0</v>
      </c>
      <c r="X33" s="317"/>
      <c r="Y33" s="317"/>
      <c r="Z33" s="318">
        <f t="shared" si="4"/>
        <v>1</v>
      </c>
      <c r="AA33" s="319">
        <f t="shared" si="5"/>
        <v>1</v>
      </c>
      <c r="AB33" s="314">
        <f t="shared" si="6"/>
        <v>8.5984251968503952E-3</v>
      </c>
      <c r="AC33" s="320">
        <f t="shared" si="7"/>
        <v>0</v>
      </c>
      <c r="AD33" s="320">
        <f>IF(D33="",0,SUM(F15:F33))</f>
        <v>0.15477165354330708</v>
      </c>
      <c r="AE33" s="320">
        <f>IF(D33="",0,SUM(F16:F50)/2-AD33)</f>
        <v>-6.8787401574803148E-2</v>
      </c>
      <c r="AF33" s="320">
        <f t="shared" si="8"/>
        <v>-6.0188976377952751E-2</v>
      </c>
      <c r="AG33" s="320">
        <f>IF(D33="",0,(AD33+AD32)/2-SUM(F16:F50)/2)</f>
        <v>6.4488188976377953E-2</v>
      </c>
      <c r="AH33" s="321">
        <f ca="1">IF(D33="",0,INDEX(INDIRECT($AE$60),MATCH(AH$14,Matl!$B$3:$B$17,0),MATCH(D33,Matl!$D$2:$K$2,0)))</f>
        <v>7702519.151965999</v>
      </c>
      <c r="AI33" s="321">
        <f ca="1">IF(D33="",0,INDEX(INDIRECT($AE$60),MATCH(AI$14,Matl!$B$3:$B$17,0),MATCH(D33,Matl!$D$2:$K$2,0)))</f>
        <v>7702519.151965999</v>
      </c>
      <c r="AJ33" s="321">
        <f ca="1">IF(D33="",0,INDEX(INDIRECT(AE60),MATCH(AJ14,Matl!B3:B15,0),MATCH(D33,Matl!D2:K2,0)))</f>
        <v>5.8999999999999997E-2</v>
      </c>
      <c r="AK33" s="322">
        <f t="shared" ca="1" si="9"/>
        <v>5.8999999999999997E-2</v>
      </c>
      <c r="AL33" s="321">
        <f ca="1">IF(D33="",0,INDEX(INDIRECT(AE60),MATCH(AL14,Matl!B3:B15,0),MATCH(D33,Matl!D2:K2,0)))</f>
        <v>559990.70641799993</v>
      </c>
      <c r="AM33" s="323">
        <f ca="1">IF(D33="",0,INDEX(INDIRECT(AE60),MATCH(AM14,Matl!B3:B15,0),MATCH(D33,Matl!D2:K2,0)))</f>
        <v>86297.454109999991</v>
      </c>
      <c r="AN33" s="323">
        <f ca="1">IF(D33="",0,INDEX(INDIRECT(AE60),MATCH(AN14,Matl!B3:B15,0),MATCH(D33,Matl!D2:K2,0)))</f>
        <v>70488.34066799999</v>
      </c>
      <c r="AO33" s="323">
        <f ca="1">IF(D33="",0,INDEX(INDIRECT(AE60),MATCH(AO14,Matl!B3:B15,0),MATCH(D33,Matl!D2:K2,0)))</f>
        <v>52068.547941999997</v>
      </c>
      <c r="AP33" s="323">
        <f ca="1">IF(D33="",0,INDEX(INDIRECT(AE60),MATCH(AP14,Matl!B3:B15,0),MATCH(D33,Matl!D2:K2,0)))</f>
        <v>48297.566753999999</v>
      </c>
      <c r="AQ33" s="323">
        <f ca="1">IF(D33="",0,INDEX(INDIRECT(AE60),MATCH(AQ14,Matl!B3:B15,0),MATCH(D33,Matl!D2:K2,0)))</f>
        <v>11167.905825999998</v>
      </c>
      <c r="AR33" s="321"/>
      <c r="AS33" s="321"/>
      <c r="AT33" s="324">
        <f t="shared" ca="1" si="10"/>
        <v>7729425.2813704489</v>
      </c>
      <c r="AU33" s="325">
        <f t="shared" ca="1" si="11"/>
        <v>7729425.2813704489</v>
      </c>
      <c r="AV33" s="325">
        <f t="shared" ca="1" si="12"/>
        <v>456036.09160085651</v>
      </c>
      <c r="AW33" s="325">
        <f t="shared" ca="1" si="13"/>
        <v>456036.09160085651</v>
      </c>
      <c r="AX33" s="326">
        <v>0</v>
      </c>
      <c r="AY33" s="326">
        <v>0</v>
      </c>
      <c r="AZ33" s="326">
        <v>0</v>
      </c>
      <c r="BA33" s="326">
        <v>0</v>
      </c>
      <c r="BB33" s="327">
        <f t="shared" ca="1" si="14"/>
        <v>559990.70641799993</v>
      </c>
      <c r="BC33" s="328"/>
      <c r="BD33" s="324">
        <f t="shared" ca="1" si="15"/>
        <v>7729425.2813704489</v>
      </c>
      <c r="BE33" s="325">
        <f t="shared" ca="1" si="16"/>
        <v>7729425.2813704489</v>
      </c>
      <c r="BF33" s="325">
        <f t="shared" ca="1" si="17"/>
        <v>456036.09160085651</v>
      </c>
      <c r="BG33" s="325">
        <f t="shared" ca="1" si="18"/>
        <v>456036.09160085651</v>
      </c>
      <c r="BH33" s="325">
        <f t="shared" ca="1" si="19"/>
        <v>0</v>
      </c>
      <c r="BI33" s="325">
        <f t="shared" ca="1" si="20"/>
        <v>0</v>
      </c>
      <c r="BJ33" s="325">
        <f t="shared" ca="1" si="21"/>
        <v>0</v>
      </c>
      <c r="BK33" s="325">
        <f t="shared" ca="1" si="22"/>
        <v>0</v>
      </c>
      <c r="BL33" s="329">
        <f t="shared" ca="1" si="23"/>
        <v>559990.70641799993</v>
      </c>
      <c r="BM33" s="330"/>
      <c r="BN33" s="324">
        <f t="shared" ca="1" si="24"/>
        <v>66460.885096508122</v>
      </c>
      <c r="BO33" s="325">
        <f t="shared" ca="1" si="25"/>
        <v>66460.885096508122</v>
      </c>
      <c r="BP33" s="325">
        <f t="shared" ca="1" si="26"/>
        <v>3921.1922206939794</v>
      </c>
      <c r="BQ33" s="325">
        <f t="shared" ca="1" si="27"/>
        <v>3921.1922206939794</v>
      </c>
      <c r="BR33" s="325">
        <f t="shared" ca="1" si="28"/>
        <v>0</v>
      </c>
      <c r="BS33" s="325">
        <f t="shared" ca="1" si="29"/>
        <v>0</v>
      </c>
      <c r="BT33" s="325">
        <f t="shared" ca="1" si="30"/>
        <v>0</v>
      </c>
      <c r="BU33" s="325">
        <f t="shared" ca="1" si="31"/>
        <v>0</v>
      </c>
      <c r="BV33" s="329">
        <f t="shared" ca="1" si="32"/>
        <v>4815.0382000665832</v>
      </c>
      <c r="BW33" s="330"/>
      <c r="BX33" s="325">
        <f t="shared" ca="1" si="33"/>
        <v>4285.9421176409569</v>
      </c>
      <c r="BY33" s="325">
        <f t="shared" ca="1" si="34"/>
        <v>4285.9421176409569</v>
      </c>
      <c r="BZ33" s="325">
        <f t="shared" ca="1" si="35"/>
        <v>252.87058494081649</v>
      </c>
      <c r="CA33" s="325">
        <f t="shared" ca="1" si="36"/>
        <v>252.87058494081649</v>
      </c>
      <c r="CB33" s="325">
        <f t="shared" ca="1" si="37"/>
        <v>0</v>
      </c>
      <c r="CC33" s="325">
        <f t="shared" ca="1" si="38"/>
        <v>0</v>
      </c>
      <c r="CD33" s="325">
        <f t="shared" ca="1" si="39"/>
        <v>0</v>
      </c>
      <c r="CE33" s="325">
        <f t="shared" ca="1" si="40"/>
        <v>0</v>
      </c>
      <c r="CF33" s="325">
        <f t="shared" ca="1" si="41"/>
        <v>310.51309337437254</v>
      </c>
      <c r="CG33" s="330"/>
      <c r="CH33" s="331">
        <f t="shared" ca="1" si="42"/>
        <v>276.80211580976493</v>
      </c>
      <c r="CI33" s="332">
        <f t="shared" ca="1" si="43"/>
        <v>276.80211580976493</v>
      </c>
      <c r="CJ33" s="332">
        <f t="shared" ca="1" si="44"/>
        <v>16.331324832776133</v>
      </c>
      <c r="CK33" s="332">
        <f t="shared" ca="1" si="45"/>
        <v>16.331324832776133</v>
      </c>
      <c r="CL33" s="332">
        <f t="shared" ca="1" si="46"/>
        <v>0</v>
      </c>
      <c r="CM33" s="332">
        <f t="shared" ca="1" si="47"/>
        <v>0</v>
      </c>
      <c r="CN33" s="332">
        <f t="shared" ca="1" si="48"/>
        <v>0</v>
      </c>
      <c r="CO33" s="332">
        <f t="shared" ca="1" si="49"/>
        <v>0</v>
      </c>
      <c r="CP33" s="333">
        <f t="shared" ca="1" si="50"/>
        <v>20.054092863010922</v>
      </c>
      <c r="CR33" s="334"/>
      <c r="CS33" s="335"/>
      <c r="CT33" s="335"/>
      <c r="CU33" s="336" t="s">
        <v>133</v>
      </c>
      <c r="CV33" s="337">
        <f ca="1">AE72</f>
        <v>-2.771243444540907E-4</v>
      </c>
      <c r="CW33" s="338"/>
      <c r="CX33" s="369">
        <f ca="1">BI21</f>
        <v>0</v>
      </c>
      <c r="CY33" s="370">
        <f ca="1">BJ21</f>
        <v>0</v>
      </c>
      <c r="CZ33" s="371">
        <f ca="1">BL21</f>
        <v>559990.70641799993</v>
      </c>
      <c r="DA33" s="338"/>
      <c r="DB33" s="342">
        <f ca="1"/>
        <v>-155.18705741647139</v>
      </c>
      <c r="DC33" s="338"/>
      <c r="DD33" s="343">
        <f ca="1">-AE75*AE33/F69</f>
        <v>6.8683290714779298E-3</v>
      </c>
      <c r="DE33" s="344">
        <f ca="1">-AE75*AF33/F69</f>
        <v>6.009787937543188E-3</v>
      </c>
      <c r="DF33" s="344">
        <f ca="1">-AE76*AE33/F70</f>
        <v>1.0632606104497776E-3</v>
      </c>
      <c r="DG33" s="344">
        <f ca="1">-AE76*AF33/F70</f>
        <v>9.3035303414355547E-4</v>
      </c>
      <c r="DH33" s="344">
        <f ca="1">-AE77*AE33/F69</f>
        <v>-8.2815475163700719E-3</v>
      </c>
      <c r="DI33" s="345">
        <f ca="1">-AE77*AF33/F69</f>
        <v>-7.2463540768238121E-3</v>
      </c>
      <c r="DJ33" s="338"/>
      <c r="DK33" s="338"/>
      <c r="DL33" s="338"/>
      <c r="DM33" s="346" t="s">
        <v>133</v>
      </c>
      <c r="DN33" s="347">
        <f ca="1">INDEX(DI16:DI115,MATCH(DJ31,A16:A50,0))</f>
        <v>5.1759671977312923E-3</v>
      </c>
      <c r="DO33" s="338"/>
      <c r="DP33" s="338"/>
      <c r="DQ33" s="346" t="s">
        <v>134</v>
      </c>
      <c r="DR33" s="347">
        <f ca="1">INDEX(DH16:DH115,MATCH(DJ31,A16:A50,0))</f>
        <v>4.1407737581850334E-3</v>
      </c>
      <c r="DS33" s="338"/>
      <c r="DT33" s="369">
        <f t="shared" ca="1" si="165"/>
        <v>0</v>
      </c>
      <c r="DU33" s="370">
        <f t="shared" ca="1" si="102"/>
        <v>0</v>
      </c>
      <c r="DV33" s="371">
        <f t="shared" ca="1" si="103"/>
        <v>559990.70641799993</v>
      </c>
      <c r="DW33" s="338"/>
      <c r="DX33" s="349">
        <f ca="1"/>
        <v>2898.4935274539421</v>
      </c>
      <c r="DY33" s="349"/>
      <c r="DZ33" s="349">
        <f ca="1"/>
        <v>2318.794821963153</v>
      </c>
      <c r="EB33" s="350">
        <f t="shared" ca="1" si="52"/>
        <v>3546.9813186371889</v>
      </c>
      <c r="EC33" s="351">
        <f t="shared" ca="1" si="53"/>
        <v>523.53150187562358</v>
      </c>
      <c r="ED33" s="352">
        <f t="shared" ca="1" si="54"/>
        <v>-155.18705741647139</v>
      </c>
      <c r="EE33" s="350">
        <f t="shared" ca="1" si="55"/>
        <v>46876.481381621314</v>
      </c>
      <c r="EF33" s="351">
        <f t="shared" ca="1" si="56"/>
        <v>53573.121578995786</v>
      </c>
      <c r="EG33" s="351">
        <f t="shared" ca="1" si="57"/>
        <v>9931.7744650960703</v>
      </c>
      <c r="EH33" s="351">
        <f t="shared" ca="1" si="58"/>
        <v>11350.599388681221</v>
      </c>
      <c r="EI33" s="351">
        <f t="shared" ca="1" si="59"/>
        <v>-4057.8909384355202</v>
      </c>
      <c r="EJ33" s="352">
        <f t="shared" ca="1" si="60"/>
        <v>-4637.5896439263097</v>
      </c>
      <c r="EK33" s="350">
        <f t="shared" ca="1" si="129"/>
        <v>50423.462700258504</v>
      </c>
      <c r="EL33" s="351">
        <f t="shared" ca="1" si="130"/>
        <v>57120.102897632976</v>
      </c>
      <c r="EM33" s="351">
        <f t="shared" ca="1" si="131"/>
        <v>10455.305966971693</v>
      </c>
      <c r="EN33" s="351">
        <f t="shared" ca="1" si="132"/>
        <v>11874.130890556844</v>
      </c>
      <c r="EO33" s="351">
        <f t="shared" ca="1" si="133"/>
        <v>-4213.0779958519915</v>
      </c>
      <c r="EP33" s="352">
        <f t="shared" ca="1" si="134"/>
        <v>-4792.7767013427811</v>
      </c>
      <c r="EQ33" s="323">
        <f t="shared" ca="1" si="135"/>
        <v>57120.102897632976</v>
      </c>
      <c r="ER33" s="323">
        <f t="shared" ca="1" si="136"/>
        <v>11874.130890556844</v>
      </c>
      <c r="ES33" s="323">
        <f t="shared" ca="1" si="137"/>
        <v>-4792.7767013427811</v>
      </c>
      <c r="ET33" s="323">
        <f t="shared" ca="1" si="138"/>
        <v>86297.454109999991</v>
      </c>
      <c r="EU33" s="323">
        <f t="shared" ca="1" si="139"/>
        <v>52068.547941999997</v>
      </c>
      <c r="EV33" s="323">
        <f t="shared" ca="1" si="140"/>
        <v>70488.34066799999</v>
      </c>
      <c r="EW33" s="323">
        <f t="shared" ca="1" si="141"/>
        <v>48297.566753999999</v>
      </c>
      <c r="EX33" s="323">
        <f t="shared" ca="1" si="142"/>
        <v>11167.905825999998</v>
      </c>
      <c r="EY33" s="353">
        <f t="shared" ca="1" si="143"/>
        <v>2.2254946258207747E-10</v>
      </c>
      <c r="EZ33" s="353">
        <f t="shared" ca="1" si="144"/>
        <v>2.9373619270409085E-10</v>
      </c>
      <c r="FA33" s="321">
        <f t="shared" ca="1" si="145"/>
        <v>8.0178239087273853E-9</v>
      </c>
      <c r="FB33" s="354">
        <f t="shared" ca="1" si="146"/>
        <v>-1.1127473129103873E-10</v>
      </c>
      <c r="FC33" s="321">
        <f t="shared" ca="1" si="147"/>
        <v>-7.6176246724607548E-6</v>
      </c>
      <c r="FD33" s="321">
        <f t="shared" ca="1" si="148"/>
        <v>-6.5182334426556133E-6</v>
      </c>
      <c r="FE33" s="355">
        <f t="shared" ca="1" si="149"/>
        <v>0.80075940291612469</v>
      </c>
      <c r="FF33" s="338">
        <f t="shared" ca="1" si="150"/>
        <v>-0.51251786219980366</v>
      </c>
      <c r="FG33" s="335">
        <f t="shared" ca="1" si="151"/>
        <v>-1.2783860120010795E-10</v>
      </c>
      <c r="FH33" s="356">
        <f t="shared" ca="1" si="152"/>
        <v>0.7782904610993393</v>
      </c>
      <c r="FI33" s="335">
        <f t="shared" ca="1" si="153"/>
        <v>-0.51251786219980366</v>
      </c>
      <c r="FJ33" s="357">
        <f t="shared" ca="1" si="61"/>
        <v>-8.6326810275440646E-2</v>
      </c>
      <c r="FK33" s="357">
        <f t="shared" ca="1" si="62"/>
        <v>0.36188614148996257</v>
      </c>
      <c r="FL33" s="357">
        <f t="shared" ca="1" si="63"/>
        <v>0.67494088514685679</v>
      </c>
      <c r="FM33" s="357">
        <f t="shared" ca="1" si="64"/>
        <v>0.69289011716856308</v>
      </c>
      <c r="FN33" s="357">
        <f t="shared" ca="1" si="65"/>
        <v>0.51080704922147668</v>
      </c>
      <c r="FO33" s="357">
        <f t="shared" ca="1" si="154"/>
        <v>4.9362947332892677</v>
      </c>
      <c r="FP33" s="357">
        <f t="shared" ca="1" si="155"/>
        <v>1.3301535877670063</v>
      </c>
      <c r="FR33" s="358"/>
      <c r="FS33" s="359">
        <f ca="1">INDEX(EB16:EB115,MATCH(GF32,A16:A115,0))</f>
        <v>3546.9813186371889</v>
      </c>
      <c r="FT33" s="359">
        <f>FT32</f>
        <v>5.1590551181102347E-2</v>
      </c>
      <c r="FU33" s="359">
        <f ca="1">INDEX(EC16:EC115,MATCH(GF32,A16:A115,0))</f>
        <v>523.53150187562358</v>
      </c>
      <c r="FV33" s="359">
        <f t="shared" ref="FV33:FV35" si="166">FT33</f>
        <v>5.1590551181102347E-2</v>
      </c>
      <c r="FW33" s="359">
        <f ca="1">INDEX(ED16:ED115,MATCH(GF32,A16:A115,0))</f>
        <v>-155.18705741647139</v>
      </c>
      <c r="FX33" s="360">
        <f t="shared" ref="FX33:FX35" si="167">FV33</f>
        <v>5.1590551181102347E-2</v>
      </c>
      <c r="FY33" s="358"/>
      <c r="FZ33" s="351">
        <f ca="1">INDEX(EE16:EE115,MATCH(GF32,A16:A115,0))</f>
        <v>-40179.841184246827</v>
      </c>
      <c r="GA33" s="359">
        <f>GA32</f>
        <v>5.1590551181102347E-2</v>
      </c>
      <c r="GB33" s="326">
        <f ca="1">INDEX(EG16:EG115,MATCH(GF32,A16:A115,0))</f>
        <v>-8512.9495415109141</v>
      </c>
      <c r="GC33" s="362">
        <f t="shared" si="105"/>
        <v>5.1590551181102347E-2</v>
      </c>
      <c r="GD33" s="359">
        <f ca="1">INDEX(EI16:EI115,MATCH(GF32,A16:A115,0))</f>
        <v>3478.1922329447311</v>
      </c>
      <c r="GE33" s="363">
        <f t="shared" ref="GE33:GE35" si="168">GC33</f>
        <v>5.1590551181102347E-2</v>
      </c>
      <c r="GF33" s="364"/>
      <c r="GG33" s="365">
        <f ca="1">FS33+FZ33</f>
        <v>-36632.859865609636</v>
      </c>
      <c r="GH33" s="320">
        <f>GH32</f>
        <v>5.1590551181102347E-2</v>
      </c>
      <c r="GI33" s="365">
        <f ca="1">FU33+GB33</f>
        <v>-7989.4180396352904</v>
      </c>
      <c r="GJ33" s="366">
        <f t="shared" si="106"/>
        <v>5.1590551181102347E-2</v>
      </c>
      <c r="GK33" s="365">
        <f ca="1">FW33+GD33</f>
        <v>3323.0051755282598</v>
      </c>
      <c r="GL33" s="366">
        <f t="shared" si="107"/>
        <v>5.1590551181102347E-2</v>
      </c>
      <c r="GN33" s="359">
        <f t="shared" si="69"/>
        <v>5.1590551181102347E-2</v>
      </c>
      <c r="GO33" s="367">
        <f ca="1">INDEX(FJ16:FJ115,MATCH(GM32,A16:A115,0))</f>
        <v>0.41008782698486135</v>
      </c>
      <c r="GP33" s="367">
        <f ca="1">INDEX(FK16:FK115,MATCH(GM32,A16:A115,0))</f>
        <v>0.42205451288795293</v>
      </c>
      <c r="GQ33" s="367">
        <f ca="1">INDEX(FL16:FL115,MATCH(GM32,A16:A115,0))</f>
        <v>0.44938628075589016</v>
      </c>
      <c r="GR33" s="367">
        <f ca="1">INDEX(FM16:FM115,MATCH(GM32,A16:A115,0))</f>
        <v>0.47723500675528152</v>
      </c>
      <c r="GS33" s="367">
        <f ca="1">INDEX(FN16:FN115,MATCH(GM32,A16:A115,0))</f>
        <v>0.42136180830591252</v>
      </c>
      <c r="GT33" s="367">
        <f ca="1">INDEX(FO16:FO115,MATCH(GM32,A16:A115,0))</f>
        <v>5.0451920921395095</v>
      </c>
      <c r="GU33" s="367">
        <f ca="1">INDEX(FP16:FP115,MATCH(GM32,A16:A115,0))</f>
        <v>2.3607849630341398</v>
      </c>
      <c r="HH33" s="321">
        <f ca="1">IF(D32="","",INDEX(INDIRECT(AE60),MATCH(HH15,Matl!B3:B29,0),MATCH(D32,Matl!D2:K2,0)))</f>
        <v>3000</v>
      </c>
      <c r="HI33" s="314">
        <f ca="1">IF(D32="","",INDEX(INDIRECT(AE60),MATCH(HI15,Matl!B3:B29,0),MATCH(D32,Matl!D2:K2,0)))</f>
        <v>4500</v>
      </c>
      <c r="HO33" s="338"/>
      <c r="HP33" s="338"/>
      <c r="HQ33" s="346" t="s">
        <v>40</v>
      </c>
      <c r="HR33" s="346" t="s">
        <v>35</v>
      </c>
      <c r="HS33" s="348">
        <f ca="1">AE70-F51/2*AE75</f>
        <v>-8.1289252351708207E-3</v>
      </c>
      <c r="HT33" s="365">
        <f ca="1">HS33*1000000</f>
        <v>-8128.925235170821</v>
      </c>
      <c r="HU33" s="365"/>
      <c r="HY33" s="338"/>
      <c r="HZ33" s="338"/>
      <c r="IA33" s="338"/>
      <c r="IB33" s="338"/>
      <c r="IC33" s="338"/>
      <c r="ID33" s="338">
        <f>IP37</f>
        <v>0</v>
      </c>
      <c r="IE33" s="338">
        <f>-IO37</f>
        <v>0</v>
      </c>
      <c r="IF33" s="338"/>
      <c r="IG33" s="338"/>
      <c r="IH33" s="338"/>
      <c r="II33" s="338"/>
      <c r="IJ33" s="338">
        <v>6</v>
      </c>
      <c r="IK33" s="342">
        <f>IK27-(IK27-IK57)*IJ33/(IJ56+1)</f>
        <v>0.62831853071795862</v>
      </c>
      <c r="IL33" s="338">
        <f ca="1">IK25*SIN(IK49)</f>
        <v>2229.4344764321836</v>
      </c>
      <c r="IM33" s="338">
        <f ca="1">IK25*SIN(IK34)+IF27</f>
        <v>2007.3918190765746</v>
      </c>
      <c r="IN33" s="338"/>
      <c r="IO33" s="338"/>
      <c r="IP33" s="338"/>
    </row>
    <row r="34" spans="1:250" s="314" customFormat="1" ht="12" x14ac:dyDescent="0.25">
      <c r="A34" s="310">
        <v>19</v>
      </c>
      <c r="B34" s="311">
        <v>0</v>
      </c>
      <c r="C34" s="311"/>
      <c r="D34" s="380" t="s">
        <v>109</v>
      </c>
      <c r="E34" s="380"/>
      <c r="F34" s="312">
        <f>IF(C34="",INDEX(Matl!$C$15:$K$15,MATCH(D34,Matl!$C$2:$K$2,0)),C34)</f>
        <v>8.5984251968503952E-3</v>
      </c>
      <c r="G34" s="313"/>
      <c r="H34" s="313"/>
      <c r="I34" s="313"/>
      <c r="J34" s="313"/>
      <c r="K34" s="313"/>
      <c r="M34" s="315"/>
      <c r="N34" s="315"/>
      <c r="O34" s="315"/>
      <c r="P34" s="316"/>
      <c r="Q34" s="316"/>
      <c r="R34" s="316"/>
      <c r="S34" s="316"/>
      <c r="T34" s="315"/>
      <c r="U34" s="317"/>
      <c r="V34" s="317"/>
      <c r="W34" s="317">
        <f t="shared" si="3"/>
        <v>0</v>
      </c>
      <c r="X34" s="317"/>
      <c r="Y34" s="317"/>
      <c r="Z34" s="318">
        <f t="shared" si="4"/>
        <v>1</v>
      </c>
      <c r="AA34" s="319">
        <f t="shared" si="5"/>
        <v>1</v>
      </c>
      <c r="AB34" s="314">
        <f t="shared" si="6"/>
        <v>8.5984251968503952E-3</v>
      </c>
      <c r="AC34" s="320">
        <f t="shared" si="7"/>
        <v>0</v>
      </c>
      <c r="AD34" s="320">
        <f>IF(D34="",0,SUM(F15:F34))</f>
        <v>0.16337007874015747</v>
      </c>
      <c r="AE34" s="320">
        <f>IF(D34="",0,SUM(F16:F50)/2-AD34)</f>
        <v>-7.7385826771653538E-2</v>
      </c>
      <c r="AF34" s="320">
        <f t="shared" si="8"/>
        <v>-6.8787401574803148E-2</v>
      </c>
      <c r="AG34" s="320">
        <f>IF(D34="",0,(AD34+AD33)/2-SUM(F16:F50)/2)</f>
        <v>7.3086614173228343E-2</v>
      </c>
      <c r="AH34" s="321">
        <f ca="1">IF(D34="",0,INDEX(INDIRECT($AE$60),MATCH(AH$14,Matl!$B$3:$B$17,0),MATCH(D34,Matl!$D$2:$K$2,0)))</f>
        <v>7702519.151965999</v>
      </c>
      <c r="AI34" s="321">
        <f ca="1">IF(D34="",0,INDEX(INDIRECT($AE$60),MATCH(AI$14,Matl!$B$3:$B$17,0),MATCH(D34,Matl!$D$2:$K$2,0)))</f>
        <v>7702519.151965999</v>
      </c>
      <c r="AJ34" s="321">
        <f ca="1">IF(D34="",0,INDEX(INDIRECT(AE60),MATCH(AJ14,Matl!B3:B15,0),MATCH(D34,Matl!D2:K2,0)))</f>
        <v>5.8999999999999997E-2</v>
      </c>
      <c r="AK34" s="322">
        <f t="shared" ca="1" si="9"/>
        <v>5.8999999999999997E-2</v>
      </c>
      <c r="AL34" s="321">
        <f ca="1">IF(D34="",0,INDEX(INDIRECT(AE60),MATCH(AL14,Matl!B3:B15,0),MATCH(D34,Matl!D2:K2,0)))</f>
        <v>559990.70641799993</v>
      </c>
      <c r="AM34" s="323">
        <f ca="1">IF(D34="",0,INDEX(INDIRECT(AE60),MATCH(AM14,Matl!B3:B15,0),MATCH(D34,Matl!D2:K2,0)))</f>
        <v>86297.454109999991</v>
      </c>
      <c r="AN34" s="323">
        <f ca="1">IF(D34="",0,INDEX(INDIRECT(AE60),MATCH(AN14,Matl!B3:B15,0),MATCH(D34,Matl!D2:K2,0)))</f>
        <v>70488.34066799999</v>
      </c>
      <c r="AO34" s="323">
        <f ca="1">IF(D34="",0,INDEX(INDIRECT(AE60),MATCH(AO14,Matl!B3:B15,0),MATCH(D34,Matl!D2:K2,0)))</f>
        <v>52068.547941999997</v>
      </c>
      <c r="AP34" s="323">
        <f ca="1">IF(D34="",0,INDEX(INDIRECT(AE60),MATCH(AP14,Matl!B3:B15,0),MATCH(D34,Matl!D2:K2,0)))</f>
        <v>48297.566753999999</v>
      </c>
      <c r="AQ34" s="323">
        <f ca="1">IF(D34="",0,INDEX(INDIRECT(AE60),MATCH(AQ14,Matl!B3:B15,0),MATCH(D34,Matl!D2:K2,0)))</f>
        <v>11167.905825999998</v>
      </c>
      <c r="AR34" s="321"/>
      <c r="AS34" s="321"/>
      <c r="AT34" s="324">
        <f t="shared" ca="1" si="10"/>
        <v>7729425.2813704489</v>
      </c>
      <c r="AU34" s="325">
        <f t="shared" ca="1" si="11"/>
        <v>7729425.2813704489</v>
      </c>
      <c r="AV34" s="325">
        <f t="shared" ca="1" si="12"/>
        <v>456036.09160085651</v>
      </c>
      <c r="AW34" s="325">
        <f t="shared" ca="1" si="13"/>
        <v>456036.09160085651</v>
      </c>
      <c r="AX34" s="326">
        <v>0</v>
      </c>
      <c r="AY34" s="326">
        <v>0</v>
      </c>
      <c r="AZ34" s="326">
        <v>0</v>
      </c>
      <c r="BA34" s="326">
        <v>0</v>
      </c>
      <c r="BB34" s="327">
        <f t="shared" ca="1" si="14"/>
        <v>559990.70641799993</v>
      </c>
      <c r="BC34" s="328"/>
      <c r="BD34" s="324">
        <f t="shared" ca="1" si="15"/>
        <v>7729425.2813704489</v>
      </c>
      <c r="BE34" s="325">
        <f t="shared" ca="1" si="16"/>
        <v>7729425.2813704489</v>
      </c>
      <c r="BF34" s="325">
        <f t="shared" ca="1" si="17"/>
        <v>456036.09160085651</v>
      </c>
      <c r="BG34" s="325">
        <f t="shared" ca="1" si="18"/>
        <v>456036.09160085651</v>
      </c>
      <c r="BH34" s="325">
        <f t="shared" ca="1" si="19"/>
        <v>0</v>
      </c>
      <c r="BI34" s="325">
        <f t="shared" ca="1" si="20"/>
        <v>0</v>
      </c>
      <c r="BJ34" s="325">
        <f t="shared" ca="1" si="21"/>
        <v>0</v>
      </c>
      <c r="BK34" s="325">
        <f t="shared" ca="1" si="22"/>
        <v>0</v>
      </c>
      <c r="BL34" s="329">
        <f t="shared" ca="1" si="23"/>
        <v>559990.70641799993</v>
      </c>
      <c r="BM34" s="330"/>
      <c r="BN34" s="324">
        <f t="shared" ca="1" si="24"/>
        <v>66460.885096508122</v>
      </c>
      <c r="BO34" s="325">
        <f t="shared" ca="1" si="25"/>
        <v>66460.885096508122</v>
      </c>
      <c r="BP34" s="325">
        <f t="shared" ca="1" si="26"/>
        <v>3921.1922206939794</v>
      </c>
      <c r="BQ34" s="325">
        <f t="shared" ca="1" si="27"/>
        <v>3921.1922206939794</v>
      </c>
      <c r="BR34" s="325">
        <f t="shared" ca="1" si="28"/>
        <v>0</v>
      </c>
      <c r="BS34" s="325">
        <f t="shared" ca="1" si="29"/>
        <v>0</v>
      </c>
      <c r="BT34" s="325">
        <f t="shared" ca="1" si="30"/>
        <v>0</v>
      </c>
      <c r="BU34" s="325">
        <f t="shared" ca="1" si="31"/>
        <v>0</v>
      </c>
      <c r="BV34" s="329">
        <f t="shared" ca="1" si="32"/>
        <v>4815.0382000665832</v>
      </c>
      <c r="BW34" s="330"/>
      <c r="BX34" s="325">
        <f t="shared" ca="1" si="33"/>
        <v>4857.4010666597505</v>
      </c>
      <c r="BY34" s="325">
        <f t="shared" ca="1" si="34"/>
        <v>4857.4010666597505</v>
      </c>
      <c r="BZ34" s="325">
        <f t="shared" ca="1" si="35"/>
        <v>286.58666293292532</v>
      </c>
      <c r="CA34" s="325">
        <f t="shared" ca="1" si="36"/>
        <v>286.58666293292532</v>
      </c>
      <c r="CB34" s="325">
        <f t="shared" ca="1" si="37"/>
        <v>0</v>
      </c>
      <c r="CC34" s="325">
        <f t="shared" ca="1" si="38"/>
        <v>0</v>
      </c>
      <c r="CD34" s="325">
        <f t="shared" ca="1" si="39"/>
        <v>0</v>
      </c>
      <c r="CE34" s="325">
        <f t="shared" ca="1" si="40"/>
        <v>0</v>
      </c>
      <c r="CF34" s="325">
        <f t="shared" ca="1" si="41"/>
        <v>351.91483915762217</v>
      </c>
      <c r="CG34" s="330"/>
      <c r="CH34" s="331">
        <f t="shared" ca="1" si="42"/>
        <v>355.42046822910646</v>
      </c>
      <c r="CI34" s="332">
        <f t="shared" ca="1" si="43"/>
        <v>355.42046822910646</v>
      </c>
      <c r="CJ34" s="332">
        <f t="shared" ca="1" si="44"/>
        <v>20.96980762551728</v>
      </c>
      <c r="CK34" s="332">
        <f t="shared" ca="1" si="45"/>
        <v>20.96980762551728</v>
      </c>
      <c r="CL34" s="332">
        <f t="shared" ca="1" si="46"/>
        <v>0</v>
      </c>
      <c r="CM34" s="332">
        <f t="shared" ca="1" si="47"/>
        <v>0</v>
      </c>
      <c r="CN34" s="332">
        <f t="shared" ca="1" si="48"/>
        <v>0</v>
      </c>
      <c r="CO34" s="332">
        <f t="shared" ca="1" si="49"/>
        <v>0</v>
      </c>
      <c r="CP34" s="333">
        <f t="shared" ca="1" si="50"/>
        <v>25.749929889191534</v>
      </c>
      <c r="CR34" s="334">
        <f>CR31+1</f>
        <v>7</v>
      </c>
      <c r="CS34" s="335"/>
      <c r="CT34" s="335"/>
      <c r="CU34" s="336" t="s">
        <v>129</v>
      </c>
      <c r="CV34" s="337">
        <f ca="1">AE70</f>
        <v>4.5648610417658959E-4</v>
      </c>
      <c r="CW34" s="338"/>
      <c r="CX34" s="339">
        <f ca="1">BD22</f>
        <v>4652721.392903653</v>
      </c>
      <c r="CY34" s="340">
        <f ca="1">BF22</f>
        <v>3532739.9800676531</v>
      </c>
      <c r="CZ34" s="341">
        <f ca="1">BH22</f>
        <v>0</v>
      </c>
      <c r="DA34" s="338"/>
      <c r="DB34" s="342">
        <f t="array" aca="1" ref="DB34:DB36" ca="1">MMULT(CX34:CZ36,CV34:CV36)</f>
        <v>2268.0369963811145</v>
      </c>
      <c r="DC34" s="338"/>
      <c r="DD34" s="343">
        <f ca="1">-AE75*AE34/F69</f>
        <v>7.7268702054126706E-3</v>
      </c>
      <c r="DE34" s="344">
        <f ca="1">-AE75*AF34/F69</f>
        <v>6.8683290714779298E-3</v>
      </c>
      <c r="DF34" s="344">
        <f ca="1">-AE76*AE34/F70</f>
        <v>1.1961681867559998E-3</v>
      </c>
      <c r="DG34" s="344">
        <f ca="1">-AE76*AF34/F70</f>
        <v>1.0632606104497776E-3</v>
      </c>
      <c r="DH34" s="344">
        <f ca="1">-AE77*AE34/F69</f>
        <v>-9.3167409559163309E-3</v>
      </c>
      <c r="DI34" s="345">
        <f ca="1">-AE77*AF34/F69</f>
        <v>-8.2815475163700719E-3</v>
      </c>
      <c r="DJ34" s="338">
        <f>DJ31+1</f>
        <v>7</v>
      </c>
      <c r="DK34" s="338"/>
      <c r="DL34" s="338"/>
      <c r="DM34" s="346" t="s">
        <v>129</v>
      </c>
      <c r="DN34" s="347">
        <f ca="1">INDEX(DE16:DE115,MATCH(DJ34,A16:A50,0))</f>
        <v>-3.4341645357389627E-3</v>
      </c>
      <c r="DO34" s="338"/>
      <c r="DP34" s="338"/>
      <c r="DQ34" s="346" t="s">
        <v>130</v>
      </c>
      <c r="DR34" s="347">
        <f ca="1">INDEX(DD16:DD115,MATCH(DJ34,A16:A50,0))</f>
        <v>-2.5756234018042209E-3</v>
      </c>
      <c r="DS34" s="338"/>
      <c r="DT34" s="339">
        <f ca="1">CX34</f>
        <v>4652721.392903653</v>
      </c>
      <c r="DU34" s="340">
        <f t="shared" ca="1" si="102"/>
        <v>3532739.9800676531</v>
      </c>
      <c r="DV34" s="341">
        <f t="shared" ca="1" si="103"/>
        <v>0</v>
      </c>
      <c r="DW34" s="338"/>
      <c r="DX34" s="349">
        <f t="array" aca="1" ref="DX34:DX36" ca="1">MMULT(DT34:DV36,DN34:DN36)</f>
        <v>-17856.322436067247</v>
      </c>
      <c r="DY34" s="349"/>
      <c r="DZ34" s="349">
        <f t="array" aca="1" ref="DZ34:DZ36" ca="1">MMULT(DT34:DV36,DR34:DR36)</f>
        <v>-13392.241827050429</v>
      </c>
      <c r="EB34" s="350">
        <f t="shared" ca="1" si="52"/>
        <v>3546.9813186371889</v>
      </c>
      <c r="EC34" s="351">
        <f t="shared" ca="1" si="53"/>
        <v>523.53150187562358</v>
      </c>
      <c r="ED34" s="352">
        <f t="shared" ca="1" si="54"/>
        <v>-155.18705741647139</v>
      </c>
      <c r="EE34" s="350">
        <f t="shared" ca="1" si="55"/>
        <v>53573.121578995786</v>
      </c>
      <c r="EF34" s="351">
        <f t="shared" ca="1" si="56"/>
        <v>60269.761776370258</v>
      </c>
      <c r="EG34" s="351">
        <f t="shared" ca="1" si="57"/>
        <v>11350.599388681221</v>
      </c>
      <c r="EH34" s="351">
        <f t="shared" ca="1" si="58"/>
        <v>12769.424312266376</v>
      </c>
      <c r="EI34" s="351">
        <f t="shared" ca="1" si="59"/>
        <v>-4637.5896439263097</v>
      </c>
      <c r="EJ34" s="352">
        <f t="shared" ca="1" si="60"/>
        <v>-5217.2883494170983</v>
      </c>
      <c r="EK34" s="350">
        <f t="shared" ca="1" si="129"/>
        <v>57120.102897632976</v>
      </c>
      <c r="EL34" s="351">
        <f t="shared" ca="1" si="130"/>
        <v>63816.743095007449</v>
      </c>
      <c r="EM34" s="351">
        <f t="shared" ca="1" si="131"/>
        <v>11874.130890556844</v>
      </c>
      <c r="EN34" s="351">
        <f t="shared" ca="1" si="132"/>
        <v>13292.955814141998</v>
      </c>
      <c r="EO34" s="351">
        <f t="shared" ca="1" si="133"/>
        <v>-4792.7767013427811</v>
      </c>
      <c r="EP34" s="352">
        <f t="shared" ca="1" si="134"/>
        <v>-5372.4754068335697</v>
      </c>
      <c r="EQ34" s="323">
        <f t="shared" ca="1" si="135"/>
        <v>63816.743095007449</v>
      </c>
      <c r="ER34" s="323">
        <f t="shared" ca="1" si="136"/>
        <v>13292.955814141998</v>
      </c>
      <c r="ES34" s="323">
        <f t="shared" ca="1" si="137"/>
        <v>-5372.4754068335697</v>
      </c>
      <c r="ET34" s="323">
        <f t="shared" ca="1" si="138"/>
        <v>86297.454109999991</v>
      </c>
      <c r="EU34" s="323">
        <f t="shared" ca="1" si="139"/>
        <v>52068.547941999997</v>
      </c>
      <c r="EV34" s="323">
        <f t="shared" ca="1" si="140"/>
        <v>70488.34066799999</v>
      </c>
      <c r="EW34" s="323">
        <f t="shared" ca="1" si="141"/>
        <v>48297.566753999999</v>
      </c>
      <c r="EX34" s="323">
        <f t="shared" ca="1" si="142"/>
        <v>11167.905825999998</v>
      </c>
      <c r="EY34" s="353">
        <f t="shared" ca="1" si="143"/>
        <v>2.2254946258207747E-10</v>
      </c>
      <c r="EZ34" s="353">
        <f t="shared" ca="1" si="144"/>
        <v>2.9373619270409085E-10</v>
      </c>
      <c r="FA34" s="321">
        <f t="shared" ca="1" si="145"/>
        <v>8.0178239087273853E-9</v>
      </c>
      <c r="FB34" s="354">
        <f t="shared" ca="1" si="146"/>
        <v>-1.1127473129103873E-10</v>
      </c>
      <c r="FC34" s="321">
        <f t="shared" ca="1" si="147"/>
        <v>-7.6176246724607548E-6</v>
      </c>
      <c r="FD34" s="321">
        <f t="shared" ca="1" si="148"/>
        <v>-6.5182334426556133E-6</v>
      </c>
      <c r="FE34" s="355">
        <f t="shared" ca="1" si="149"/>
        <v>1.0008844879689527</v>
      </c>
      <c r="FF34" s="338">
        <f t="shared" ca="1" si="150"/>
        <v>-0.57277858585610208</v>
      </c>
      <c r="FG34" s="335">
        <f t="shared" ca="1" si="151"/>
        <v>-1.2783860120010795E-10</v>
      </c>
      <c r="FH34" s="356">
        <f t="shared" ca="1" si="152"/>
        <v>0.97278179077851246</v>
      </c>
      <c r="FI34" s="335">
        <f t="shared" ca="1" si="153"/>
        <v>-0.57277858585610208</v>
      </c>
      <c r="FJ34" s="357">
        <f ca="1">(1/SQRT(EQ34^2/MIN(ET34:EU34)^2+ER34^2/MIN(EV34:EW34)^2+ES34^2/EX34^2-EQ34*ER34/MIN(ET34:EU34)^2))-1</f>
        <v>-0.18253326658530811</v>
      </c>
      <c r="FK34" s="357">
        <f ca="1">1/SQRT(  EQ34^2/(IF(EQ34&lt;0,EU34,ET34))^2  +  ER34^2/(IF(ER34&lt;0,EW34,EV34))^2  +   ES34^2/EX34^2  -  EQ34*ER34/(IF(EQ34&lt;0,EU34,ET34)*IF(ER34&lt;0,EW34,EV34))  )-1</f>
        <v>0.21771570534597906</v>
      </c>
      <c r="FL34" s="357">
        <f ca="1">(-FF34+(FF34^2+4*FE34)^0.5/(2*FE34))-1</f>
        <v>0.61248538284205645</v>
      </c>
      <c r="FM34" s="357">
        <f ca="1">(-FI34+(FI34^2+4*FH34)^0.5/(2*FH34))-1</f>
        <v>0.62854965051015799</v>
      </c>
      <c r="FN34" s="357">
        <f ca="1">IF(EQ34&gt;0,ET34/EQ34-1,EU34/(ABS(EQ34))-1)</f>
        <v>0.35226979511512035</v>
      </c>
      <c r="FO34" s="357">
        <f t="shared" ca="1" si="154"/>
        <v>4.3026837411894086</v>
      </c>
      <c r="FP34" s="357">
        <f t="shared" ca="1" si="155"/>
        <v>1.078726281705241</v>
      </c>
      <c r="FR34" s="358"/>
      <c r="FS34" s="359">
        <f ca="1">FS33</f>
        <v>3546.9813186371889</v>
      </c>
      <c r="FT34" s="359">
        <f>INDEX(AE16:AE115,MATCH(GF32,A16:A115,0))</f>
        <v>4.299212598425195E-2</v>
      </c>
      <c r="FU34" s="359">
        <f ca="1">FU33</f>
        <v>523.53150187562358</v>
      </c>
      <c r="FV34" s="359">
        <f t="shared" si="166"/>
        <v>4.299212598425195E-2</v>
      </c>
      <c r="FW34" s="359">
        <f ca="1">FW33</f>
        <v>-155.18705741647139</v>
      </c>
      <c r="FX34" s="360">
        <f t="shared" si="167"/>
        <v>4.299212598425195E-2</v>
      </c>
      <c r="FY34" s="358"/>
      <c r="FZ34" s="351">
        <f ca="1">INDEX(EF16:EF115,MATCH(GF32,A16:A115,0))</f>
        <v>-33483.200986872354</v>
      </c>
      <c r="GA34" s="359">
        <f>FT34</f>
        <v>4.299212598425195E-2</v>
      </c>
      <c r="GB34" s="326">
        <f ca="1">INDEX(EH16:EH115,MATCH(GF32,A16:A115,0))</f>
        <v>-7094.1246179257614</v>
      </c>
      <c r="GC34" s="362">
        <f t="shared" si="105"/>
        <v>4.299212598425195E-2</v>
      </c>
      <c r="GD34" s="359">
        <f ca="1">INDEX(EJ16:EJ115,MATCH(GF32,A16:A115,0))</f>
        <v>2898.4935274539421</v>
      </c>
      <c r="GE34" s="363">
        <f t="shared" si="168"/>
        <v>4.299212598425195E-2</v>
      </c>
      <c r="GF34" s="364"/>
      <c r="GG34" s="365">
        <f ca="1">FS34+FZ34</f>
        <v>-29936.219668235164</v>
      </c>
      <c r="GH34" s="320">
        <f>FT34</f>
        <v>4.299212598425195E-2</v>
      </c>
      <c r="GI34" s="365">
        <f ca="1">FU34+GB34</f>
        <v>-6570.5931160501377</v>
      </c>
      <c r="GJ34" s="366">
        <f t="shared" si="106"/>
        <v>4.299212598425195E-2</v>
      </c>
      <c r="GK34" s="365">
        <f ca="1">FW34+GD34</f>
        <v>2743.3064700374707</v>
      </c>
      <c r="GL34" s="366">
        <f t="shared" si="107"/>
        <v>4.299212598425195E-2</v>
      </c>
      <c r="GN34" s="359">
        <f t="shared" si="69"/>
        <v>4.299212598425195E-2</v>
      </c>
      <c r="GO34" s="367">
        <f ca="1">GO33</f>
        <v>0.41008782698486135</v>
      </c>
      <c r="GP34" s="367">
        <f t="shared" ref="GP34" ca="1" si="169">GP33</f>
        <v>0.42205451288795293</v>
      </c>
      <c r="GQ34" s="367">
        <f t="shared" ref="GQ34" ca="1" si="170">GQ33</f>
        <v>0.44938628075589016</v>
      </c>
      <c r="GR34" s="367">
        <f t="shared" ref="GR34" ca="1" si="171">GR33</f>
        <v>0.47723500675528152</v>
      </c>
      <c r="GS34" s="367">
        <f t="shared" ref="GS34" ca="1" si="172">GS33</f>
        <v>0.42136180830591252</v>
      </c>
      <c r="GT34" s="367">
        <f t="shared" ref="GT34" ca="1" si="173">GT33</f>
        <v>5.0451920921395095</v>
      </c>
      <c r="GU34" s="367">
        <f t="shared" ref="GU34" ca="1" si="174">GU33</f>
        <v>2.3607849630341398</v>
      </c>
      <c r="HH34" s="321">
        <f ca="1">IF(D33="","",INDEX(INDIRECT(AE60),MATCH(HH15,Matl!B3:B29,0),MATCH(D33,Matl!D2:K2,0)))</f>
        <v>3000</v>
      </c>
      <c r="HI34" s="314">
        <f ca="1">IF(D33="","",INDEX(INDIRECT(AE60),MATCH(HI15,Matl!B3:B29,0),MATCH(D33,Matl!D2:K2,0)))</f>
        <v>4500</v>
      </c>
      <c r="HO34" s="338"/>
      <c r="HP34" s="338"/>
      <c r="HQ34" s="346" t="s">
        <v>40</v>
      </c>
      <c r="HR34" s="346" t="s">
        <v>36</v>
      </c>
      <c r="HS34" s="348">
        <f ca="1">AE71-F51/2*AE76</f>
        <v>-1.2882761755667702E-3</v>
      </c>
      <c r="HT34" s="365">
        <f ca="1">HS34*1000000</f>
        <v>-1288.2761755667702</v>
      </c>
      <c r="HU34" s="365"/>
      <c r="HY34" s="338"/>
      <c r="HZ34" s="338"/>
      <c r="IA34" s="338"/>
      <c r="IB34" s="338"/>
      <c r="IC34" s="338"/>
      <c r="ID34" s="338">
        <f>IP36</f>
        <v>0</v>
      </c>
      <c r="IE34" s="338">
        <f>-IO36</f>
        <v>0</v>
      </c>
      <c r="IF34" s="338"/>
      <c r="IG34" s="338"/>
      <c r="IH34" s="338"/>
      <c r="II34" s="338"/>
      <c r="IJ34" s="338">
        <v>7</v>
      </c>
      <c r="IK34" s="342">
        <f>IK27-(IK27-IK57)*IJ34/(IJ56+1)</f>
        <v>0.73303828583761843</v>
      </c>
      <c r="IL34" s="338">
        <f ca="1">IK25*SIN(IK50)</f>
        <v>2007.3918190765751</v>
      </c>
      <c r="IM34" s="338">
        <f ca="1">IK25*SIN(IK35)+IF27</f>
        <v>2229.4344764321822</v>
      </c>
      <c r="IN34" s="338"/>
      <c r="IO34" s="338"/>
      <c r="IP34" s="338"/>
    </row>
    <row r="35" spans="1:250" s="314" customFormat="1" ht="12" x14ac:dyDescent="0.25">
      <c r="A35" s="310">
        <v>20</v>
      </c>
      <c r="B35" s="311">
        <v>45</v>
      </c>
      <c r="C35" s="311"/>
      <c r="D35" s="380" t="s">
        <v>109</v>
      </c>
      <c r="E35" s="380"/>
      <c r="F35" s="312">
        <f>IF(C35="",INDEX(Matl!$C$15:$K$15,MATCH(D35,Matl!$C$2:$K$2,0)),C35)</f>
        <v>8.5984251968503952E-3</v>
      </c>
      <c r="G35" s="313"/>
      <c r="H35" s="313"/>
      <c r="I35" s="313"/>
      <c r="J35" s="313"/>
      <c r="K35" s="313"/>
      <c r="M35" s="315"/>
      <c r="N35" s="315"/>
      <c r="O35" s="315"/>
      <c r="P35" s="316"/>
      <c r="Q35" s="316"/>
      <c r="R35" s="316"/>
      <c r="S35" s="316"/>
      <c r="T35" s="315"/>
      <c r="U35" s="317"/>
      <c r="V35" s="317"/>
      <c r="W35" s="317">
        <f t="shared" si="3"/>
        <v>8.5984251968503952E-3</v>
      </c>
      <c r="X35" s="317"/>
      <c r="Y35" s="317"/>
      <c r="Z35" s="318">
        <f t="shared" si="4"/>
        <v>0</v>
      </c>
      <c r="AA35" s="319">
        <f t="shared" si="5"/>
        <v>1</v>
      </c>
      <c r="AB35" s="314">
        <f t="shared" si="6"/>
        <v>0</v>
      </c>
      <c r="AC35" s="320">
        <f t="shared" si="7"/>
        <v>0.78539816339744828</v>
      </c>
      <c r="AD35" s="320">
        <f>IF(D35="",0,SUM(F15:F35))</f>
        <v>0.17196850393700785</v>
      </c>
      <c r="AE35" s="320">
        <f>IF(D35="",0,SUM(F16:F50)/2-AD35)</f>
        <v>-8.5984251968503927E-2</v>
      </c>
      <c r="AF35" s="320">
        <f t="shared" si="8"/>
        <v>-7.7385826771653538E-2</v>
      </c>
      <c r="AG35" s="320">
        <f>IF(D35="",0,(AD35+AD34)/2-SUM(F16:F50)/2)</f>
        <v>8.1685039370078733E-2</v>
      </c>
      <c r="AH35" s="321">
        <f ca="1">IF(D35="",0,INDEX(INDIRECT($AE$60),MATCH(AH$14,Matl!$B$3:$B$17,0),MATCH(D35,Matl!$D$2:$K$2,0)))</f>
        <v>7702519.151965999</v>
      </c>
      <c r="AI35" s="321">
        <f ca="1">IF(D35="",0,INDEX(INDIRECT($AE$60),MATCH(AI$14,Matl!$B$3:$B$17,0),MATCH(D35,Matl!$D$2:$K$2,0)))</f>
        <v>7702519.151965999</v>
      </c>
      <c r="AJ35" s="321">
        <f ca="1">IF(D35="",0,INDEX(INDIRECT(AE60),MATCH(AJ14,Matl!B3:B15,0),MATCH(D35,Matl!D2:K2,0)))</f>
        <v>5.8999999999999997E-2</v>
      </c>
      <c r="AK35" s="322">
        <f t="shared" ca="1" si="9"/>
        <v>5.8999999999999997E-2</v>
      </c>
      <c r="AL35" s="321">
        <f ca="1">IF(D35="",0,INDEX(INDIRECT(AE60),MATCH(AL14,Matl!B3:B15,0),MATCH(D35,Matl!D2:K2,0)))</f>
        <v>559990.70641799993</v>
      </c>
      <c r="AM35" s="323">
        <f ca="1">IF(D35="",0,INDEX(INDIRECT(AE60),MATCH(AM14,Matl!B3:B15,0),MATCH(D35,Matl!D2:K2,0)))</f>
        <v>86297.454109999991</v>
      </c>
      <c r="AN35" s="323">
        <f ca="1">IF(D35="",0,INDEX(INDIRECT(AE60),MATCH(AN14,Matl!B3:B15,0),MATCH(D35,Matl!D2:K2,0)))</f>
        <v>70488.34066799999</v>
      </c>
      <c r="AO35" s="323">
        <f ca="1">IF(D35="",0,INDEX(INDIRECT(AE60),MATCH(AO14,Matl!B3:B15,0),MATCH(D35,Matl!D2:K2,0)))</f>
        <v>52068.547941999997</v>
      </c>
      <c r="AP35" s="323">
        <f ca="1">IF(D35="",0,INDEX(INDIRECT(AE60),MATCH(AP14,Matl!B3:B15,0),MATCH(D35,Matl!D2:K2,0)))</f>
        <v>48297.566753999999</v>
      </c>
      <c r="AQ35" s="323">
        <f ca="1">IF(D35="",0,INDEX(INDIRECT(AE60),MATCH(AQ14,Matl!B3:B15,0),MATCH(D35,Matl!D2:K2,0)))</f>
        <v>11167.905825999998</v>
      </c>
      <c r="AR35" s="321"/>
      <c r="AS35" s="321"/>
      <c r="AT35" s="324">
        <f t="shared" ca="1" si="10"/>
        <v>7729425.2813704489</v>
      </c>
      <c r="AU35" s="325">
        <f t="shared" ca="1" si="11"/>
        <v>7729425.2813704489</v>
      </c>
      <c r="AV35" s="325">
        <f t="shared" ca="1" si="12"/>
        <v>456036.09160085651</v>
      </c>
      <c r="AW35" s="325">
        <f t="shared" ca="1" si="13"/>
        <v>456036.09160085651</v>
      </c>
      <c r="AX35" s="326">
        <v>0</v>
      </c>
      <c r="AY35" s="326">
        <v>0</v>
      </c>
      <c r="AZ35" s="326">
        <v>0</v>
      </c>
      <c r="BA35" s="326">
        <v>0</v>
      </c>
      <c r="BB35" s="327">
        <f t="shared" ca="1" si="14"/>
        <v>559990.70641799993</v>
      </c>
      <c r="BC35" s="328"/>
      <c r="BD35" s="324">
        <f t="shared" ca="1" si="15"/>
        <v>4652721.392903653</v>
      </c>
      <c r="BE35" s="325">
        <f t="shared" ca="1" si="16"/>
        <v>4652721.392903653</v>
      </c>
      <c r="BF35" s="325">
        <f t="shared" ca="1" si="17"/>
        <v>3532739.9800676531</v>
      </c>
      <c r="BG35" s="325">
        <f t="shared" ca="1" si="18"/>
        <v>3532739.9800676531</v>
      </c>
      <c r="BH35" s="325">
        <f t="shared" ca="1" si="19"/>
        <v>0</v>
      </c>
      <c r="BI35" s="325">
        <f t="shared" ca="1" si="20"/>
        <v>0</v>
      </c>
      <c r="BJ35" s="325">
        <f t="shared" ca="1" si="21"/>
        <v>0</v>
      </c>
      <c r="BK35" s="325">
        <f t="shared" ca="1" si="22"/>
        <v>0</v>
      </c>
      <c r="BL35" s="329">
        <f t="shared" ca="1" si="23"/>
        <v>3636694.5948847961</v>
      </c>
      <c r="BM35" s="330"/>
      <c r="BN35" s="324">
        <f t="shared" ca="1" si="24"/>
        <v>40006.076858667635</v>
      </c>
      <c r="BO35" s="325">
        <f t="shared" ca="1" si="25"/>
        <v>40006.076858667635</v>
      </c>
      <c r="BP35" s="325">
        <f t="shared" ca="1" si="26"/>
        <v>30376.000458534472</v>
      </c>
      <c r="BQ35" s="325">
        <f t="shared" ca="1" si="27"/>
        <v>30376.000458534472</v>
      </c>
      <c r="BR35" s="325">
        <f t="shared" ca="1" si="28"/>
        <v>0</v>
      </c>
      <c r="BS35" s="325">
        <f t="shared" ca="1" si="29"/>
        <v>0</v>
      </c>
      <c r="BT35" s="325">
        <f t="shared" ca="1" si="30"/>
        <v>0</v>
      </c>
      <c r="BU35" s="325">
        <f t="shared" ca="1" si="31"/>
        <v>0</v>
      </c>
      <c r="BV35" s="329">
        <f t="shared" ca="1" si="32"/>
        <v>31269.846437907072</v>
      </c>
      <c r="BW35" s="330"/>
      <c r="BX35" s="325">
        <f t="shared" ca="1" si="33"/>
        <v>3267.8979632426617</v>
      </c>
      <c r="BY35" s="325">
        <f t="shared" ca="1" si="34"/>
        <v>3267.8979632426617</v>
      </c>
      <c r="BZ35" s="325">
        <f t="shared" ca="1" si="35"/>
        <v>2481.2647933609178</v>
      </c>
      <c r="CA35" s="325">
        <f t="shared" ca="1" si="36"/>
        <v>2481.2647933609178</v>
      </c>
      <c r="CB35" s="325">
        <f t="shared" ca="1" si="37"/>
        <v>0</v>
      </c>
      <c r="CC35" s="325">
        <f t="shared" ca="1" si="38"/>
        <v>0</v>
      </c>
      <c r="CD35" s="325">
        <f t="shared" ca="1" si="39"/>
        <v>0</v>
      </c>
      <c r="CE35" s="325">
        <f t="shared" ca="1" si="40"/>
        <v>0</v>
      </c>
      <c r="CF35" s="325">
        <f t="shared" ca="1" si="41"/>
        <v>2554.2786373767553</v>
      </c>
      <c r="CG35" s="330"/>
      <c r="CH35" s="331">
        <f t="shared" ca="1" si="42"/>
        <v>267.18485427775306</v>
      </c>
      <c r="CI35" s="332">
        <f t="shared" ca="1" si="43"/>
        <v>267.18485427775306</v>
      </c>
      <c r="CJ35" s="332">
        <f t="shared" ca="1" si="44"/>
        <v>202.86936119046362</v>
      </c>
      <c r="CK35" s="332">
        <f t="shared" ca="1" si="45"/>
        <v>202.86936119046362</v>
      </c>
      <c r="CL35" s="332">
        <f t="shared" ca="1" si="46"/>
        <v>0</v>
      </c>
      <c r="CM35" s="332">
        <f t="shared" ca="1" si="47"/>
        <v>0</v>
      </c>
      <c r="CN35" s="332">
        <f t="shared" ca="1" si="48"/>
        <v>0</v>
      </c>
      <c r="CO35" s="332">
        <f t="shared" ca="1" si="49"/>
        <v>0</v>
      </c>
      <c r="CP35" s="333">
        <f t="shared" ca="1" si="50"/>
        <v>208.83900696675724</v>
      </c>
      <c r="CR35" s="334"/>
      <c r="CS35" s="335"/>
      <c r="CT35" s="335"/>
      <c r="CU35" s="336" t="s">
        <v>131</v>
      </c>
      <c r="CV35" s="337">
        <f ca="1">AE71</f>
        <v>4.0799587495451728E-5</v>
      </c>
      <c r="CW35" s="338"/>
      <c r="CX35" s="324">
        <f ca="1">BG22</f>
        <v>3532739.9800676531</v>
      </c>
      <c r="CY35" s="325">
        <f ca="1">BE22</f>
        <v>4652721.392903653</v>
      </c>
      <c r="CZ35" s="329">
        <f ca="1">BK22</f>
        <v>0</v>
      </c>
      <c r="DA35" s="338"/>
      <c r="DB35" s="342">
        <f ca="1"/>
        <v>1802.4758241316983</v>
      </c>
      <c r="DC35" s="338"/>
      <c r="DD35" s="343">
        <f ca="1">-AE75*AE35/F69</f>
        <v>8.5854113393474107E-3</v>
      </c>
      <c r="DE35" s="344">
        <f ca="1">-AE75*AF35/F69</f>
        <v>7.7268702054126706E-3</v>
      </c>
      <c r="DF35" s="344">
        <f ca="1">-AE76*AE35/F70</f>
        <v>1.329075763062222E-3</v>
      </c>
      <c r="DG35" s="344">
        <f ca="1">-AE76*AF35/F70</f>
        <v>1.1961681867559998E-3</v>
      </c>
      <c r="DH35" s="344">
        <f ca="1">-AE77*AE35/F69</f>
        <v>-1.0351934395462588E-2</v>
      </c>
      <c r="DI35" s="345">
        <f ca="1">-AE77*AF35/F69</f>
        <v>-9.3167409559163309E-3</v>
      </c>
      <c r="DJ35" s="338"/>
      <c r="DK35" s="338"/>
      <c r="DL35" s="338"/>
      <c r="DM35" s="346" t="s">
        <v>131</v>
      </c>
      <c r="DN35" s="347">
        <f ca="1">INDEX(DG16:DG115,MATCH(DJ34,A16:A50,0))</f>
        <v>-5.3163030522488861E-4</v>
      </c>
      <c r="DO35" s="338"/>
      <c r="DP35" s="338"/>
      <c r="DQ35" s="346" t="s">
        <v>132</v>
      </c>
      <c r="DR35" s="347">
        <f ca="1">INDEX(DF16:DF115,MATCH(DJ34,A16:A50,0))</f>
        <v>-3.9872272891866627E-4</v>
      </c>
      <c r="DS35" s="338"/>
      <c r="DT35" s="324">
        <f t="shared" ref="DT35:DT36" ca="1" si="175">CX35</f>
        <v>3532739.9800676531</v>
      </c>
      <c r="DU35" s="325">
        <f t="shared" ca="1" si="102"/>
        <v>4652721.392903653</v>
      </c>
      <c r="DV35" s="329">
        <f t="shared" ca="1" si="103"/>
        <v>0</v>
      </c>
      <c r="DW35" s="338"/>
      <c r="DX35" s="349">
        <f ca="1"/>
        <v>-14605.538047771242</v>
      </c>
      <c r="DY35" s="349"/>
      <c r="DZ35" s="349">
        <f ca="1"/>
        <v>-10954.153535828427</v>
      </c>
      <c r="EB35" s="350">
        <f t="shared" ca="1" si="52"/>
        <v>2268.0369963811145</v>
      </c>
      <c r="EC35" s="351">
        <f t="shared" ca="1" si="53"/>
        <v>1802.4758241316983</v>
      </c>
      <c r="ED35" s="352">
        <f t="shared" ca="1" si="54"/>
        <v>-1007.8166055871841</v>
      </c>
      <c r="EE35" s="350">
        <f t="shared" ca="1" si="55"/>
        <v>40176.725481151327</v>
      </c>
      <c r="EF35" s="351">
        <f t="shared" ca="1" si="56"/>
        <v>44640.806090168131</v>
      </c>
      <c r="EG35" s="351">
        <f t="shared" ca="1" si="57"/>
        <v>32862.460607485315</v>
      </c>
      <c r="EH35" s="351">
        <f t="shared" ca="1" si="58"/>
        <v>36513.845119428122</v>
      </c>
      <c r="EI35" s="351">
        <f t="shared" ca="1" si="59"/>
        <v>-33882.141476322729</v>
      </c>
      <c r="EJ35" s="352">
        <f t="shared" ca="1" si="60"/>
        <v>-37646.823862580801</v>
      </c>
      <c r="EK35" s="350">
        <f t="shared" ca="1" si="129"/>
        <v>42444.762477532444</v>
      </c>
      <c r="EL35" s="351">
        <f t="shared" ca="1" si="130"/>
        <v>46908.843086549248</v>
      </c>
      <c r="EM35" s="351">
        <f t="shared" ca="1" si="131"/>
        <v>34664.93643161701</v>
      </c>
      <c r="EN35" s="351">
        <f t="shared" ca="1" si="132"/>
        <v>38316.320943559818</v>
      </c>
      <c r="EO35" s="351">
        <f t="shared" ca="1" si="133"/>
        <v>-34889.958081909914</v>
      </c>
      <c r="EP35" s="352">
        <f t="shared" ca="1" si="134"/>
        <v>-38654.640468167985</v>
      </c>
      <c r="EQ35" s="323">
        <f t="shared" ca="1" si="135"/>
        <v>46908.843086549248</v>
      </c>
      <c r="ER35" s="323">
        <f t="shared" ca="1" si="136"/>
        <v>38316.320943559818</v>
      </c>
      <c r="ES35" s="323">
        <f t="shared" ca="1" si="137"/>
        <v>-38654.640468167985</v>
      </c>
      <c r="ET35" s="323">
        <f t="shared" ca="1" si="138"/>
        <v>86297.454109999991</v>
      </c>
      <c r="EU35" s="323">
        <f t="shared" ca="1" si="139"/>
        <v>52068.547941999997</v>
      </c>
      <c r="EV35" s="323">
        <f t="shared" ca="1" si="140"/>
        <v>70488.34066799999</v>
      </c>
      <c r="EW35" s="323">
        <f t="shared" ca="1" si="141"/>
        <v>48297.566753999999</v>
      </c>
      <c r="EX35" s="323">
        <f t="shared" ca="1" si="142"/>
        <v>11167.905825999998</v>
      </c>
      <c r="EY35" s="353">
        <f t="shared" ca="1" si="143"/>
        <v>2.2254946258207747E-10</v>
      </c>
      <c r="EZ35" s="353">
        <f t="shared" ca="1" si="144"/>
        <v>2.9373619270409085E-10</v>
      </c>
      <c r="FA35" s="321">
        <f t="shared" ca="1" si="145"/>
        <v>8.0178239087273853E-9</v>
      </c>
      <c r="FB35" s="354">
        <f t="shared" ca="1" si="146"/>
        <v>-1.1127473129103873E-10</v>
      </c>
      <c r="FC35" s="321">
        <f t="shared" ca="1" si="147"/>
        <v>-7.6176246724607548E-6</v>
      </c>
      <c r="FD35" s="321">
        <f t="shared" ca="1" si="148"/>
        <v>-6.5182334426556133E-6</v>
      </c>
      <c r="FE35" s="355">
        <f t="shared" ca="1" si="149"/>
        <v>12.501029933850718</v>
      </c>
      <c r="FF35" s="338">
        <f t="shared" ca="1" si="150"/>
        <v>-0.60708868502652491</v>
      </c>
      <c r="FG35" s="335">
        <f t="shared" ca="1" si="151"/>
        <v>-1.2783860120010795E-10</v>
      </c>
      <c r="FH35" s="356">
        <f t="shared" ca="1" si="152"/>
        <v>12.441486986121951</v>
      </c>
      <c r="FI35" s="335">
        <f t="shared" ca="1" si="153"/>
        <v>-0.60708868502652491</v>
      </c>
      <c r="FJ35" s="357">
        <f t="shared" ref="FJ35:FJ50" ca="1" si="176">(1/SQRT(EQ35^2/MIN(ET35:EU35)^2+ER35^2/MIN(EV35:EW35)^2+ES35^2/EX35^2-EQ35*ER35/MIN(ET35:EU35)^2))-1</f>
        <v>-0.72003332113961616</v>
      </c>
      <c r="FK35" s="357">
        <f t="shared" ref="FK35:FK50" ca="1" si="177">1/SQRT(  EQ35^2/(IF(EQ35&lt;0,EU35,ET35))^2  +  ER35^2/(IF(ER35&lt;0,EW35,EV35))^2  +   ES35^2/EX35^2  -  EQ35*ER35/(IF(EQ35&lt;0,EU35,ET35)*IF(ER35&lt;0,EW35,EV35))  )-1</f>
        <v>-0.71458330929133007</v>
      </c>
      <c r="FL35" s="357">
        <f t="shared" ref="FL35:FL50" ca="1" si="178">(-FF35+(FF35^2+4*FE35)^0.5/(2*FE35))-1</f>
        <v>-0.10903986082912465</v>
      </c>
      <c r="FM35" s="357">
        <f t="shared" ref="FM35:FM50" ca="1" si="179">(-FI35+(FI35^2+4*FH35)^0.5/(2*FH35))-1</f>
        <v>-0.10835640828708193</v>
      </c>
      <c r="FN35" s="357">
        <f t="shared" ref="FN35:FN50" ca="1" si="180">IF(EQ35&gt;0,ET35/EQ35-1,EU35/(ABS(EQ35))-1)</f>
        <v>0.83968412844411255</v>
      </c>
      <c r="FO35" s="357">
        <f t="shared" ca="1" si="154"/>
        <v>0.83964271444092353</v>
      </c>
      <c r="FP35" s="357">
        <f t="shared" ca="1" si="155"/>
        <v>-0.71108499029510452</v>
      </c>
      <c r="FR35" s="358"/>
      <c r="FS35" s="326">
        <v>0</v>
      </c>
      <c r="FT35" s="359">
        <f>FT34</f>
        <v>4.299212598425195E-2</v>
      </c>
      <c r="FU35" s="326">
        <v>0</v>
      </c>
      <c r="FV35" s="359">
        <f t="shared" si="166"/>
        <v>4.299212598425195E-2</v>
      </c>
      <c r="FW35" s="359">
        <v>0</v>
      </c>
      <c r="FX35" s="360">
        <f t="shared" si="167"/>
        <v>4.299212598425195E-2</v>
      </c>
      <c r="FY35" s="358"/>
      <c r="FZ35" s="326">
        <v>0</v>
      </c>
      <c r="GA35" s="359">
        <f>GA34</f>
        <v>4.299212598425195E-2</v>
      </c>
      <c r="GB35" s="326">
        <v>0</v>
      </c>
      <c r="GC35" s="362">
        <f t="shared" si="105"/>
        <v>4.299212598425195E-2</v>
      </c>
      <c r="GD35" s="326">
        <v>0</v>
      </c>
      <c r="GE35" s="363">
        <f t="shared" si="168"/>
        <v>4.299212598425195E-2</v>
      </c>
      <c r="GF35" s="364"/>
      <c r="GG35" s="365">
        <v>0</v>
      </c>
      <c r="GH35" s="320">
        <f>GH34</f>
        <v>4.299212598425195E-2</v>
      </c>
      <c r="GI35" s="366">
        <v>0</v>
      </c>
      <c r="GJ35" s="366">
        <f t="shared" si="106"/>
        <v>4.299212598425195E-2</v>
      </c>
      <c r="GK35" s="366">
        <v>0</v>
      </c>
      <c r="GL35" s="366">
        <f t="shared" si="107"/>
        <v>4.299212598425195E-2</v>
      </c>
      <c r="GN35" s="359">
        <f t="shared" si="69"/>
        <v>4.299212598425195E-2</v>
      </c>
      <c r="GO35" s="367"/>
      <c r="GP35" s="367"/>
      <c r="GQ35" s="367"/>
      <c r="GR35" s="367"/>
      <c r="GS35" s="367"/>
      <c r="GT35" s="367"/>
      <c r="GU35" s="367"/>
      <c r="HH35" s="321">
        <f ca="1">IF(D34="","",INDEX(INDIRECT(AE60),MATCH(HH15,Matl!B3:B29,0),MATCH(D34,Matl!D2:K2,0)))</f>
        <v>3000</v>
      </c>
      <c r="HI35" s="314">
        <f ca="1">IF(D34="","",INDEX(INDIRECT(AE60),MATCH(HI15,Matl!B3:B29,0),MATCH(D34,Matl!D2:K2,0)))</f>
        <v>4500</v>
      </c>
      <c r="HO35" s="338"/>
      <c r="HP35" s="338"/>
      <c r="HQ35" s="346" t="s">
        <v>40</v>
      </c>
      <c r="HR35" s="346" t="s">
        <v>37</v>
      </c>
      <c r="HS35" s="348">
        <f ca="1">AE72-F51/2*AE77</f>
        <v>1.0074810051008498E-2</v>
      </c>
      <c r="HT35" s="365">
        <f ca="1">HS35*1000000</f>
        <v>10074.810051008497</v>
      </c>
      <c r="HU35" s="365"/>
      <c r="HY35" s="338"/>
      <c r="HZ35" s="338"/>
      <c r="IA35" s="338"/>
      <c r="IB35" s="338"/>
      <c r="IC35" s="338"/>
      <c r="ID35" s="338">
        <f>IP35</f>
        <v>0</v>
      </c>
      <c r="IE35" s="338">
        <f>-IO35</f>
        <v>0</v>
      </c>
      <c r="IF35" s="338"/>
      <c r="IG35" s="338"/>
      <c r="IH35" s="338"/>
      <c r="II35" s="338"/>
      <c r="IJ35" s="338">
        <v>8</v>
      </c>
      <c r="IK35" s="342">
        <f>IK27-(IK27-IK57)*IJ35/(IJ56+1)</f>
        <v>0.83775804095727813</v>
      </c>
      <c r="IL35" s="338">
        <f ca="1">IK25*SIN(IK51)</f>
        <v>1763.3557568774197</v>
      </c>
      <c r="IM35" s="338">
        <f ca="1">IK25*SIN(IK36)+IF27</f>
        <v>2427.0509831248423</v>
      </c>
      <c r="IN35" s="338"/>
      <c r="IO35" s="338"/>
      <c r="IP35" s="338"/>
    </row>
    <row r="36" spans="1:250" s="314" customFormat="1" ht="12" x14ac:dyDescent="0.25">
      <c r="A36" s="310">
        <v>21</v>
      </c>
      <c r="B36" s="311"/>
      <c r="C36" s="311"/>
      <c r="D36" s="380"/>
      <c r="E36" s="380"/>
      <c r="F36" s="312">
        <f>IF(C36="",INDEX(Matl!$C$15:$K$15,MATCH(D36,Matl!$C$2:$K$2,0)),C36)</f>
        <v>0</v>
      </c>
      <c r="G36" s="313"/>
      <c r="H36" s="313"/>
      <c r="I36" s="313"/>
      <c r="J36" s="313"/>
      <c r="K36" s="313"/>
      <c r="M36" s="315"/>
      <c r="N36" s="315"/>
      <c r="O36" s="315"/>
      <c r="P36" s="316"/>
      <c r="Q36" s="316"/>
      <c r="R36" s="316"/>
      <c r="S36" s="316"/>
      <c r="T36" s="315"/>
      <c r="U36" s="317"/>
      <c r="V36" s="317"/>
      <c r="W36" s="317">
        <f t="shared" si="3"/>
        <v>0</v>
      </c>
      <c r="X36" s="317"/>
      <c r="Y36" s="317"/>
      <c r="Z36" s="318" t="str">
        <f t="shared" si="4"/>
        <v/>
      </c>
      <c r="AA36" s="319" t="str">
        <f t="shared" si="5"/>
        <v/>
      </c>
      <c r="AB36" s="314" t="str">
        <f t="shared" si="6"/>
        <v/>
      </c>
      <c r="AC36" s="320">
        <f t="shared" si="7"/>
        <v>0</v>
      </c>
      <c r="AD36" s="320">
        <f>IF(D36="",0,SUM(F15:F36))</f>
        <v>0</v>
      </c>
      <c r="AE36" s="320">
        <f>IF(D36="",0,SUM(F16:F50)/2-AD36)</f>
        <v>0</v>
      </c>
      <c r="AF36" s="320">
        <f t="shared" si="8"/>
        <v>0</v>
      </c>
      <c r="AG36" s="320">
        <f>IF(D36="",0,(AD36+AD35)/2-SUM(F16:F50)/2)</f>
        <v>0</v>
      </c>
      <c r="AH36" s="321">
        <f ca="1">IF(D36="",0,INDEX(INDIRECT($AE$60),MATCH(AH$14,Matl!$B$3:$B$17,0),MATCH(D36,Matl!$D$2:$K$2,0)))</f>
        <v>0</v>
      </c>
      <c r="AI36" s="321">
        <f ca="1">IF(D36="",0,INDEX(INDIRECT($AE$60),MATCH(AI$14,Matl!$B$3:$B$17,0),MATCH(D36,Matl!$D$2:$K$2,0)))</f>
        <v>0</v>
      </c>
      <c r="AJ36" s="321">
        <f ca="1">IF(D36="",0,INDEX(INDIRECT(AE60),MATCH(AJ14,Matl!B3:B15,0),MATCH(D36,Matl!D2:K2,0)))</f>
        <v>0</v>
      </c>
      <c r="AK36" s="322">
        <f t="shared" si="9"/>
        <v>0</v>
      </c>
      <c r="AL36" s="321">
        <f ca="1">IF(D36="",0,INDEX(INDIRECT(AE60),MATCH(AL14,Matl!B3:B15,0),MATCH(D36,Matl!D2:K2,0)))</f>
        <v>0</v>
      </c>
      <c r="AM36" s="323">
        <f ca="1">IF(D36="",0,INDEX(INDIRECT(AE60),MATCH(AM14,Matl!B3:B15,0),MATCH(D36,Matl!D2:K2,0)))</f>
        <v>0</v>
      </c>
      <c r="AN36" s="323">
        <f ca="1">IF(D36="",0,INDEX(INDIRECT(AE60),MATCH(AN14,Matl!B3:B15,0),MATCH(D36,Matl!D2:K2,0)))</f>
        <v>0</v>
      </c>
      <c r="AO36" s="323">
        <f ca="1">IF(D36="",0,INDEX(INDIRECT(AE60),MATCH(AO14,Matl!B3:B15,0),MATCH(D36,Matl!D2:K2,0)))</f>
        <v>0</v>
      </c>
      <c r="AP36" s="323">
        <f ca="1">IF(D36="",0,INDEX(INDIRECT(AE60),MATCH(AP14,Matl!B3:B15,0),MATCH(D36,Matl!D2:K2,0)))</f>
        <v>0</v>
      </c>
      <c r="AQ36" s="323">
        <f ca="1">IF(D36="",0,INDEX(INDIRECT(AE60),MATCH(AQ14,Matl!B3:B15,0),MATCH(D36,Matl!D2:K2,0)))</f>
        <v>0</v>
      </c>
      <c r="AR36" s="321"/>
      <c r="AS36" s="321"/>
      <c r="AT36" s="324">
        <f t="shared" ca="1" si="10"/>
        <v>0</v>
      </c>
      <c r="AU36" s="325">
        <f t="shared" ca="1" si="11"/>
        <v>0</v>
      </c>
      <c r="AV36" s="325">
        <f t="shared" ca="1" si="12"/>
        <v>0</v>
      </c>
      <c r="AW36" s="325">
        <f t="shared" ca="1" si="13"/>
        <v>0</v>
      </c>
      <c r="AX36" s="326">
        <v>0</v>
      </c>
      <c r="AY36" s="326">
        <v>0</v>
      </c>
      <c r="AZ36" s="326">
        <v>0</v>
      </c>
      <c r="BA36" s="326">
        <v>0</v>
      </c>
      <c r="BB36" s="327">
        <f t="shared" ca="1" si="14"/>
        <v>0</v>
      </c>
      <c r="BC36" s="328"/>
      <c r="BD36" s="324">
        <f t="shared" ca="1" si="15"/>
        <v>0</v>
      </c>
      <c r="BE36" s="325">
        <f t="shared" ca="1" si="16"/>
        <v>0</v>
      </c>
      <c r="BF36" s="325">
        <f t="shared" ca="1" si="17"/>
        <v>0</v>
      </c>
      <c r="BG36" s="325">
        <f t="shared" ca="1" si="18"/>
        <v>0</v>
      </c>
      <c r="BH36" s="325">
        <f t="shared" ca="1" si="19"/>
        <v>0</v>
      </c>
      <c r="BI36" s="325">
        <f t="shared" ca="1" si="20"/>
        <v>0</v>
      </c>
      <c r="BJ36" s="325">
        <f t="shared" ca="1" si="21"/>
        <v>0</v>
      </c>
      <c r="BK36" s="325">
        <f t="shared" ca="1" si="22"/>
        <v>0</v>
      </c>
      <c r="BL36" s="329">
        <f t="shared" ca="1" si="23"/>
        <v>0</v>
      </c>
      <c r="BM36" s="330"/>
      <c r="BN36" s="324">
        <f t="shared" ca="1" si="24"/>
        <v>0</v>
      </c>
      <c r="BO36" s="325">
        <f t="shared" ca="1" si="25"/>
        <v>0</v>
      </c>
      <c r="BP36" s="325">
        <f t="shared" ca="1" si="26"/>
        <v>0</v>
      </c>
      <c r="BQ36" s="325">
        <f t="shared" ca="1" si="27"/>
        <v>0</v>
      </c>
      <c r="BR36" s="325">
        <f t="shared" ca="1" si="28"/>
        <v>0</v>
      </c>
      <c r="BS36" s="325">
        <f t="shared" ca="1" si="29"/>
        <v>0</v>
      </c>
      <c r="BT36" s="325">
        <f t="shared" ca="1" si="30"/>
        <v>0</v>
      </c>
      <c r="BU36" s="325">
        <f t="shared" ca="1" si="31"/>
        <v>0</v>
      </c>
      <c r="BV36" s="329">
        <f t="shared" ca="1" si="32"/>
        <v>0</v>
      </c>
      <c r="BW36" s="330"/>
      <c r="BX36" s="325">
        <f t="shared" ca="1" si="33"/>
        <v>0</v>
      </c>
      <c r="BY36" s="325">
        <f t="shared" ca="1" si="34"/>
        <v>0</v>
      </c>
      <c r="BZ36" s="325">
        <f t="shared" ca="1" si="35"/>
        <v>0</v>
      </c>
      <c r="CA36" s="325">
        <f t="shared" ca="1" si="36"/>
        <v>0</v>
      </c>
      <c r="CB36" s="325">
        <f t="shared" ca="1" si="37"/>
        <v>0</v>
      </c>
      <c r="CC36" s="325">
        <f t="shared" ca="1" si="38"/>
        <v>0</v>
      </c>
      <c r="CD36" s="325">
        <f t="shared" ca="1" si="39"/>
        <v>0</v>
      </c>
      <c r="CE36" s="325">
        <f t="shared" ca="1" si="40"/>
        <v>0</v>
      </c>
      <c r="CF36" s="325">
        <f t="shared" ca="1" si="41"/>
        <v>0</v>
      </c>
      <c r="CG36" s="330"/>
      <c r="CH36" s="331">
        <f t="shared" ca="1" si="42"/>
        <v>0</v>
      </c>
      <c r="CI36" s="332">
        <f t="shared" ca="1" si="43"/>
        <v>0</v>
      </c>
      <c r="CJ36" s="332">
        <f t="shared" ca="1" si="44"/>
        <v>0</v>
      </c>
      <c r="CK36" s="332">
        <f t="shared" ca="1" si="45"/>
        <v>0</v>
      </c>
      <c r="CL36" s="332">
        <f t="shared" ca="1" si="46"/>
        <v>0</v>
      </c>
      <c r="CM36" s="332">
        <f t="shared" ca="1" si="47"/>
        <v>0</v>
      </c>
      <c r="CN36" s="332">
        <f t="shared" ca="1" si="48"/>
        <v>0</v>
      </c>
      <c r="CO36" s="332">
        <f t="shared" ca="1" si="49"/>
        <v>0</v>
      </c>
      <c r="CP36" s="333">
        <f t="shared" ca="1" si="50"/>
        <v>0</v>
      </c>
      <c r="CR36" s="334"/>
      <c r="CS36" s="335"/>
      <c r="CT36" s="335"/>
      <c r="CU36" s="336" t="s">
        <v>133</v>
      </c>
      <c r="CV36" s="337">
        <f ca="1">AE72</f>
        <v>-2.771243444540907E-4</v>
      </c>
      <c r="CW36" s="338"/>
      <c r="CX36" s="369">
        <f ca="1">BI22</f>
        <v>0</v>
      </c>
      <c r="CY36" s="370">
        <f ca="1">BJ22</f>
        <v>0</v>
      </c>
      <c r="CZ36" s="371">
        <f ca="1">BL22</f>
        <v>3636694.5948847961</v>
      </c>
      <c r="DA36" s="338"/>
      <c r="DB36" s="342">
        <f ca="1"/>
        <v>-1007.8166055871841</v>
      </c>
      <c r="DC36" s="338"/>
      <c r="DD36" s="343">
        <f ca="1">-AE75*AE36/F69</f>
        <v>0</v>
      </c>
      <c r="DE36" s="344">
        <f ca="1">-AE75*AF36/F69</f>
        <v>0</v>
      </c>
      <c r="DF36" s="344">
        <f ca="1">-AE76*AE36/F70</f>
        <v>0</v>
      </c>
      <c r="DG36" s="344">
        <f ca="1">-AE76*AF36/F70</f>
        <v>0</v>
      </c>
      <c r="DH36" s="344">
        <f ca="1">-AE77*AE36/F69</f>
        <v>0</v>
      </c>
      <c r="DI36" s="345">
        <f ca="1">-AE77*AF36/F69</f>
        <v>0</v>
      </c>
      <c r="DJ36" s="338"/>
      <c r="DK36" s="338"/>
      <c r="DL36" s="338"/>
      <c r="DM36" s="346" t="s">
        <v>133</v>
      </c>
      <c r="DN36" s="347">
        <f ca="1">INDEX(DI16:DI115,MATCH(DJ34,A16:A50,0))</f>
        <v>4.1407737581850334E-3</v>
      </c>
      <c r="DO36" s="338"/>
      <c r="DP36" s="338"/>
      <c r="DQ36" s="346" t="s">
        <v>134</v>
      </c>
      <c r="DR36" s="347">
        <f ca="1">INDEX(DH16:DH115,MATCH(DJ34,A16:A50,0))</f>
        <v>3.1055803186387739E-3</v>
      </c>
      <c r="DS36" s="338"/>
      <c r="DT36" s="369">
        <f t="shared" ca="1" si="175"/>
        <v>0</v>
      </c>
      <c r="DU36" s="370">
        <f t="shared" ca="1" si="102"/>
        <v>0</v>
      </c>
      <c r="DV36" s="371">
        <f t="shared" ca="1" si="103"/>
        <v>3636694.5948847961</v>
      </c>
      <c r="DW36" s="338"/>
      <c r="DX36" s="349">
        <f ca="1"/>
        <v>15058.729545032314</v>
      </c>
      <c r="DY36" s="349"/>
      <c r="DZ36" s="349">
        <f ca="1"/>
        <v>11294.047158774232</v>
      </c>
      <c r="EB36" s="350">
        <f t="shared" ca="1" si="52"/>
        <v>0</v>
      </c>
      <c r="EC36" s="351">
        <f t="shared" ca="1" si="53"/>
        <v>0</v>
      </c>
      <c r="ED36" s="352">
        <f t="shared" ca="1" si="54"/>
        <v>0</v>
      </c>
      <c r="EE36" s="350">
        <f t="shared" ca="1" si="55"/>
        <v>0</v>
      </c>
      <c r="EF36" s="351">
        <f t="shared" ca="1" si="56"/>
        <v>0</v>
      </c>
      <c r="EG36" s="351">
        <f t="shared" ca="1" si="57"/>
        <v>0</v>
      </c>
      <c r="EH36" s="351">
        <f t="shared" ca="1" si="58"/>
        <v>0</v>
      </c>
      <c r="EI36" s="351">
        <f t="shared" ca="1" si="59"/>
        <v>0</v>
      </c>
      <c r="EJ36" s="352">
        <f t="shared" ca="1" si="60"/>
        <v>0</v>
      </c>
      <c r="EK36" s="350">
        <f t="shared" ca="1" si="129"/>
        <v>0</v>
      </c>
      <c r="EL36" s="351">
        <f t="shared" ca="1" si="130"/>
        <v>0</v>
      </c>
      <c r="EM36" s="351">
        <f t="shared" ca="1" si="131"/>
        <v>0</v>
      </c>
      <c r="EN36" s="351">
        <f t="shared" ca="1" si="132"/>
        <v>0</v>
      </c>
      <c r="EO36" s="351">
        <f t="shared" ca="1" si="133"/>
        <v>0</v>
      </c>
      <c r="EP36" s="352">
        <f t="shared" ca="1" si="134"/>
        <v>0</v>
      </c>
      <c r="EQ36" s="323">
        <f t="shared" ca="1" si="135"/>
        <v>0</v>
      </c>
      <c r="ER36" s="323">
        <f t="shared" ca="1" si="136"/>
        <v>0</v>
      </c>
      <c r="ES36" s="323">
        <f t="shared" ca="1" si="137"/>
        <v>0</v>
      </c>
      <c r="ET36" s="323">
        <f t="shared" ca="1" si="138"/>
        <v>0</v>
      </c>
      <c r="EU36" s="323">
        <f t="shared" ca="1" si="139"/>
        <v>0</v>
      </c>
      <c r="EV36" s="323">
        <f t="shared" ca="1" si="140"/>
        <v>0</v>
      </c>
      <c r="EW36" s="323">
        <f t="shared" ca="1" si="141"/>
        <v>0</v>
      </c>
      <c r="EX36" s="323">
        <f t="shared" ca="1" si="142"/>
        <v>0</v>
      </c>
      <c r="EY36" s="353" t="e">
        <f t="shared" ca="1" si="143"/>
        <v>#DIV/0!</v>
      </c>
      <c r="EZ36" s="353" t="e">
        <f t="shared" ca="1" si="144"/>
        <v>#DIV/0!</v>
      </c>
      <c r="FA36" s="321" t="e">
        <f t="shared" ca="1" si="145"/>
        <v>#DIV/0!</v>
      </c>
      <c r="FB36" s="354" t="e">
        <f t="shared" ca="1" si="146"/>
        <v>#DIV/0!</v>
      </c>
      <c r="FC36" s="321" t="e">
        <f t="shared" ca="1" si="147"/>
        <v>#DIV/0!</v>
      </c>
      <c r="FD36" s="321" t="e">
        <f t="shared" ca="1" si="148"/>
        <v>#DIV/0!</v>
      </c>
      <c r="FE36" s="355" t="e">
        <f t="shared" ca="1" si="149"/>
        <v>#DIV/0!</v>
      </c>
      <c r="FF36" s="338" t="e">
        <f t="shared" ca="1" si="150"/>
        <v>#DIV/0!</v>
      </c>
      <c r="FG36" s="335" t="e">
        <f t="shared" ca="1" si="151"/>
        <v>#DIV/0!</v>
      </c>
      <c r="FH36" s="356" t="e">
        <f t="shared" ca="1" si="152"/>
        <v>#DIV/0!</v>
      </c>
      <c r="FI36" s="335" t="e">
        <f t="shared" ca="1" si="153"/>
        <v>#DIV/0!</v>
      </c>
      <c r="FJ36" s="357" t="e">
        <f t="shared" ca="1" si="176"/>
        <v>#DIV/0!</v>
      </c>
      <c r="FK36" s="357" t="e">
        <f t="shared" ca="1" si="177"/>
        <v>#DIV/0!</v>
      </c>
      <c r="FL36" s="357" t="e">
        <f t="shared" ca="1" si="178"/>
        <v>#DIV/0!</v>
      </c>
      <c r="FM36" s="357" t="e">
        <f t="shared" ca="1" si="179"/>
        <v>#DIV/0!</v>
      </c>
      <c r="FN36" s="357" t="e">
        <f t="shared" ca="1" si="180"/>
        <v>#DIV/0!</v>
      </c>
      <c r="FO36" s="357" t="e">
        <f t="shared" ca="1" si="154"/>
        <v>#DIV/0!</v>
      </c>
      <c r="FP36" s="357" t="e">
        <f t="shared" ca="1" si="155"/>
        <v>#DIV/0!</v>
      </c>
      <c r="FR36" s="358">
        <f>FR32+1</f>
        <v>6</v>
      </c>
      <c r="FS36" s="326">
        <v>0</v>
      </c>
      <c r="FT36" s="359">
        <f>INDEX(AF16:AF115,MATCH(GF36,A16:A115,0))</f>
        <v>4.299212598425195E-2</v>
      </c>
      <c r="FU36" s="326">
        <v>0</v>
      </c>
      <c r="FV36" s="359">
        <f>FT36</f>
        <v>4.299212598425195E-2</v>
      </c>
      <c r="FW36" s="359">
        <v>0</v>
      </c>
      <c r="FX36" s="360">
        <f>FV36</f>
        <v>4.299212598425195E-2</v>
      </c>
      <c r="FY36" s="358">
        <f>FY32+1</f>
        <v>6</v>
      </c>
      <c r="FZ36" s="326">
        <v>0</v>
      </c>
      <c r="GA36" s="359">
        <f>FT36</f>
        <v>4.299212598425195E-2</v>
      </c>
      <c r="GB36" s="361">
        <v>0</v>
      </c>
      <c r="GC36" s="362">
        <f t="shared" si="105"/>
        <v>4.299212598425195E-2</v>
      </c>
      <c r="GD36" s="326">
        <v>0</v>
      </c>
      <c r="GE36" s="363">
        <f>GC36</f>
        <v>4.299212598425195E-2</v>
      </c>
      <c r="GF36" s="364">
        <f>GF32+1</f>
        <v>6</v>
      </c>
      <c r="GG36" s="365">
        <v>0</v>
      </c>
      <c r="GH36" s="320">
        <f>FT36</f>
        <v>4.299212598425195E-2</v>
      </c>
      <c r="GI36" s="366">
        <v>0</v>
      </c>
      <c r="GJ36" s="366">
        <f t="shared" si="106"/>
        <v>4.299212598425195E-2</v>
      </c>
      <c r="GK36" s="366">
        <v>0</v>
      </c>
      <c r="GL36" s="366">
        <f t="shared" si="107"/>
        <v>4.299212598425195E-2</v>
      </c>
      <c r="GM36" s="372">
        <f>GM32+1</f>
        <v>6</v>
      </c>
      <c r="GN36" s="359">
        <f t="shared" si="69"/>
        <v>4.299212598425195E-2</v>
      </c>
      <c r="GO36" s="367"/>
      <c r="GP36" s="367"/>
      <c r="GQ36" s="367"/>
      <c r="GR36" s="367"/>
      <c r="GS36" s="367"/>
      <c r="GT36" s="367"/>
      <c r="GU36" s="367"/>
      <c r="HH36" s="321">
        <f ca="1">IF(D35="","",INDEX(INDIRECT(AE60),MATCH(HH15,Matl!B3:B29,0),MATCH(D35,Matl!D2:K2,0)))</f>
        <v>3000</v>
      </c>
      <c r="HI36" s="314">
        <f ca="1">IF(D35="","",INDEX(INDIRECT(AE60),MATCH(HI15,Matl!B3:B29,0),MATCH(D35,Matl!D2:K2,0)))</f>
        <v>4500</v>
      </c>
      <c r="HO36" s="338"/>
      <c r="HP36" s="338"/>
      <c r="HQ36" s="338"/>
      <c r="HR36" s="338"/>
      <c r="HS36" s="338"/>
      <c r="HT36" s="338"/>
      <c r="HU36" s="338"/>
      <c r="HV36" s="338"/>
      <c r="HW36" s="338"/>
      <c r="HX36" s="338"/>
      <c r="HY36" s="338"/>
      <c r="HZ36" s="338"/>
      <c r="IA36" s="338"/>
      <c r="IB36" s="338"/>
      <c r="IC36" s="338"/>
      <c r="ID36" s="338">
        <f>IP34</f>
        <v>0</v>
      </c>
      <c r="IE36" s="338">
        <f>-IO34</f>
        <v>0</v>
      </c>
      <c r="IF36" s="338"/>
      <c r="IG36" s="338"/>
      <c r="IH36" s="338"/>
      <c r="II36" s="338"/>
      <c r="IJ36" s="338">
        <v>9</v>
      </c>
      <c r="IK36" s="342">
        <f>IK27-(IK27-IK57)*IJ36/(IJ56+1)</f>
        <v>0.94247779607693793</v>
      </c>
      <c r="IL36" s="338">
        <f ca="1">IK25*SIN(IK52)</f>
        <v>1499.9999999999998</v>
      </c>
      <c r="IM36" s="338">
        <f ca="1">IK25*SIN(IK37)+IF27</f>
        <v>2598.076211353316</v>
      </c>
      <c r="IN36" s="338"/>
      <c r="IO36" s="338"/>
      <c r="IP36" s="338"/>
    </row>
    <row r="37" spans="1:250" s="314" customFormat="1" ht="12" x14ac:dyDescent="0.25">
      <c r="A37" s="310">
        <v>22</v>
      </c>
      <c r="B37" s="311"/>
      <c r="C37" s="311"/>
      <c r="D37" s="380"/>
      <c r="E37" s="380"/>
      <c r="F37" s="312">
        <f>IF(C37="",INDEX(Matl!$C$15:$K$15,MATCH(D37,Matl!$C$2:$K$2,0)),C37)</f>
        <v>0</v>
      </c>
      <c r="G37" s="313"/>
      <c r="H37" s="313"/>
      <c r="I37" s="313"/>
      <c r="J37" s="313"/>
      <c r="K37" s="313"/>
      <c r="M37" s="315"/>
      <c r="N37" s="315"/>
      <c r="O37" s="315"/>
      <c r="P37" s="316"/>
      <c r="Q37" s="316"/>
      <c r="R37" s="316"/>
      <c r="S37" s="316"/>
      <c r="T37" s="315"/>
      <c r="U37" s="317"/>
      <c r="V37" s="317"/>
      <c r="W37" s="317">
        <f t="shared" si="3"/>
        <v>0</v>
      </c>
      <c r="X37" s="317"/>
      <c r="Y37" s="317"/>
      <c r="Z37" s="318" t="str">
        <f t="shared" si="4"/>
        <v/>
      </c>
      <c r="AA37" s="319" t="str">
        <f t="shared" si="5"/>
        <v/>
      </c>
      <c r="AB37" s="314" t="str">
        <f t="shared" si="6"/>
        <v/>
      </c>
      <c r="AC37" s="320">
        <f t="shared" si="7"/>
        <v>0</v>
      </c>
      <c r="AD37" s="320">
        <f>IF(D37="",0,SUM(F15:F37))</f>
        <v>0</v>
      </c>
      <c r="AE37" s="320">
        <f>IF(D37="",0,SUM(F16:F50)/2-AD37)</f>
        <v>0</v>
      </c>
      <c r="AF37" s="320">
        <f t="shared" si="8"/>
        <v>0</v>
      </c>
      <c r="AG37" s="320">
        <f>IF(D37="",0,(AD37+AD36)/2-SUM(F16:F50)/2)</f>
        <v>0</v>
      </c>
      <c r="AH37" s="321">
        <f ca="1">IF(D37="",0,INDEX(INDIRECT($AE$60),MATCH(AH$14,Matl!$B$3:$B$17,0),MATCH(D37,Matl!$D$2:$K$2,0)))</f>
        <v>0</v>
      </c>
      <c r="AI37" s="321">
        <f ca="1">IF(D37="",0,INDEX(INDIRECT($AE$60),MATCH(AI$14,Matl!$B$3:$B$17,0),MATCH(D37,Matl!$D$2:$K$2,0)))</f>
        <v>0</v>
      </c>
      <c r="AJ37" s="321">
        <f ca="1">IF(D37="",0,INDEX(INDIRECT(AE60),MATCH(AJ14,Matl!B3:B15,0),MATCH(D37,Matl!D2:K2,0)))</f>
        <v>0</v>
      </c>
      <c r="AK37" s="322">
        <f t="shared" si="9"/>
        <v>0</v>
      </c>
      <c r="AL37" s="321">
        <f ca="1">IF(D37="",0,INDEX(INDIRECT(AE60),MATCH(AL14,Matl!B3:B15,0),MATCH(D37,Matl!D2:K2,0)))</f>
        <v>0</v>
      </c>
      <c r="AM37" s="323">
        <f ca="1">IF(D37="",0,INDEX(INDIRECT(AE60),MATCH(AM14,Matl!B3:B15,0),MATCH(D37,Matl!D2:K2,0)))</f>
        <v>0</v>
      </c>
      <c r="AN37" s="323">
        <f ca="1">IF(D37="",0,INDEX(INDIRECT(AE60),MATCH(AN14,Matl!B3:B15,0),MATCH(D37,Matl!D2:K2,0)))</f>
        <v>0</v>
      </c>
      <c r="AO37" s="323">
        <f ca="1">IF(D37="",0,INDEX(INDIRECT(AE60),MATCH(AO14,Matl!B3:B15,0),MATCH(D37,Matl!D2:K2,0)))</f>
        <v>0</v>
      </c>
      <c r="AP37" s="323">
        <f ca="1">IF(D37="",0,INDEX(INDIRECT(AE60),MATCH(AP14,Matl!B3:B15,0),MATCH(D37,Matl!D2:K2,0)))</f>
        <v>0</v>
      </c>
      <c r="AQ37" s="323">
        <f ca="1">IF(D37="",0,INDEX(INDIRECT(AE60),MATCH(AQ14,Matl!B3:B15,0),MATCH(D37,Matl!D2:K2,0)))</f>
        <v>0</v>
      </c>
      <c r="AR37" s="321"/>
      <c r="AS37" s="321"/>
      <c r="AT37" s="324">
        <f t="shared" ca="1" si="10"/>
        <v>0</v>
      </c>
      <c r="AU37" s="325">
        <f t="shared" ca="1" si="11"/>
        <v>0</v>
      </c>
      <c r="AV37" s="325">
        <f t="shared" ca="1" si="12"/>
        <v>0</v>
      </c>
      <c r="AW37" s="325">
        <f t="shared" ca="1" si="13"/>
        <v>0</v>
      </c>
      <c r="AX37" s="326">
        <v>0</v>
      </c>
      <c r="AY37" s="326">
        <v>0</v>
      </c>
      <c r="AZ37" s="326">
        <v>0</v>
      </c>
      <c r="BA37" s="326">
        <v>0</v>
      </c>
      <c r="BB37" s="327">
        <f t="shared" ca="1" si="14"/>
        <v>0</v>
      </c>
      <c r="BC37" s="328"/>
      <c r="BD37" s="324">
        <f t="shared" ca="1" si="15"/>
        <v>0</v>
      </c>
      <c r="BE37" s="325">
        <f t="shared" ca="1" si="16"/>
        <v>0</v>
      </c>
      <c r="BF37" s="325">
        <f t="shared" ca="1" si="17"/>
        <v>0</v>
      </c>
      <c r="BG37" s="325">
        <f t="shared" ca="1" si="18"/>
        <v>0</v>
      </c>
      <c r="BH37" s="325">
        <f t="shared" ca="1" si="19"/>
        <v>0</v>
      </c>
      <c r="BI37" s="325">
        <f t="shared" ca="1" si="20"/>
        <v>0</v>
      </c>
      <c r="BJ37" s="325">
        <f t="shared" ca="1" si="21"/>
        <v>0</v>
      </c>
      <c r="BK37" s="325">
        <f t="shared" ca="1" si="22"/>
        <v>0</v>
      </c>
      <c r="BL37" s="329">
        <f t="shared" ca="1" si="23"/>
        <v>0</v>
      </c>
      <c r="BM37" s="330"/>
      <c r="BN37" s="324">
        <f t="shared" ca="1" si="24"/>
        <v>0</v>
      </c>
      <c r="BO37" s="325">
        <f t="shared" ca="1" si="25"/>
        <v>0</v>
      </c>
      <c r="BP37" s="325">
        <f t="shared" ca="1" si="26"/>
        <v>0</v>
      </c>
      <c r="BQ37" s="325">
        <f t="shared" ca="1" si="27"/>
        <v>0</v>
      </c>
      <c r="BR37" s="325">
        <f t="shared" ca="1" si="28"/>
        <v>0</v>
      </c>
      <c r="BS37" s="325">
        <f t="shared" ca="1" si="29"/>
        <v>0</v>
      </c>
      <c r="BT37" s="325">
        <f t="shared" ca="1" si="30"/>
        <v>0</v>
      </c>
      <c r="BU37" s="325">
        <f t="shared" ca="1" si="31"/>
        <v>0</v>
      </c>
      <c r="BV37" s="329">
        <f t="shared" ca="1" si="32"/>
        <v>0</v>
      </c>
      <c r="BW37" s="330"/>
      <c r="BX37" s="325">
        <f t="shared" ca="1" si="33"/>
        <v>0</v>
      </c>
      <c r="BY37" s="325">
        <f t="shared" ca="1" si="34"/>
        <v>0</v>
      </c>
      <c r="BZ37" s="325">
        <f t="shared" ca="1" si="35"/>
        <v>0</v>
      </c>
      <c r="CA37" s="325">
        <f t="shared" ca="1" si="36"/>
        <v>0</v>
      </c>
      <c r="CB37" s="325">
        <f t="shared" ca="1" si="37"/>
        <v>0</v>
      </c>
      <c r="CC37" s="325">
        <f t="shared" ca="1" si="38"/>
        <v>0</v>
      </c>
      <c r="CD37" s="325">
        <f t="shared" ca="1" si="39"/>
        <v>0</v>
      </c>
      <c r="CE37" s="325">
        <f t="shared" ca="1" si="40"/>
        <v>0</v>
      </c>
      <c r="CF37" s="325">
        <f t="shared" ca="1" si="41"/>
        <v>0</v>
      </c>
      <c r="CG37" s="330"/>
      <c r="CH37" s="331">
        <f t="shared" ca="1" si="42"/>
        <v>0</v>
      </c>
      <c r="CI37" s="332">
        <f t="shared" ca="1" si="43"/>
        <v>0</v>
      </c>
      <c r="CJ37" s="332">
        <f t="shared" ca="1" si="44"/>
        <v>0</v>
      </c>
      <c r="CK37" s="332">
        <f t="shared" ca="1" si="45"/>
        <v>0</v>
      </c>
      <c r="CL37" s="332">
        <f t="shared" ca="1" si="46"/>
        <v>0</v>
      </c>
      <c r="CM37" s="332">
        <f t="shared" ca="1" si="47"/>
        <v>0</v>
      </c>
      <c r="CN37" s="332">
        <f t="shared" ca="1" si="48"/>
        <v>0</v>
      </c>
      <c r="CO37" s="332">
        <f t="shared" ca="1" si="49"/>
        <v>0</v>
      </c>
      <c r="CP37" s="333">
        <f t="shared" ca="1" si="50"/>
        <v>0</v>
      </c>
      <c r="CR37" s="334">
        <f>CR34+1</f>
        <v>8</v>
      </c>
      <c r="CS37" s="335"/>
      <c r="CT37" s="335"/>
      <c r="CU37" s="336" t="s">
        <v>129</v>
      </c>
      <c r="CV37" s="337">
        <f ca="1">AE70</f>
        <v>4.5648610417658959E-4</v>
      </c>
      <c r="CW37" s="338"/>
      <c r="CX37" s="339">
        <f ca="1">BD23</f>
        <v>4652721.392903653</v>
      </c>
      <c r="CY37" s="340">
        <f ca="1">BF23</f>
        <v>3532739.9800676531</v>
      </c>
      <c r="CZ37" s="341">
        <f ca="1">BH23</f>
        <v>0</v>
      </c>
      <c r="DA37" s="338"/>
      <c r="DB37" s="342">
        <f t="array" aca="1" ref="DB37:DB39" ca="1">MMULT(CX37:CZ39,CV37:CV39)</f>
        <v>2268.0369963811145</v>
      </c>
      <c r="DC37" s="338"/>
      <c r="DD37" s="343">
        <f ca="1">-AE75*AE37/F69</f>
        <v>0</v>
      </c>
      <c r="DE37" s="344">
        <f ca="1">-AE75*AF37/F69</f>
        <v>0</v>
      </c>
      <c r="DF37" s="344">
        <f ca="1">-AE76*AE37/F70</f>
        <v>0</v>
      </c>
      <c r="DG37" s="344">
        <f ca="1">-AE76*AF37/F70</f>
        <v>0</v>
      </c>
      <c r="DH37" s="344">
        <f ca="1">-AE77*AE37/F69</f>
        <v>0</v>
      </c>
      <c r="DI37" s="345">
        <f ca="1">-AE77*AF37/F69</f>
        <v>0</v>
      </c>
      <c r="DJ37" s="338">
        <f>DJ34+1</f>
        <v>8</v>
      </c>
      <c r="DK37" s="338"/>
      <c r="DL37" s="338"/>
      <c r="DM37" s="346" t="s">
        <v>129</v>
      </c>
      <c r="DN37" s="347">
        <f ca="1">INDEX(DE16:DE115,MATCH(DJ37,A16:A50,0))</f>
        <v>-2.5756234018042218E-3</v>
      </c>
      <c r="DO37" s="338"/>
      <c r="DP37" s="338"/>
      <c r="DQ37" s="346" t="s">
        <v>130</v>
      </c>
      <c r="DR37" s="347">
        <f ca="1">INDEX(DD16:DD115,MATCH(DJ37,A16:A50,0))</f>
        <v>-1.7170822678694803E-3</v>
      </c>
      <c r="DS37" s="338"/>
      <c r="DT37" s="339">
        <f ca="1">CX37</f>
        <v>4652721.392903653</v>
      </c>
      <c r="DU37" s="340">
        <f t="shared" ca="1" si="102"/>
        <v>3532739.9800676531</v>
      </c>
      <c r="DV37" s="341">
        <f t="shared" ca="1" si="103"/>
        <v>0</v>
      </c>
      <c r="DW37" s="338"/>
      <c r="DX37" s="349">
        <f t="array" aca="1" ref="DX37:DX39" ca="1">MMULT(DT37:DV39,DN37:DN39)</f>
        <v>-13392.241827050433</v>
      </c>
      <c r="DY37" s="349"/>
      <c r="DZ37" s="349">
        <f t="array" aca="1" ref="DZ37:DZ39" ca="1">MMULT(DT37:DV39,DR37:DR39)</f>
        <v>-8928.1612180336178</v>
      </c>
      <c r="EB37" s="350">
        <f t="shared" ca="1" si="52"/>
        <v>0</v>
      </c>
      <c r="EC37" s="351">
        <f t="shared" ca="1" si="53"/>
        <v>0</v>
      </c>
      <c r="ED37" s="352">
        <f t="shared" ca="1" si="54"/>
        <v>0</v>
      </c>
      <c r="EE37" s="350">
        <f t="shared" ca="1" si="55"/>
        <v>0</v>
      </c>
      <c r="EF37" s="351">
        <f t="shared" ca="1" si="56"/>
        <v>0</v>
      </c>
      <c r="EG37" s="351">
        <f t="shared" ca="1" si="57"/>
        <v>0</v>
      </c>
      <c r="EH37" s="351">
        <f t="shared" ca="1" si="58"/>
        <v>0</v>
      </c>
      <c r="EI37" s="351">
        <f t="shared" ca="1" si="59"/>
        <v>0</v>
      </c>
      <c r="EJ37" s="352">
        <f t="shared" ca="1" si="60"/>
        <v>0</v>
      </c>
      <c r="EK37" s="350">
        <f t="shared" ca="1" si="129"/>
        <v>0</v>
      </c>
      <c r="EL37" s="351">
        <f t="shared" ca="1" si="130"/>
        <v>0</v>
      </c>
      <c r="EM37" s="351">
        <f t="shared" ca="1" si="131"/>
        <v>0</v>
      </c>
      <c r="EN37" s="351">
        <f t="shared" ca="1" si="132"/>
        <v>0</v>
      </c>
      <c r="EO37" s="351">
        <f t="shared" ca="1" si="133"/>
        <v>0</v>
      </c>
      <c r="EP37" s="352">
        <f t="shared" ca="1" si="134"/>
        <v>0</v>
      </c>
      <c r="EQ37" s="323">
        <f t="shared" ca="1" si="135"/>
        <v>0</v>
      </c>
      <c r="ER37" s="323">
        <f t="shared" ca="1" si="136"/>
        <v>0</v>
      </c>
      <c r="ES37" s="323">
        <f t="shared" ca="1" si="137"/>
        <v>0</v>
      </c>
      <c r="ET37" s="323">
        <f t="shared" ca="1" si="138"/>
        <v>0</v>
      </c>
      <c r="EU37" s="323">
        <f t="shared" ca="1" si="139"/>
        <v>0</v>
      </c>
      <c r="EV37" s="323">
        <f t="shared" ca="1" si="140"/>
        <v>0</v>
      </c>
      <c r="EW37" s="323">
        <f t="shared" ca="1" si="141"/>
        <v>0</v>
      </c>
      <c r="EX37" s="323">
        <f t="shared" ca="1" si="142"/>
        <v>0</v>
      </c>
      <c r="EY37" s="353" t="e">
        <f t="shared" ca="1" si="143"/>
        <v>#DIV/0!</v>
      </c>
      <c r="EZ37" s="353" t="e">
        <f t="shared" ca="1" si="144"/>
        <v>#DIV/0!</v>
      </c>
      <c r="FA37" s="321" t="e">
        <f t="shared" ca="1" si="145"/>
        <v>#DIV/0!</v>
      </c>
      <c r="FB37" s="354" t="e">
        <f t="shared" ca="1" si="146"/>
        <v>#DIV/0!</v>
      </c>
      <c r="FC37" s="321" t="e">
        <f t="shared" ca="1" si="147"/>
        <v>#DIV/0!</v>
      </c>
      <c r="FD37" s="321" t="e">
        <f t="shared" ca="1" si="148"/>
        <v>#DIV/0!</v>
      </c>
      <c r="FE37" s="355" t="e">
        <f t="shared" ca="1" si="149"/>
        <v>#DIV/0!</v>
      </c>
      <c r="FF37" s="338" t="e">
        <f t="shared" ca="1" si="150"/>
        <v>#DIV/0!</v>
      </c>
      <c r="FG37" s="335" t="e">
        <f t="shared" ca="1" si="151"/>
        <v>#DIV/0!</v>
      </c>
      <c r="FH37" s="356" t="e">
        <f t="shared" ca="1" si="152"/>
        <v>#DIV/0!</v>
      </c>
      <c r="FI37" s="335" t="e">
        <f t="shared" ca="1" si="153"/>
        <v>#DIV/0!</v>
      </c>
      <c r="FJ37" s="357" t="e">
        <f t="shared" ca="1" si="176"/>
        <v>#DIV/0!</v>
      </c>
      <c r="FK37" s="357" t="e">
        <f t="shared" ca="1" si="177"/>
        <v>#DIV/0!</v>
      </c>
      <c r="FL37" s="357" t="e">
        <f t="shared" ca="1" si="178"/>
        <v>#DIV/0!</v>
      </c>
      <c r="FM37" s="357" t="e">
        <f t="shared" ca="1" si="179"/>
        <v>#DIV/0!</v>
      </c>
      <c r="FN37" s="357" t="e">
        <f t="shared" ca="1" si="180"/>
        <v>#DIV/0!</v>
      </c>
      <c r="FO37" s="357" t="e">
        <f t="shared" ca="1" si="154"/>
        <v>#DIV/0!</v>
      </c>
      <c r="FP37" s="357" t="e">
        <f t="shared" ca="1" si="155"/>
        <v>#DIV/0!</v>
      </c>
      <c r="FR37" s="358"/>
      <c r="FS37" s="359">
        <f ca="1">INDEX(EB16:EB115,MATCH(GF36,A16:A115,0))</f>
        <v>3546.9813186371889</v>
      </c>
      <c r="FT37" s="359">
        <f>FT36</f>
        <v>4.299212598425195E-2</v>
      </c>
      <c r="FU37" s="359">
        <f ca="1">INDEX(EC16:EC115,MATCH(GF36,A16:A115,0))</f>
        <v>523.53150187562358</v>
      </c>
      <c r="FV37" s="359">
        <f t="shared" ref="FV37:FV39" si="181">FT37</f>
        <v>4.299212598425195E-2</v>
      </c>
      <c r="FW37" s="359">
        <f ca="1">INDEX(ED16:ED115,MATCH(GF36,A16:A115,0))</f>
        <v>-155.18705741647139</v>
      </c>
      <c r="FX37" s="360">
        <f t="shared" ref="FX37:FX39" si="182">FV37</f>
        <v>4.299212598425195E-2</v>
      </c>
      <c r="FY37" s="358"/>
      <c r="FZ37" s="351">
        <f ca="1">INDEX(EE16:EE115,MATCH(GF36,A16:A115,0))</f>
        <v>-33483.200986872354</v>
      </c>
      <c r="GA37" s="359">
        <f>GA36</f>
        <v>4.299212598425195E-2</v>
      </c>
      <c r="GB37" s="326">
        <f ca="1">INDEX(EG16:EG115,MATCH(GF36,A16:A115,0))</f>
        <v>-7094.1246179257614</v>
      </c>
      <c r="GC37" s="362">
        <f t="shared" si="105"/>
        <v>4.299212598425195E-2</v>
      </c>
      <c r="GD37" s="359">
        <f ca="1">INDEX(EI16:EI115,MATCH(GF36,A16:A115,0))</f>
        <v>2898.4935274539421</v>
      </c>
      <c r="GE37" s="363">
        <f t="shared" ref="GE37:GE39" si="183">GC37</f>
        <v>4.299212598425195E-2</v>
      </c>
      <c r="GF37" s="364"/>
      <c r="GG37" s="365">
        <f ca="1">FS37+FZ37</f>
        <v>-29936.219668235164</v>
      </c>
      <c r="GH37" s="320">
        <f>GH36</f>
        <v>4.299212598425195E-2</v>
      </c>
      <c r="GI37" s="365">
        <f ca="1">FU37+GB37</f>
        <v>-6570.5931160501377</v>
      </c>
      <c r="GJ37" s="366">
        <f t="shared" si="106"/>
        <v>4.299212598425195E-2</v>
      </c>
      <c r="GK37" s="365">
        <f ca="1">FW37+GD37</f>
        <v>2743.3064700374707</v>
      </c>
      <c r="GL37" s="366">
        <f t="shared" si="107"/>
        <v>4.299212598425195E-2</v>
      </c>
      <c r="GN37" s="359">
        <f t="shared" si="69"/>
        <v>4.299212598425195E-2</v>
      </c>
      <c r="GO37" s="367">
        <f ca="1">INDEX(FJ16:FJ115,MATCH(GM36,A16:A115,0))</f>
        <v>0.7229854621844698</v>
      </c>
      <c r="GP37" s="367">
        <f ca="1">INDEX(FK16:FK115,MATCH(GM36,A16:A115,0))</f>
        <v>0.73765832342631743</v>
      </c>
      <c r="GQ37" s="367">
        <f ca="1">INDEX(FL16:FL115,MATCH(GM36,A16:A115,0))</f>
        <v>0.90248132679729709</v>
      </c>
      <c r="GR37" s="367">
        <f ca="1">INDEX(FM16:FM115,MATCH(GM36,A16:A115,0))</f>
        <v>0.93652206279884753</v>
      </c>
      <c r="GS37" s="367">
        <f ca="1">INDEX(FN16:FN115,MATCH(GM36,A16:A115,0))</f>
        <v>0.73931606993280741</v>
      </c>
      <c r="GT37" s="367">
        <f ca="1">INDEX(FO16:FO115,MATCH(GM36,A16:A115,0))</f>
        <v>6.3505642338470834</v>
      </c>
      <c r="GU37" s="367">
        <f ca="1">INDEX(FP16:FP115,MATCH(GM36,A16:A115,0))</f>
        <v>3.0709654382317177</v>
      </c>
      <c r="HH37" s="321" t="str">
        <f ca="1">IF(D36="","",INDEX(INDIRECT(AE60),MATCH(HH15,Matl!B3:B29,0),MATCH(D36,Matl!D2:K2,0)))</f>
        <v/>
      </c>
      <c r="HI37" s="314" t="str">
        <f ca="1">IF(D36="","",INDEX(INDIRECT(AE60),MATCH(HI15,Matl!B3:B29,0),MATCH(D36,Matl!D2:K2,0)))</f>
        <v/>
      </c>
      <c r="HO37" s="338"/>
      <c r="HP37" s="338"/>
      <c r="HQ37" s="338"/>
      <c r="HR37" s="338"/>
      <c r="HS37" s="338"/>
      <c r="HT37" s="338"/>
      <c r="HU37" s="338"/>
      <c r="HV37" s="338"/>
      <c r="HW37" s="338"/>
      <c r="HX37" s="338"/>
      <c r="HY37" s="338"/>
      <c r="HZ37" s="338"/>
      <c r="IA37" s="338"/>
      <c r="IB37" s="338"/>
      <c r="IC37" s="338"/>
      <c r="ID37" s="338">
        <f>IP33</f>
        <v>0</v>
      </c>
      <c r="IE37" s="338">
        <f>-IO33</f>
        <v>0</v>
      </c>
      <c r="IF37" s="338"/>
      <c r="IG37" s="338"/>
      <c r="IH37" s="338"/>
      <c r="II37" s="338"/>
      <c r="IJ37" s="338">
        <v>10</v>
      </c>
      <c r="IK37" s="342">
        <f>IK27-(IK27-IK57)*IJ37/(IJ56+1)</f>
        <v>1.0471975511965976</v>
      </c>
      <c r="IL37" s="338">
        <f ca="1">IK25*SIN(IK53)</f>
        <v>1220.2099292274002</v>
      </c>
      <c r="IM37" s="338">
        <f ca="1">IK25*SIN(IK38)+IF27</f>
        <v>2740.6363729278028</v>
      </c>
      <c r="IN37" s="338"/>
      <c r="IO37" s="338"/>
      <c r="IP37" s="338"/>
    </row>
    <row r="38" spans="1:250" s="314" customFormat="1" ht="12" x14ac:dyDescent="0.25">
      <c r="A38" s="310">
        <v>23</v>
      </c>
      <c r="B38" s="311"/>
      <c r="C38" s="311"/>
      <c r="D38" s="380"/>
      <c r="E38" s="380"/>
      <c r="F38" s="312">
        <f>IF(C38="",INDEX(Matl!$C$15:$K$15,MATCH(D38,Matl!$C$2:$K$2,0)),C38)</f>
        <v>0</v>
      </c>
      <c r="G38" s="313"/>
      <c r="H38" s="313"/>
      <c r="I38" s="313"/>
      <c r="J38" s="313"/>
      <c r="K38" s="313"/>
      <c r="M38" s="315"/>
      <c r="N38" s="315"/>
      <c r="O38" s="315"/>
      <c r="P38" s="316"/>
      <c r="Q38" s="316"/>
      <c r="R38" s="316"/>
      <c r="S38" s="316"/>
      <c r="T38" s="315"/>
      <c r="U38" s="317"/>
      <c r="V38" s="317"/>
      <c r="W38" s="317">
        <f t="shared" si="3"/>
        <v>0</v>
      </c>
      <c r="X38" s="317"/>
      <c r="Y38" s="317"/>
      <c r="Z38" s="318" t="str">
        <f t="shared" si="4"/>
        <v/>
      </c>
      <c r="AA38" s="319" t="str">
        <f t="shared" si="5"/>
        <v/>
      </c>
      <c r="AB38" s="314" t="str">
        <f t="shared" si="6"/>
        <v/>
      </c>
      <c r="AC38" s="320">
        <f t="shared" si="7"/>
        <v>0</v>
      </c>
      <c r="AD38" s="320">
        <f>IF(D38="",0,SUM(F15:F38))</f>
        <v>0</v>
      </c>
      <c r="AE38" s="320">
        <f>IF(D38="",0,SUM(F16:F50)/2-AD38)</f>
        <v>0</v>
      </c>
      <c r="AF38" s="320">
        <f t="shared" si="8"/>
        <v>0</v>
      </c>
      <c r="AG38" s="320">
        <f>IF(D38="",0,(AD38+AD37)/2-SUM(F16:F50)/2)</f>
        <v>0</v>
      </c>
      <c r="AH38" s="321">
        <f ca="1">IF(D38="",0,INDEX(INDIRECT($AE$60),MATCH(AH$14,Matl!$B$3:$B$17,0),MATCH(D38,Matl!$D$2:$K$2,0)))</f>
        <v>0</v>
      </c>
      <c r="AI38" s="321">
        <f ca="1">IF(D38="",0,INDEX(INDIRECT($AE$60),MATCH(AI$14,Matl!$B$3:$B$17,0),MATCH(D38,Matl!$D$2:$K$2,0)))</f>
        <v>0</v>
      </c>
      <c r="AJ38" s="321">
        <f ca="1">IF(D38="",0,INDEX(INDIRECT(AE60),MATCH(AJ14,Matl!B3:B15,0),MATCH(D38,Matl!D2:K2,0)))</f>
        <v>0</v>
      </c>
      <c r="AK38" s="322">
        <f t="shared" si="9"/>
        <v>0</v>
      </c>
      <c r="AL38" s="321">
        <f ca="1">IF(D38="",0,INDEX(INDIRECT(AE60),MATCH(AL14,Matl!B3:B15,0),MATCH(D38,Matl!D2:K2,0)))</f>
        <v>0</v>
      </c>
      <c r="AM38" s="323">
        <f ca="1">IF(D38="",0,INDEX(INDIRECT(AE60),MATCH(AM14,Matl!B3:B15,0),MATCH(D38,Matl!D2:K2,0)))</f>
        <v>0</v>
      </c>
      <c r="AN38" s="323">
        <f ca="1">IF(D38="",0,INDEX(INDIRECT(AE60),MATCH(AN14,Matl!B3:B15,0),MATCH(D38,Matl!D2:K2,0)))</f>
        <v>0</v>
      </c>
      <c r="AO38" s="323">
        <f ca="1">IF(D38="",0,INDEX(INDIRECT(AE60),MATCH(AO14,Matl!B3:B15,0),MATCH(D38,Matl!D2:K2,0)))</f>
        <v>0</v>
      </c>
      <c r="AP38" s="323">
        <f ca="1">IF(D38="",0,INDEX(INDIRECT(AE60),MATCH(AP14,Matl!B3:B15,0),MATCH(D38,Matl!D2:K2,0)))</f>
        <v>0</v>
      </c>
      <c r="AQ38" s="323">
        <f ca="1">IF(D38="",0,INDEX(INDIRECT(AE60),MATCH(AQ14,Matl!B3:B15,0),MATCH(D38,Matl!D2:K2,0)))</f>
        <v>0</v>
      </c>
      <c r="AR38" s="321"/>
      <c r="AS38" s="321"/>
      <c r="AT38" s="324">
        <f t="shared" ca="1" si="10"/>
        <v>0</v>
      </c>
      <c r="AU38" s="325">
        <f t="shared" ca="1" si="11"/>
        <v>0</v>
      </c>
      <c r="AV38" s="325">
        <f t="shared" ca="1" si="12"/>
        <v>0</v>
      </c>
      <c r="AW38" s="325">
        <f t="shared" ca="1" si="13"/>
        <v>0</v>
      </c>
      <c r="AX38" s="326">
        <v>0</v>
      </c>
      <c r="AY38" s="326">
        <v>0</v>
      </c>
      <c r="AZ38" s="326">
        <v>0</v>
      </c>
      <c r="BA38" s="326">
        <v>0</v>
      </c>
      <c r="BB38" s="327">
        <f t="shared" ca="1" si="14"/>
        <v>0</v>
      </c>
      <c r="BC38" s="328"/>
      <c r="BD38" s="324">
        <f t="shared" ca="1" si="15"/>
        <v>0</v>
      </c>
      <c r="BE38" s="325">
        <f t="shared" ca="1" si="16"/>
        <v>0</v>
      </c>
      <c r="BF38" s="325">
        <f t="shared" ca="1" si="17"/>
        <v>0</v>
      </c>
      <c r="BG38" s="325">
        <f t="shared" ca="1" si="18"/>
        <v>0</v>
      </c>
      <c r="BH38" s="325">
        <f t="shared" ca="1" si="19"/>
        <v>0</v>
      </c>
      <c r="BI38" s="325">
        <f t="shared" ca="1" si="20"/>
        <v>0</v>
      </c>
      <c r="BJ38" s="325">
        <f t="shared" ca="1" si="21"/>
        <v>0</v>
      </c>
      <c r="BK38" s="325">
        <f t="shared" ca="1" si="22"/>
        <v>0</v>
      </c>
      <c r="BL38" s="329">
        <f t="shared" ca="1" si="23"/>
        <v>0</v>
      </c>
      <c r="BM38" s="330"/>
      <c r="BN38" s="324">
        <f t="shared" ca="1" si="24"/>
        <v>0</v>
      </c>
      <c r="BO38" s="325">
        <f t="shared" ca="1" si="25"/>
        <v>0</v>
      </c>
      <c r="BP38" s="325">
        <f t="shared" ca="1" si="26"/>
        <v>0</v>
      </c>
      <c r="BQ38" s="325">
        <f t="shared" ca="1" si="27"/>
        <v>0</v>
      </c>
      <c r="BR38" s="325">
        <f t="shared" ca="1" si="28"/>
        <v>0</v>
      </c>
      <c r="BS38" s="325">
        <f t="shared" ca="1" si="29"/>
        <v>0</v>
      </c>
      <c r="BT38" s="325">
        <f t="shared" ca="1" si="30"/>
        <v>0</v>
      </c>
      <c r="BU38" s="325">
        <f t="shared" ca="1" si="31"/>
        <v>0</v>
      </c>
      <c r="BV38" s="329">
        <f t="shared" ca="1" si="32"/>
        <v>0</v>
      </c>
      <c r="BW38" s="330"/>
      <c r="BX38" s="325">
        <f t="shared" ca="1" si="33"/>
        <v>0</v>
      </c>
      <c r="BY38" s="325">
        <f t="shared" ca="1" si="34"/>
        <v>0</v>
      </c>
      <c r="BZ38" s="325">
        <f t="shared" ca="1" si="35"/>
        <v>0</v>
      </c>
      <c r="CA38" s="325">
        <f t="shared" ca="1" si="36"/>
        <v>0</v>
      </c>
      <c r="CB38" s="325">
        <f t="shared" ca="1" si="37"/>
        <v>0</v>
      </c>
      <c r="CC38" s="325">
        <f t="shared" ca="1" si="38"/>
        <v>0</v>
      </c>
      <c r="CD38" s="325">
        <f t="shared" ca="1" si="39"/>
        <v>0</v>
      </c>
      <c r="CE38" s="325">
        <f t="shared" ca="1" si="40"/>
        <v>0</v>
      </c>
      <c r="CF38" s="325">
        <f t="shared" ca="1" si="41"/>
        <v>0</v>
      </c>
      <c r="CG38" s="330"/>
      <c r="CH38" s="331">
        <f t="shared" ca="1" si="42"/>
        <v>0</v>
      </c>
      <c r="CI38" s="332">
        <f t="shared" ca="1" si="43"/>
        <v>0</v>
      </c>
      <c r="CJ38" s="332">
        <f t="shared" ca="1" si="44"/>
        <v>0</v>
      </c>
      <c r="CK38" s="332">
        <f t="shared" ca="1" si="45"/>
        <v>0</v>
      </c>
      <c r="CL38" s="332">
        <f t="shared" ca="1" si="46"/>
        <v>0</v>
      </c>
      <c r="CM38" s="332">
        <f t="shared" ca="1" si="47"/>
        <v>0</v>
      </c>
      <c r="CN38" s="332">
        <f t="shared" ca="1" si="48"/>
        <v>0</v>
      </c>
      <c r="CO38" s="332">
        <f t="shared" ca="1" si="49"/>
        <v>0</v>
      </c>
      <c r="CP38" s="333">
        <f t="shared" ca="1" si="50"/>
        <v>0</v>
      </c>
      <c r="CR38" s="334"/>
      <c r="CS38" s="335"/>
      <c r="CT38" s="335"/>
      <c r="CU38" s="336" t="s">
        <v>131</v>
      </c>
      <c r="CV38" s="337">
        <f ca="1">AE71</f>
        <v>4.0799587495451728E-5</v>
      </c>
      <c r="CW38" s="338"/>
      <c r="CX38" s="324">
        <f ca="1">BG23</f>
        <v>3532739.9800676531</v>
      </c>
      <c r="CY38" s="325">
        <f ca="1">BE23</f>
        <v>4652721.392903653</v>
      </c>
      <c r="CZ38" s="329">
        <f ca="1">BK23</f>
        <v>0</v>
      </c>
      <c r="DA38" s="338"/>
      <c r="DB38" s="342">
        <f ca="1"/>
        <v>1802.4758241316983</v>
      </c>
      <c r="DC38" s="338"/>
      <c r="DD38" s="343">
        <f ca="1">-AE75*AE38/F69</f>
        <v>0</v>
      </c>
      <c r="DE38" s="344">
        <f ca="1">-AE75*AF38/F69</f>
        <v>0</v>
      </c>
      <c r="DF38" s="344">
        <f ca="1">-AE76*AE38/F70</f>
        <v>0</v>
      </c>
      <c r="DG38" s="344">
        <f ca="1">-AE76*AF38/F70</f>
        <v>0</v>
      </c>
      <c r="DH38" s="344">
        <f ca="1">-AE77*AE38/F69</f>
        <v>0</v>
      </c>
      <c r="DI38" s="345">
        <f ca="1">-AE77*AF38/F69</f>
        <v>0</v>
      </c>
      <c r="DJ38" s="338"/>
      <c r="DK38" s="338"/>
      <c r="DL38" s="338"/>
      <c r="DM38" s="346" t="s">
        <v>131</v>
      </c>
      <c r="DN38" s="347">
        <f ca="1">INDEX(DG16:DG115,MATCH(DJ37,A16:A50,0))</f>
        <v>-3.9872272891866637E-4</v>
      </c>
      <c r="DO38" s="338"/>
      <c r="DP38" s="338"/>
      <c r="DQ38" s="346" t="s">
        <v>132</v>
      </c>
      <c r="DR38" s="347">
        <f ca="1">INDEX(DF16:DF115,MATCH(DJ37,A16:A50,0))</f>
        <v>-2.6581515261244414E-4</v>
      </c>
      <c r="DS38" s="338"/>
      <c r="DT38" s="324">
        <f t="shared" ref="DT38:DT39" ca="1" si="184">CX38</f>
        <v>3532739.9800676531</v>
      </c>
      <c r="DU38" s="325">
        <f t="shared" ca="1" si="102"/>
        <v>4652721.392903653</v>
      </c>
      <c r="DV38" s="329">
        <f t="shared" ca="1" si="103"/>
        <v>0</v>
      </c>
      <c r="DW38" s="338"/>
      <c r="DX38" s="349">
        <f ca="1"/>
        <v>-10954.153535828431</v>
      </c>
      <c r="DY38" s="349"/>
      <c r="DZ38" s="349">
        <f ca="1"/>
        <v>-7302.7690238856167</v>
      </c>
      <c r="EB38" s="350">
        <f t="shared" ca="1" si="52"/>
        <v>0</v>
      </c>
      <c r="EC38" s="351">
        <f t="shared" ca="1" si="53"/>
        <v>0</v>
      </c>
      <c r="ED38" s="352">
        <f t="shared" ca="1" si="54"/>
        <v>0</v>
      </c>
      <c r="EE38" s="350">
        <f t="shared" ca="1" si="55"/>
        <v>0</v>
      </c>
      <c r="EF38" s="351">
        <f t="shared" ca="1" si="56"/>
        <v>0</v>
      </c>
      <c r="EG38" s="351">
        <f t="shared" ca="1" si="57"/>
        <v>0</v>
      </c>
      <c r="EH38" s="351">
        <f t="shared" ca="1" si="58"/>
        <v>0</v>
      </c>
      <c r="EI38" s="351">
        <f t="shared" ca="1" si="59"/>
        <v>0</v>
      </c>
      <c r="EJ38" s="352">
        <f t="shared" ca="1" si="60"/>
        <v>0</v>
      </c>
      <c r="EK38" s="350">
        <f t="shared" ca="1" si="129"/>
        <v>0</v>
      </c>
      <c r="EL38" s="351">
        <f t="shared" ca="1" si="130"/>
        <v>0</v>
      </c>
      <c r="EM38" s="351">
        <f t="shared" ca="1" si="131"/>
        <v>0</v>
      </c>
      <c r="EN38" s="351">
        <f t="shared" ca="1" si="132"/>
        <v>0</v>
      </c>
      <c r="EO38" s="351">
        <f t="shared" ca="1" si="133"/>
        <v>0</v>
      </c>
      <c r="EP38" s="352">
        <f t="shared" ca="1" si="134"/>
        <v>0</v>
      </c>
      <c r="EQ38" s="323">
        <f t="shared" ca="1" si="135"/>
        <v>0</v>
      </c>
      <c r="ER38" s="323">
        <f t="shared" ca="1" si="136"/>
        <v>0</v>
      </c>
      <c r="ES38" s="323">
        <f t="shared" ca="1" si="137"/>
        <v>0</v>
      </c>
      <c r="ET38" s="323">
        <f t="shared" ca="1" si="138"/>
        <v>0</v>
      </c>
      <c r="EU38" s="323">
        <f t="shared" ca="1" si="139"/>
        <v>0</v>
      </c>
      <c r="EV38" s="323">
        <f t="shared" ca="1" si="140"/>
        <v>0</v>
      </c>
      <c r="EW38" s="323">
        <f t="shared" ca="1" si="141"/>
        <v>0</v>
      </c>
      <c r="EX38" s="323">
        <f t="shared" ca="1" si="142"/>
        <v>0</v>
      </c>
      <c r="EY38" s="353" t="e">
        <f t="shared" ca="1" si="143"/>
        <v>#DIV/0!</v>
      </c>
      <c r="EZ38" s="353" t="e">
        <f t="shared" ca="1" si="144"/>
        <v>#DIV/0!</v>
      </c>
      <c r="FA38" s="321" t="e">
        <f t="shared" ca="1" si="145"/>
        <v>#DIV/0!</v>
      </c>
      <c r="FB38" s="354" t="e">
        <f t="shared" ca="1" si="146"/>
        <v>#DIV/0!</v>
      </c>
      <c r="FC38" s="321" t="e">
        <f t="shared" ca="1" si="147"/>
        <v>#DIV/0!</v>
      </c>
      <c r="FD38" s="321" t="e">
        <f t="shared" ca="1" si="148"/>
        <v>#DIV/0!</v>
      </c>
      <c r="FE38" s="355" t="e">
        <f t="shared" ca="1" si="149"/>
        <v>#DIV/0!</v>
      </c>
      <c r="FF38" s="338" t="e">
        <f t="shared" ca="1" si="150"/>
        <v>#DIV/0!</v>
      </c>
      <c r="FG38" s="335" t="e">
        <f t="shared" ca="1" si="151"/>
        <v>#DIV/0!</v>
      </c>
      <c r="FH38" s="356" t="e">
        <f t="shared" ca="1" si="152"/>
        <v>#DIV/0!</v>
      </c>
      <c r="FI38" s="335" t="e">
        <f t="shared" ca="1" si="153"/>
        <v>#DIV/0!</v>
      </c>
      <c r="FJ38" s="357" t="e">
        <f t="shared" ca="1" si="176"/>
        <v>#DIV/0!</v>
      </c>
      <c r="FK38" s="357" t="e">
        <f t="shared" ca="1" si="177"/>
        <v>#DIV/0!</v>
      </c>
      <c r="FL38" s="357" t="e">
        <f t="shared" ca="1" si="178"/>
        <v>#DIV/0!</v>
      </c>
      <c r="FM38" s="357" t="e">
        <f t="shared" ca="1" si="179"/>
        <v>#DIV/0!</v>
      </c>
      <c r="FN38" s="357" t="e">
        <f t="shared" ca="1" si="180"/>
        <v>#DIV/0!</v>
      </c>
      <c r="FO38" s="357" t="e">
        <f t="shared" ca="1" si="154"/>
        <v>#DIV/0!</v>
      </c>
      <c r="FP38" s="357" t="e">
        <f t="shared" ca="1" si="155"/>
        <v>#DIV/0!</v>
      </c>
      <c r="FR38" s="358"/>
      <c r="FS38" s="359">
        <f ca="1">FS37</f>
        <v>3546.9813186371889</v>
      </c>
      <c r="FT38" s="359">
        <f>INDEX(AE16:AE115,MATCH(GF36,A16:A115,0))</f>
        <v>3.4393700787401553E-2</v>
      </c>
      <c r="FU38" s="359">
        <f ca="1">FU37</f>
        <v>523.53150187562358</v>
      </c>
      <c r="FV38" s="359">
        <f t="shared" si="181"/>
        <v>3.4393700787401553E-2</v>
      </c>
      <c r="FW38" s="359">
        <f ca="1">FW37</f>
        <v>-155.18705741647139</v>
      </c>
      <c r="FX38" s="360">
        <f t="shared" si="182"/>
        <v>3.4393700787401553E-2</v>
      </c>
      <c r="FY38" s="358"/>
      <c r="FZ38" s="351">
        <f ca="1">INDEX(EF16:EF115,MATCH(GF36,A16:A115,0))</f>
        <v>-26786.560789497875</v>
      </c>
      <c r="GA38" s="359">
        <f>FT38</f>
        <v>3.4393700787401553E-2</v>
      </c>
      <c r="GB38" s="326">
        <f ca="1">INDEX(EH16:EH115,MATCH(GF36,A16:A115,0))</f>
        <v>-5675.2996943406088</v>
      </c>
      <c r="GC38" s="362">
        <f t="shared" si="105"/>
        <v>3.4393700787401553E-2</v>
      </c>
      <c r="GD38" s="359">
        <f ca="1">INDEX(EJ16:EJ115,MATCH(GF36,A16:A115,0))</f>
        <v>2318.794821963153</v>
      </c>
      <c r="GE38" s="363">
        <f t="shared" si="183"/>
        <v>3.4393700787401553E-2</v>
      </c>
      <c r="GF38" s="364"/>
      <c r="GG38" s="365">
        <f ca="1">FS38+FZ38</f>
        <v>-23239.579470860685</v>
      </c>
      <c r="GH38" s="320">
        <f>FT38</f>
        <v>3.4393700787401553E-2</v>
      </c>
      <c r="GI38" s="365">
        <f ca="1">FU38+GB38</f>
        <v>-5151.7681924649851</v>
      </c>
      <c r="GJ38" s="366">
        <f t="shared" si="106"/>
        <v>3.4393700787401553E-2</v>
      </c>
      <c r="GK38" s="365">
        <f ca="1">FW38+GD38</f>
        <v>2163.6077645466817</v>
      </c>
      <c r="GL38" s="366">
        <f t="shared" si="107"/>
        <v>3.4393700787401553E-2</v>
      </c>
      <c r="GN38" s="359">
        <f t="shared" si="69"/>
        <v>3.4393700787401553E-2</v>
      </c>
      <c r="GO38" s="367">
        <f ca="1">GO37</f>
        <v>0.7229854621844698</v>
      </c>
      <c r="GP38" s="367">
        <f t="shared" ref="GP38" ca="1" si="185">GP37</f>
        <v>0.73765832342631743</v>
      </c>
      <c r="GQ38" s="367">
        <f t="shared" ref="GQ38" ca="1" si="186">GQ37</f>
        <v>0.90248132679729709</v>
      </c>
      <c r="GR38" s="367">
        <f t="shared" ref="GR38" ca="1" si="187">GR37</f>
        <v>0.93652206279884753</v>
      </c>
      <c r="GS38" s="367">
        <f t="shared" ref="GS38" ca="1" si="188">GS37</f>
        <v>0.73931606993280741</v>
      </c>
      <c r="GT38" s="367">
        <f t="shared" ref="GT38" ca="1" si="189">GT37</f>
        <v>6.3505642338470834</v>
      </c>
      <c r="GU38" s="367">
        <f t="shared" ref="GU38" ca="1" si="190">GU37</f>
        <v>3.0709654382317177</v>
      </c>
      <c r="HH38" s="321" t="str">
        <f ca="1">IF(D37="","",INDEX(INDIRECT(AE60),MATCH(HH15,Matl!B3:B29,0),MATCH(D37,Matl!D2:K2,0)))</f>
        <v/>
      </c>
      <c r="HI38" s="314" t="str">
        <f ca="1">IF(D37="","",INDEX(INDIRECT(AE60),MATCH(HI15,Matl!B3:B29,0),MATCH(D37,Matl!D2:K2,0)))</f>
        <v/>
      </c>
      <c r="HO38" s="338"/>
      <c r="HP38" s="338"/>
      <c r="HQ38" s="338"/>
      <c r="HR38" s="338"/>
      <c r="HS38" s="338"/>
      <c r="HT38" s="338"/>
      <c r="HU38" s="338"/>
      <c r="HV38" s="338"/>
      <c r="HW38" s="338"/>
      <c r="HX38" s="338"/>
      <c r="HY38" s="338"/>
      <c r="HZ38" s="338"/>
      <c r="IA38" s="338"/>
      <c r="IB38" s="338"/>
      <c r="IC38" s="338"/>
      <c r="ID38" s="338">
        <f>IP32</f>
        <v>0</v>
      </c>
      <c r="IE38" s="338">
        <f>-IO32</f>
        <v>0</v>
      </c>
      <c r="IF38" s="338"/>
      <c r="IG38" s="338"/>
      <c r="IH38" s="338"/>
      <c r="II38" s="338"/>
      <c r="IJ38" s="338">
        <v>11</v>
      </c>
      <c r="IK38" s="342">
        <f>IK27-(IK27-IK57)*IJ38/(IJ56+1)</f>
        <v>1.1519173063162573</v>
      </c>
      <c r="IL38" s="338">
        <f ca="1">IK25*SIN(IK54)</f>
        <v>927.05098312484256</v>
      </c>
      <c r="IM38" s="338">
        <f ca="1">IK25*SIN(IK39)+IF27</f>
        <v>2853.1695488854607</v>
      </c>
      <c r="IN38" s="338"/>
      <c r="IO38" s="338"/>
      <c r="IP38" s="338"/>
    </row>
    <row r="39" spans="1:250" s="314" customFormat="1" ht="12" x14ac:dyDescent="0.25">
      <c r="A39" s="310">
        <v>24</v>
      </c>
      <c r="B39" s="311"/>
      <c r="C39" s="311"/>
      <c r="D39" s="380"/>
      <c r="E39" s="380"/>
      <c r="F39" s="312">
        <f>IF(C39="",INDEX(Matl!$C$15:$K$15,MATCH(D39,Matl!$C$2:$K$2,0)),C39)</f>
        <v>0</v>
      </c>
      <c r="G39" s="313"/>
      <c r="H39" s="313"/>
      <c r="I39" s="313"/>
      <c r="J39" s="313"/>
      <c r="K39" s="313"/>
      <c r="M39" s="315"/>
      <c r="N39" s="315"/>
      <c r="O39" s="315"/>
      <c r="P39" s="316"/>
      <c r="Q39" s="316"/>
      <c r="R39" s="316"/>
      <c r="S39" s="316"/>
      <c r="T39" s="315"/>
      <c r="U39" s="317"/>
      <c r="V39" s="317"/>
      <c r="W39" s="317">
        <f t="shared" si="3"/>
        <v>0</v>
      </c>
      <c r="X39" s="317"/>
      <c r="Y39" s="317"/>
      <c r="Z39" s="318" t="str">
        <f t="shared" si="4"/>
        <v/>
      </c>
      <c r="AA39" s="319" t="str">
        <f t="shared" si="5"/>
        <v/>
      </c>
      <c r="AB39" s="314" t="str">
        <f t="shared" si="6"/>
        <v/>
      </c>
      <c r="AC39" s="320">
        <f t="shared" si="7"/>
        <v>0</v>
      </c>
      <c r="AD39" s="320">
        <f>IF(D39="",0,SUM(F15:F39))</f>
        <v>0</v>
      </c>
      <c r="AE39" s="320">
        <f>IF(D39="",0,SUM(F16:F50)/2-AD39)</f>
        <v>0</v>
      </c>
      <c r="AF39" s="320">
        <f t="shared" si="8"/>
        <v>0</v>
      </c>
      <c r="AG39" s="320">
        <f>IF(D39="",0,(AD39+AD38)/2-SUM(F16:F50)/2)</f>
        <v>0</v>
      </c>
      <c r="AH39" s="321">
        <f ca="1">IF(D39="",0,INDEX(INDIRECT($AE$60),MATCH(AH$14,Matl!$B$3:$B$17,0),MATCH(D39,Matl!$D$2:$K$2,0)))</f>
        <v>0</v>
      </c>
      <c r="AI39" s="321">
        <f ca="1">IF(D39="",0,INDEX(INDIRECT($AE$60),MATCH(AI$14,Matl!$B$3:$B$17,0),MATCH(D39,Matl!$D$2:$K$2,0)))</f>
        <v>0</v>
      </c>
      <c r="AJ39" s="321">
        <f ca="1">IF(D39="",0,INDEX(INDIRECT(AE60),MATCH(AJ14,Matl!B3:B15,0),MATCH(D39,Matl!D2:K2,0)))</f>
        <v>0</v>
      </c>
      <c r="AK39" s="322">
        <f t="shared" si="9"/>
        <v>0</v>
      </c>
      <c r="AL39" s="321">
        <f ca="1">IF(D39="",0,INDEX(INDIRECT(AE60),MATCH(AL14,Matl!B3:B15,0),MATCH(D39,Matl!D2:K2,0)))</f>
        <v>0</v>
      </c>
      <c r="AM39" s="323">
        <f ca="1">IF(D39="",0,INDEX(INDIRECT(AE60),MATCH(AM14,Matl!B3:B15,0),MATCH(D39,Matl!D2:K2,0)))</f>
        <v>0</v>
      </c>
      <c r="AN39" s="323">
        <f ca="1">IF(D39="",0,INDEX(INDIRECT(AE60),MATCH(AN14,Matl!B3:B15,0),MATCH(D39,Matl!D2:K2,0)))</f>
        <v>0</v>
      </c>
      <c r="AO39" s="323">
        <f ca="1">IF(D39="",0,INDEX(INDIRECT(AE60),MATCH(AO14,Matl!B3:B15,0),MATCH(D39,Matl!D2:K2,0)))</f>
        <v>0</v>
      </c>
      <c r="AP39" s="323">
        <f ca="1">IF(D39="",0,INDEX(INDIRECT(AE60),MATCH(AP14,Matl!B3:B15,0),MATCH(D39,Matl!D2:K2,0)))</f>
        <v>0</v>
      </c>
      <c r="AQ39" s="323">
        <f ca="1">IF(D39="",0,INDEX(INDIRECT(AE60),MATCH(AQ14,Matl!B3:B15,0),MATCH(D39,Matl!D2:K2,0)))</f>
        <v>0</v>
      </c>
      <c r="AR39" s="321"/>
      <c r="AS39" s="321"/>
      <c r="AT39" s="324">
        <f t="shared" ca="1" si="10"/>
        <v>0</v>
      </c>
      <c r="AU39" s="325">
        <f t="shared" ca="1" si="11"/>
        <v>0</v>
      </c>
      <c r="AV39" s="325">
        <f t="shared" ca="1" si="12"/>
        <v>0</v>
      </c>
      <c r="AW39" s="325">
        <f t="shared" ca="1" si="13"/>
        <v>0</v>
      </c>
      <c r="AX39" s="326">
        <v>0</v>
      </c>
      <c r="AY39" s="326">
        <v>0</v>
      </c>
      <c r="AZ39" s="326">
        <v>0</v>
      </c>
      <c r="BA39" s="326">
        <v>0</v>
      </c>
      <c r="BB39" s="327">
        <f t="shared" ca="1" si="14"/>
        <v>0</v>
      </c>
      <c r="BC39" s="328"/>
      <c r="BD39" s="324">
        <f t="shared" ca="1" si="15"/>
        <v>0</v>
      </c>
      <c r="BE39" s="325">
        <f t="shared" ca="1" si="16"/>
        <v>0</v>
      </c>
      <c r="BF39" s="325">
        <f t="shared" ca="1" si="17"/>
        <v>0</v>
      </c>
      <c r="BG39" s="325">
        <f t="shared" ca="1" si="18"/>
        <v>0</v>
      </c>
      <c r="BH39" s="325">
        <f t="shared" ca="1" si="19"/>
        <v>0</v>
      </c>
      <c r="BI39" s="325">
        <f t="shared" ca="1" si="20"/>
        <v>0</v>
      </c>
      <c r="BJ39" s="325">
        <f t="shared" ca="1" si="21"/>
        <v>0</v>
      </c>
      <c r="BK39" s="325">
        <f t="shared" ca="1" si="22"/>
        <v>0</v>
      </c>
      <c r="BL39" s="329">
        <f t="shared" ca="1" si="23"/>
        <v>0</v>
      </c>
      <c r="BM39" s="330"/>
      <c r="BN39" s="324">
        <f t="shared" ca="1" si="24"/>
        <v>0</v>
      </c>
      <c r="BO39" s="325">
        <f t="shared" ca="1" si="25"/>
        <v>0</v>
      </c>
      <c r="BP39" s="325">
        <f t="shared" ca="1" si="26"/>
        <v>0</v>
      </c>
      <c r="BQ39" s="325">
        <f t="shared" ca="1" si="27"/>
        <v>0</v>
      </c>
      <c r="BR39" s="325">
        <f t="shared" ca="1" si="28"/>
        <v>0</v>
      </c>
      <c r="BS39" s="325">
        <f t="shared" ca="1" si="29"/>
        <v>0</v>
      </c>
      <c r="BT39" s="325">
        <f t="shared" ca="1" si="30"/>
        <v>0</v>
      </c>
      <c r="BU39" s="325">
        <f t="shared" ca="1" si="31"/>
        <v>0</v>
      </c>
      <c r="BV39" s="329">
        <f t="shared" ca="1" si="32"/>
        <v>0</v>
      </c>
      <c r="BW39" s="330"/>
      <c r="BX39" s="325">
        <f t="shared" ca="1" si="33"/>
        <v>0</v>
      </c>
      <c r="BY39" s="325">
        <f t="shared" ca="1" si="34"/>
        <v>0</v>
      </c>
      <c r="BZ39" s="325">
        <f t="shared" ca="1" si="35"/>
        <v>0</v>
      </c>
      <c r="CA39" s="325">
        <f t="shared" ca="1" si="36"/>
        <v>0</v>
      </c>
      <c r="CB39" s="325">
        <f t="shared" ca="1" si="37"/>
        <v>0</v>
      </c>
      <c r="CC39" s="325">
        <f t="shared" ca="1" si="38"/>
        <v>0</v>
      </c>
      <c r="CD39" s="325">
        <f t="shared" ca="1" si="39"/>
        <v>0</v>
      </c>
      <c r="CE39" s="325">
        <f t="shared" ca="1" si="40"/>
        <v>0</v>
      </c>
      <c r="CF39" s="325">
        <f t="shared" ca="1" si="41"/>
        <v>0</v>
      </c>
      <c r="CG39" s="330"/>
      <c r="CH39" s="331">
        <f t="shared" ca="1" si="42"/>
        <v>0</v>
      </c>
      <c r="CI39" s="332">
        <f t="shared" ca="1" si="43"/>
        <v>0</v>
      </c>
      <c r="CJ39" s="332">
        <f t="shared" ca="1" si="44"/>
        <v>0</v>
      </c>
      <c r="CK39" s="332">
        <f t="shared" ca="1" si="45"/>
        <v>0</v>
      </c>
      <c r="CL39" s="332">
        <f t="shared" ca="1" si="46"/>
        <v>0</v>
      </c>
      <c r="CM39" s="332">
        <f t="shared" ca="1" si="47"/>
        <v>0</v>
      </c>
      <c r="CN39" s="332">
        <f t="shared" ca="1" si="48"/>
        <v>0</v>
      </c>
      <c r="CO39" s="332">
        <f t="shared" ca="1" si="49"/>
        <v>0</v>
      </c>
      <c r="CP39" s="333">
        <f t="shared" ca="1" si="50"/>
        <v>0</v>
      </c>
      <c r="CR39" s="334"/>
      <c r="CS39" s="335"/>
      <c r="CT39" s="335"/>
      <c r="CU39" s="336" t="s">
        <v>133</v>
      </c>
      <c r="CV39" s="337">
        <f ca="1">AE72</f>
        <v>-2.771243444540907E-4</v>
      </c>
      <c r="CW39" s="338"/>
      <c r="CX39" s="369">
        <f ca="1">BI23</f>
        <v>0</v>
      </c>
      <c r="CY39" s="370">
        <f ca="1">BJ23</f>
        <v>0</v>
      </c>
      <c r="CZ39" s="371">
        <f ca="1">BL23</f>
        <v>3636694.5948847961</v>
      </c>
      <c r="DA39" s="338"/>
      <c r="DB39" s="342">
        <f ca="1"/>
        <v>-1007.8166055871841</v>
      </c>
      <c r="DC39" s="338"/>
      <c r="DD39" s="343">
        <f ca="1">-AE75*AE39/F69</f>
        <v>0</v>
      </c>
      <c r="DE39" s="344">
        <f ca="1">-AE75*AF39/F69</f>
        <v>0</v>
      </c>
      <c r="DF39" s="344">
        <f ca="1">-AE76*AE39/F70</f>
        <v>0</v>
      </c>
      <c r="DG39" s="344">
        <f ca="1">-AE76*AF39/F70</f>
        <v>0</v>
      </c>
      <c r="DH39" s="344">
        <f ca="1">-AE77*AE39/F69</f>
        <v>0</v>
      </c>
      <c r="DI39" s="345">
        <f ca="1">-AE77*AF39/F69</f>
        <v>0</v>
      </c>
      <c r="DJ39" s="338"/>
      <c r="DK39" s="338"/>
      <c r="DL39" s="338"/>
      <c r="DM39" s="346" t="s">
        <v>133</v>
      </c>
      <c r="DN39" s="347">
        <f ca="1">INDEX(DI16:DI115,MATCH(DJ37,A16:A50,0))</f>
        <v>3.1055803186387748E-3</v>
      </c>
      <c r="DO39" s="338"/>
      <c r="DP39" s="338"/>
      <c r="DQ39" s="346" t="s">
        <v>134</v>
      </c>
      <c r="DR39" s="347">
        <f ca="1">INDEX(DH16:DH115,MATCH(DJ37,A16:A50,0))</f>
        <v>2.0703868790925154E-3</v>
      </c>
      <c r="DS39" s="338"/>
      <c r="DT39" s="369">
        <f t="shared" ca="1" si="184"/>
        <v>0</v>
      </c>
      <c r="DU39" s="370">
        <f t="shared" ca="1" si="102"/>
        <v>0</v>
      </c>
      <c r="DV39" s="371">
        <f t="shared" ca="1" si="103"/>
        <v>3636694.5948847961</v>
      </c>
      <c r="DW39" s="338"/>
      <c r="DX39" s="349">
        <f ca="1"/>
        <v>11294.047158774236</v>
      </c>
      <c r="DY39" s="349"/>
      <c r="DZ39" s="349">
        <f ca="1"/>
        <v>7529.3647725161527</v>
      </c>
      <c r="EB39" s="350">
        <f t="shared" ca="1" si="52"/>
        <v>0</v>
      </c>
      <c r="EC39" s="351">
        <f t="shared" ca="1" si="53"/>
        <v>0</v>
      </c>
      <c r="ED39" s="352">
        <f t="shared" ca="1" si="54"/>
        <v>0</v>
      </c>
      <c r="EE39" s="350">
        <f t="shared" ca="1" si="55"/>
        <v>0</v>
      </c>
      <c r="EF39" s="351">
        <f t="shared" ca="1" si="56"/>
        <v>0</v>
      </c>
      <c r="EG39" s="351">
        <f t="shared" ca="1" si="57"/>
        <v>0</v>
      </c>
      <c r="EH39" s="351">
        <f t="shared" ca="1" si="58"/>
        <v>0</v>
      </c>
      <c r="EI39" s="351">
        <f t="shared" ca="1" si="59"/>
        <v>0</v>
      </c>
      <c r="EJ39" s="352">
        <f t="shared" ca="1" si="60"/>
        <v>0</v>
      </c>
      <c r="EK39" s="350">
        <f t="shared" ca="1" si="129"/>
        <v>0</v>
      </c>
      <c r="EL39" s="351">
        <f t="shared" ca="1" si="130"/>
        <v>0</v>
      </c>
      <c r="EM39" s="351">
        <f t="shared" ca="1" si="131"/>
        <v>0</v>
      </c>
      <c r="EN39" s="351">
        <f t="shared" ca="1" si="132"/>
        <v>0</v>
      </c>
      <c r="EO39" s="351">
        <f t="shared" ca="1" si="133"/>
        <v>0</v>
      </c>
      <c r="EP39" s="352">
        <f t="shared" ca="1" si="134"/>
        <v>0</v>
      </c>
      <c r="EQ39" s="323">
        <f t="shared" ca="1" si="135"/>
        <v>0</v>
      </c>
      <c r="ER39" s="323">
        <f t="shared" ca="1" si="136"/>
        <v>0</v>
      </c>
      <c r="ES39" s="323">
        <f t="shared" ca="1" si="137"/>
        <v>0</v>
      </c>
      <c r="ET39" s="323">
        <f t="shared" ca="1" si="138"/>
        <v>0</v>
      </c>
      <c r="EU39" s="323">
        <f t="shared" ca="1" si="139"/>
        <v>0</v>
      </c>
      <c r="EV39" s="323">
        <f t="shared" ca="1" si="140"/>
        <v>0</v>
      </c>
      <c r="EW39" s="323">
        <f t="shared" ca="1" si="141"/>
        <v>0</v>
      </c>
      <c r="EX39" s="323">
        <f t="shared" ca="1" si="142"/>
        <v>0</v>
      </c>
      <c r="EY39" s="353" t="e">
        <f t="shared" ca="1" si="143"/>
        <v>#DIV/0!</v>
      </c>
      <c r="EZ39" s="353" t="e">
        <f t="shared" ca="1" si="144"/>
        <v>#DIV/0!</v>
      </c>
      <c r="FA39" s="321" t="e">
        <f t="shared" ca="1" si="145"/>
        <v>#DIV/0!</v>
      </c>
      <c r="FB39" s="354" t="e">
        <f t="shared" ca="1" si="146"/>
        <v>#DIV/0!</v>
      </c>
      <c r="FC39" s="321" t="e">
        <f t="shared" ca="1" si="147"/>
        <v>#DIV/0!</v>
      </c>
      <c r="FD39" s="321" t="e">
        <f t="shared" ca="1" si="148"/>
        <v>#DIV/0!</v>
      </c>
      <c r="FE39" s="355" t="e">
        <f t="shared" ca="1" si="149"/>
        <v>#DIV/0!</v>
      </c>
      <c r="FF39" s="338" t="e">
        <f t="shared" ca="1" si="150"/>
        <v>#DIV/0!</v>
      </c>
      <c r="FG39" s="335" t="e">
        <f t="shared" ca="1" si="151"/>
        <v>#DIV/0!</v>
      </c>
      <c r="FH39" s="356" t="e">
        <f t="shared" ca="1" si="152"/>
        <v>#DIV/0!</v>
      </c>
      <c r="FI39" s="335" t="e">
        <f t="shared" ca="1" si="153"/>
        <v>#DIV/0!</v>
      </c>
      <c r="FJ39" s="357" t="e">
        <f t="shared" ca="1" si="176"/>
        <v>#DIV/0!</v>
      </c>
      <c r="FK39" s="357" t="e">
        <f t="shared" ca="1" si="177"/>
        <v>#DIV/0!</v>
      </c>
      <c r="FL39" s="357" t="e">
        <f t="shared" ca="1" si="178"/>
        <v>#DIV/0!</v>
      </c>
      <c r="FM39" s="357" t="e">
        <f t="shared" ca="1" si="179"/>
        <v>#DIV/0!</v>
      </c>
      <c r="FN39" s="357" t="e">
        <f t="shared" ca="1" si="180"/>
        <v>#DIV/0!</v>
      </c>
      <c r="FO39" s="357" t="e">
        <f t="shared" ca="1" si="154"/>
        <v>#DIV/0!</v>
      </c>
      <c r="FP39" s="357" t="e">
        <f t="shared" ca="1" si="155"/>
        <v>#DIV/0!</v>
      </c>
      <c r="FR39" s="358"/>
      <c r="FS39" s="326">
        <v>0</v>
      </c>
      <c r="FT39" s="359">
        <f>FT38</f>
        <v>3.4393700787401553E-2</v>
      </c>
      <c r="FU39" s="326">
        <v>0</v>
      </c>
      <c r="FV39" s="359">
        <f t="shared" si="181"/>
        <v>3.4393700787401553E-2</v>
      </c>
      <c r="FW39" s="359">
        <v>0</v>
      </c>
      <c r="FX39" s="360">
        <f t="shared" si="182"/>
        <v>3.4393700787401553E-2</v>
      </c>
      <c r="FY39" s="358"/>
      <c r="FZ39" s="326">
        <v>0</v>
      </c>
      <c r="GA39" s="359">
        <f>GA38</f>
        <v>3.4393700787401553E-2</v>
      </c>
      <c r="GB39" s="326">
        <v>0</v>
      </c>
      <c r="GC39" s="362">
        <f t="shared" si="105"/>
        <v>3.4393700787401553E-2</v>
      </c>
      <c r="GD39" s="326">
        <v>0</v>
      </c>
      <c r="GE39" s="363">
        <f t="shared" si="183"/>
        <v>3.4393700787401553E-2</v>
      </c>
      <c r="GF39" s="364"/>
      <c r="GG39" s="365">
        <v>0</v>
      </c>
      <c r="GH39" s="320">
        <f>GH38</f>
        <v>3.4393700787401553E-2</v>
      </c>
      <c r="GI39" s="366">
        <v>0</v>
      </c>
      <c r="GJ39" s="366">
        <f t="shared" si="106"/>
        <v>3.4393700787401553E-2</v>
      </c>
      <c r="GK39" s="366">
        <v>0</v>
      </c>
      <c r="GL39" s="366">
        <f t="shared" si="107"/>
        <v>3.4393700787401553E-2</v>
      </c>
      <c r="GN39" s="359">
        <f t="shared" si="69"/>
        <v>3.4393700787401553E-2</v>
      </c>
      <c r="GO39" s="367"/>
      <c r="GP39" s="367"/>
      <c r="GQ39" s="367"/>
      <c r="GR39" s="367"/>
      <c r="GS39" s="367"/>
      <c r="GT39" s="367"/>
      <c r="GU39" s="367"/>
      <c r="HH39" s="321" t="str">
        <f ca="1">IF(D38="","",INDEX(INDIRECT(AE60),MATCH(HH15,Matl!B3:B29,0),MATCH(D38,Matl!D2:K2,0)))</f>
        <v/>
      </c>
      <c r="HI39" s="314" t="str">
        <f ca="1">IF(D38="","",INDEX(INDIRECT(AE60),MATCH(HI15,Matl!B3:B29,0),MATCH(D38,Matl!D2:K2,0)))</f>
        <v/>
      </c>
      <c r="HO39" s="338"/>
      <c r="HP39" s="338"/>
      <c r="HQ39" s="338"/>
      <c r="HR39" s="338"/>
      <c r="HS39" s="338"/>
      <c r="HT39" s="338"/>
      <c r="HU39" s="338"/>
      <c r="HV39" s="338"/>
      <c r="HW39" s="338"/>
      <c r="HX39" s="338"/>
      <c r="HY39" s="338"/>
      <c r="HZ39" s="338"/>
      <c r="IA39" s="338"/>
      <c r="IB39" s="338"/>
      <c r="IC39" s="338"/>
      <c r="ID39" s="338">
        <f>IP31</f>
        <v>0</v>
      </c>
      <c r="IE39" s="338">
        <f>-IO31</f>
        <v>0</v>
      </c>
      <c r="IF39" s="338"/>
      <c r="IG39" s="338"/>
      <c r="IH39" s="338"/>
      <c r="II39" s="338"/>
      <c r="IJ39" s="338">
        <v>12</v>
      </c>
      <c r="IK39" s="342">
        <f>IK27-(IK27-IK57)*IJ39/(IJ56+1)</f>
        <v>1.2566370614359172</v>
      </c>
      <c r="IL39" s="338">
        <f ca="1">IK25*SIN(IK55)</f>
        <v>623.73507245327789</v>
      </c>
      <c r="IM39" s="338">
        <f ca="1">IK25*SIN(IK40)+IF27</f>
        <v>2934.4428022014172</v>
      </c>
      <c r="IN39" s="338"/>
      <c r="IO39" s="338"/>
      <c r="IP39" s="338"/>
    </row>
    <row r="40" spans="1:250" s="314" customFormat="1" ht="12" x14ac:dyDescent="0.25">
      <c r="A40" s="310">
        <v>25</v>
      </c>
      <c r="B40" s="311"/>
      <c r="C40" s="311"/>
      <c r="D40" s="380"/>
      <c r="E40" s="380"/>
      <c r="F40" s="312">
        <f>IF(C40="",INDEX(Matl!$C$15:$K$15,MATCH(D40,Matl!$C$2:$K$2,0)),C40)</f>
        <v>0</v>
      </c>
      <c r="G40" s="313"/>
      <c r="H40" s="313"/>
      <c r="I40" s="313"/>
      <c r="J40" s="313"/>
      <c r="K40" s="313"/>
      <c r="M40" s="315"/>
      <c r="N40" s="315"/>
      <c r="O40" s="315"/>
      <c r="P40" s="316"/>
      <c r="Q40" s="316"/>
      <c r="R40" s="316"/>
      <c r="S40" s="316"/>
      <c r="T40" s="315"/>
      <c r="U40" s="317"/>
      <c r="V40" s="317"/>
      <c r="W40" s="317">
        <f t="shared" si="3"/>
        <v>0</v>
      </c>
      <c r="X40" s="317"/>
      <c r="Y40" s="317"/>
      <c r="Z40" s="318" t="str">
        <f t="shared" si="4"/>
        <v/>
      </c>
      <c r="AA40" s="319" t="str">
        <f t="shared" si="5"/>
        <v/>
      </c>
      <c r="AB40" s="314" t="str">
        <f t="shared" si="6"/>
        <v/>
      </c>
      <c r="AC40" s="320">
        <f t="shared" si="7"/>
        <v>0</v>
      </c>
      <c r="AD40" s="320">
        <f>IF(D40="",0,SUM(F15:F40))</f>
        <v>0</v>
      </c>
      <c r="AE40" s="320">
        <f>IF(D40="",0,SUM(F16:F50)/2-AD40)</f>
        <v>0</v>
      </c>
      <c r="AF40" s="320">
        <f t="shared" si="8"/>
        <v>0</v>
      </c>
      <c r="AG40" s="320">
        <f>IF(D40="",0,(AD40+AD39)/2-SUM(F16:F50)/2)</f>
        <v>0</v>
      </c>
      <c r="AH40" s="321">
        <f ca="1">IF(D40="",0,INDEX(INDIRECT($AE$60),MATCH(AH$14,Matl!$B$3:$B$17,0),MATCH(D40,Matl!$D$2:$K$2,0)))</f>
        <v>0</v>
      </c>
      <c r="AI40" s="321">
        <f ca="1">IF(D40="",0,INDEX(INDIRECT($AE$60),MATCH(AI$14,Matl!$B$3:$B$17,0),MATCH(D40,Matl!$D$2:$K$2,0)))</f>
        <v>0</v>
      </c>
      <c r="AJ40" s="321">
        <f ca="1">IF(D40="",0,INDEX(INDIRECT(AE60),MATCH(AJ14,Matl!B3:B15,0),MATCH(D40,Matl!D2:K2,0)))</f>
        <v>0</v>
      </c>
      <c r="AK40" s="322">
        <f t="shared" si="9"/>
        <v>0</v>
      </c>
      <c r="AL40" s="321">
        <f ca="1">IF(D40="",0,INDEX(INDIRECT(AE60),MATCH(AL14,Matl!B3:B15,0),MATCH(D40,Matl!D2:K2,0)))</f>
        <v>0</v>
      </c>
      <c r="AM40" s="323">
        <f ca="1">IF(D40="",0,INDEX(INDIRECT(AE60),MATCH(AM14,Matl!B3:B15,0),MATCH(D40,Matl!D2:K2,0)))</f>
        <v>0</v>
      </c>
      <c r="AN40" s="323">
        <f ca="1">IF(D40="",0,INDEX(INDIRECT(AE60),MATCH(AN14,Matl!B3:B15,0),MATCH(D40,Matl!D2:K2,0)))</f>
        <v>0</v>
      </c>
      <c r="AO40" s="323">
        <f ca="1">IF(D40="",0,INDEX(INDIRECT(AE60),MATCH(AO14,Matl!B3:B15,0),MATCH(D40,Matl!D2:K2,0)))</f>
        <v>0</v>
      </c>
      <c r="AP40" s="323">
        <f ca="1">IF(D40="",0,INDEX(INDIRECT(AE60),MATCH(AP14,Matl!B3:B15,0),MATCH(D40,Matl!D2:K2,0)))</f>
        <v>0</v>
      </c>
      <c r="AQ40" s="323">
        <f ca="1">IF(D40="",0,INDEX(INDIRECT(AE60),MATCH(AQ14,Matl!B3:B15,0),MATCH(D40,Matl!D2:K2,0)))</f>
        <v>0</v>
      </c>
      <c r="AR40" s="321"/>
      <c r="AS40" s="321"/>
      <c r="AT40" s="324">
        <f t="shared" ca="1" si="10"/>
        <v>0</v>
      </c>
      <c r="AU40" s="325">
        <f t="shared" ca="1" si="11"/>
        <v>0</v>
      </c>
      <c r="AV40" s="325">
        <f t="shared" ca="1" si="12"/>
        <v>0</v>
      </c>
      <c r="AW40" s="325">
        <f t="shared" ca="1" si="13"/>
        <v>0</v>
      </c>
      <c r="AX40" s="326">
        <v>0</v>
      </c>
      <c r="AY40" s="326">
        <v>0</v>
      </c>
      <c r="AZ40" s="326">
        <v>0</v>
      </c>
      <c r="BA40" s="326">
        <v>0</v>
      </c>
      <c r="BB40" s="327">
        <f t="shared" ca="1" si="14"/>
        <v>0</v>
      </c>
      <c r="BC40" s="328"/>
      <c r="BD40" s="324">
        <f t="shared" ca="1" si="15"/>
        <v>0</v>
      </c>
      <c r="BE40" s="325">
        <f t="shared" ca="1" si="16"/>
        <v>0</v>
      </c>
      <c r="BF40" s="325">
        <f t="shared" ca="1" si="17"/>
        <v>0</v>
      </c>
      <c r="BG40" s="325">
        <f t="shared" ca="1" si="18"/>
        <v>0</v>
      </c>
      <c r="BH40" s="325">
        <f t="shared" ca="1" si="19"/>
        <v>0</v>
      </c>
      <c r="BI40" s="325">
        <f t="shared" ca="1" si="20"/>
        <v>0</v>
      </c>
      <c r="BJ40" s="325">
        <f t="shared" ca="1" si="21"/>
        <v>0</v>
      </c>
      <c r="BK40" s="325">
        <f t="shared" ca="1" si="22"/>
        <v>0</v>
      </c>
      <c r="BL40" s="329">
        <f t="shared" ca="1" si="23"/>
        <v>0</v>
      </c>
      <c r="BM40" s="330"/>
      <c r="BN40" s="324">
        <f t="shared" ca="1" si="24"/>
        <v>0</v>
      </c>
      <c r="BO40" s="325">
        <f t="shared" ca="1" si="25"/>
        <v>0</v>
      </c>
      <c r="BP40" s="325">
        <f t="shared" ca="1" si="26"/>
        <v>0</v>
      </c>
      <c r="BQ40" s="325">
        <f t="shared" ca="1" si="27"/>
        <v>0</v>
      </c>
      <c r="BR40" s="325">
        <f t="shared" ca="1" si="28"/>
        <v>0</v>
      </c>
      <c r="BS40" s="325">
        <f t="shared" ca="1" si="29"/>
        <v>0</v>
      </c>
      <c r="BT40" s="325">
        <f t="shared" ca="1" si="30"/>
        <v>0</v>
      </c>
      <c r="BU40" s="325">
        <f t="shared" ca="1" si="31"/>
        <v>0</v>
      </c>
      <c r="BV40" s="329">
        <f t="shared" ca="1" si="32"/>
        <v>0</v>
      </c>
      <c r="BW40" s="330"/>
      <c r="BX40" s="325">
        <f t="shared" ca="1" si="33"/>
        <v>0</v>
      </c>
      <c r="BY40" s="325">
        <f t="shared" ca="1" si="34"/>
        <v>0</v>
      </c>
      <c r="BZ40" s="325">
        <f t="shared" ca="1" si="35"/>
        <v>0</v>
      </c>
      <c r="CA40" s="325">
        <f t="shared" ca="1" si="36"/>
        <v>0</v>
      </c>
      <c r="CB40" s="325">
        <f t="shared" ca="1" si="37"/>
        <v>0</v>
      </c>
      <c r="CC40" s="325">
        <f t="shared" ca="1" si="38"/>
        <v>0</v>
      </c>
      <c r="CD40" s="325">
        <f t="shared" ca="1" si="39"/>
        <v>0</v>
      </c>
      <c r="CE40" s="325">
        <f t="shared" ca="1" si="40"/>
        <v>0</v>
      </c>
      <c r="CF40" s="325">
        <f t="shared" ca="1" si="41"/>
        <v>0</v>
      </c>
      <c r="CG40" s="330"/>
      <c r="CH40" s="331">
        <f t="shared" ca="1" si="42"/>
        <v>0</v>
      </c>
      <c r="CI40" s="332">
        <f t="shared" ca="1" si="43"/>
        <v>0</v>
      </c>
      <c r="CJ40" s="332">
        <f t="shared" ca="1" si="44"/>
        <v>0</v>
      </c>
      <c r="CK40" s="332">
        <f t="shared" ca="1" si="45"/>
        <v>0</v>
      </c>
      <c r="CL40" s="332">
        <f t="shared" ca="1" si="46"/>
        <v>0</v>
      </c>
      <c r="CM40" s="332">
        <f t="shared" ca="1" si="47"/>
        <v>0</v>
      </c>
      <c r="CN40" s="332">
        <f t="shared" ca="1" si="48"/>
        <v>0</v>
      </c>
      <c r="CO40" s="332">
        <f t="shared" ca="1" si="49"/>
        <v>0</v>
      </c>
      <c r="CP40" s="333">
        <f t="shared" ca="1" si="50"/>
        <v>0</v>
      </c>
      <c r="CR40" s="334">
        <f>CR37+1</f>
        <v>9</v>
      </c>
      <c r="CS40" s="335"/>
      <c r="CT40" s="335"/>
      <c r="CU40" s="336" t="s">
        <v>129</v>
      </c>
      <c r="CV40" s="337">
        <f ca="1">AE70</f>
        <v>4.5648610417658959E-4</v>
      </c>
      <c r="CW40" s="338"/>
      <c r="CX40" s="339">
        <f ca="1">BD24</f>
        <v>7729425.2813704489</v>
      </c>
      <c r="CY40" s="340">
        <f ca="1">BF24</f>
        <v>456036.09160085651</v>
      </c>
      <c r="CZ40" s="341">
        <f ca="1">BH24</f>
        <v>0</v>
      </c>
      <c r="DA40" s="338"/>
      <c r="DB40" s="342">
        <f t="array" aca="1" ref="DB40:DB42" ca="1">MMULT(CX40:CZ42,CV40:CV42)</f>
        <v>3546.9813186371889</v>
      </c>
      <c r="DC40" s="338"/>
      <c r="DD40" s="343">
        <f ca="1">-AE75*AE40/F69</f>
        <v>0</v>
      </c>
      <c r="DE40" s="344">
        <f ca="1">-AE75*AF40/F69</f>
        <v>0</v>
      </c>
      <c r="DF40" s="344">
        <f ca="1">-AE76*AE40/F70</f>
        <v>0</v>
      </c>
      <c r="DG40" s="344">
        <f ca="1">-AE76*AF40/F70</f>
        <v>0</v>
      </c>
      <c r="DH40" s="344">
        <f ca="1">-AE77*AE40/F69</f>
        <v>0</v>
      </c>
      <c r="DI40" s="345">
        <f ca="1">-AE77*AF40/F69</f>
        <v>0</v>
      </c>
      <c r="DJ40" s="338">
        <f>DJ37+1</f>
        <v>9</v>
      </c>
      <c r="DK40" s="338"/>
      <c r="DL40" s="338"/>
      <c r="DM40" s="346" t="s">
        <v>129</v>
      </c>
      <c r="DN40" s="347">
        <f ca="1">INDEX(DE16:DE115,MATCH(DJ40,A16:A50,0))</f>
        <v>-1.7170822678694809E-3</v>
      </c>
      <c r="DO40" s="338"/>
      <c r="DP40" s="338"/>
      <c r="DQ40" s="346" t="s">
        <v>130</v>
      </c>
      <c r="DR40" s="347">
        <f ca="1">INDEX(DD16:DD115,MATCH(DJ40,A16:A50,0))</f>
        <v>-8.5854113393473948E-4</v>
      </c>
      <c r="DS40" s="338"/>
      <c r="DT40" s="339">
        <f ca="1">CX40</f>
        <v>7729425.2813704489</v>
      </c>
      <c r="DU40" s="340">
        <f t="shared" ca="1" si="102"/>
        <v>456036.09160085651</v>
      </c>
      <c r="DV40" s="341">
        <f t="shared" ca="1" si="103"/>
        <v>0</v>
      </c>
      <c r="DW40" s="338"/>
      <c r="DX40" s="349">
        <f t="array" aca="1" ref="DX40:DX42" ca="1">MMULT(DT40:DV42,DN40:DN42)</f>
        <v>-13393.280394748934</v>
      </c>
      <c r="DY40" s="349"/>
      <c r="DZ40" s="349">
        <f t="array" aca="1" ref="DZ40:DZ42" ca="1">MMULT(DT40:DV42,DR40:DR42)</f>
        <v>-6696.6401973744596</v>
      </c>
      <c r="EB40" s="350">
        <f t="shared" ca="1" si="52"/>
        <v>0</v>
      </c>
      <c r="EC40" s="351">
        <f t="shared" ca="1" si="53"/>
        <v>0</v>
      </c>
      <c r="ED40" s="352">
        <f t="shared" ca="1" si="54"/>
        <v>0</v>
      </c>
      <c r="EE40" s="350">
        <f t="shared" ca="1" si="55"/>
        <v>0</v>
      </c>
      <c r="EF40" s="351">
        <f t="shared" ca="1" si="56"/>
        <v>0</v>
      </c>
      <c r="EG40" s="351">
        <f t="shared" ca="1" si="57"/>
        <v>0</v>
      </c>
      <c r="EH40" s="351">
        <f t="shared" ca="1" si="58"/>
        <v>0</v>
      </c>
      <c r="EI40" s="351">
        <f t="shared" ca="1" si="59"/>
        <v>0</v>
      </c>
      <c r="EJ40" s="352">
        <f t="shared" ca="1" si="60"/>
        <v>0</v>
      </c>
      <c r="EK40" s="350">
        <f ca="1">EE40+EB40</f>
        <v>0</v>
      </c>
      <c r="EL40" s="351">
        <f ca="1">EF40+EB40</f>
        <v>0</v>
      </c>
      <c r="EM40" s="351">
        <f ca="1">EG40+EC40</f>
        <v>0</v>
      </c>
      <c r="EN40" s="351">
        <f ca="1">EH40+EC40</f>
        <v>0</v>
      </c>
      <c r="EO40" s="351">
        <f ca="1">EI40+ED40</f>
        <v>0</v>
      </c>
      <c r="EP40" s="352">
        <f ca="1">EJ40+ED40</f>
        <v>0</v>
      </c>
      <c r="EQ40" s="323">
        <f ca="1">IF(ABS(MIN(EK40:EL40))&gt;MAX(EK40:EL40),MIN(EK40:EL40),MAX(EK40:EL40))</f>
        <v>0</v>
      </c>
      <c r="ER40" s="323">
        <f ca="1">IF(ABS(MIN(EM40:EN40))&gt;MAX(EM40:EN40),MIN(EM40:EN40),MAX(EM40:EN40))</f>
        <v>0</v>
      </c>
      <c r="ES40" s="323">
        <f ca="1">IF(ABS(MIN(EO40:EP40))&gt;MAX(EO40:EP40),MIN(EO40:EP40),MAX(EO40:EP40))</f>
        <v>0</v>
      </c>
      <c r="ET40" s="323">
        <f ca="1">AM40</f>
        <v>0</v>
      </c>
      <c r="EU40" s="323">
        <f ca="1">AO40</f>
        <v>0</v>
      </c>
      <c r="EV40" s="323">
        <f ca="1">AN40</f>
        <v>0</v>
      </c>
      <c r="EW40" s="323">
        <f ca="1">AP40</f>
        <v>0</v>
      </c>
      <c r="EX40" s="323">
        <f ca="1">AQ40</f>
        <v>0</v>
      </c>
      <c r="EY40" s="353" t="e">
        <f ca="1">1/(ET40*EU40)</f>
        <v>#DIV/0!</v>
      </c>
      <c r="EZ40" s="353" t="e">
        <f ca="1">1/(EV40*EW40)</f>
        <v>#DIV/0!</v>
      </c>
      <c r="FA40" s="321" t="e">
        <f ca="1">1/EX40^2</f>
        <v>#DIV/0!</v>
      </c>
      <c r="FB40" s="354" t="e">
        <f ca="1">-1/(2*ET40*EU40)</f>
        <v>#DIV/0!</v>
      </c>
      <c r="FC40" s="321" t="e">
        <f ca="1">(1/ET40-1/EU40)</f>
        <v>#DIV/0!</v>
      </c>
      <c r="FD40" s="321" t="e">
        <f ca="1">(1/EV40-1/EW40)</f>
        <v>#DIV/0!</v>
      </c>
      <c r="FE40" s="355" t="e">
        <f ca="1">EY40*EQ40^2+EZ40*ER40^2+2*FB40*EQ40*ER40+ES40^2*FA40</f>
        <v>#DIV/0!</v>
      </c>
      <c r="FF40" s="338" t="e">
        <f ca="1">EQ40*FC40+ER40*FD40</f>
        <v>#DIV/0!</v>
      </c>
      <c r="FG40" s="335" t="e">
        <f ca="1">-0.5/(ET40*EU40*EV40*EW40)^0.5</f>
        <v>#DIV/0!</v>
      </c>
      <c r="FH40" s="356" t="e">
        <f ca="1">EY40*EQ40^2+EZ40*ER40^2+2*FG40*EQ40*ER40+ES40^2*FA40</f>
        <v>#DIV/0!</v>
      </c>
      <c r="FI40" s="335" t="e">
        <f ca="1">EQ40*FC40+ER40*FD40</f>
        <v>#DIV/0!</v>
      </c>
      <c r="FJ40" s="357" t="e">
        <f t="shared" ca="1" si="176"/>
        <v>#DIV/0!</v>
      </c>
      <c r="FK40" s="357" t="e">
        <f t="shared" ca="1" si="177"/>
        <v>#DIV/0!</v>
      </c>
      <c r="FL40" s="357" t="e">
        <f t="shared" ca="1" si="178"/>
        <v>#DIV/0!</v>
      </c>
      <c r="FM40" s="357" t="e">
        <f t="shared" ca="1" si="179"/>
        <v>#DIV/0!</v>
      </c>
      <c r="FN40" s="357" t="e">
        <f t="shared" ca="1" si="180"/>
        <v>#DIV/0!</v>
      </c>
      <c r="FO40" s="357" t="e">
        <f ca="1">IF(ER40&gt;0,EV40/ER40-1,EW40/(ABS(ER40))-1)</f>
        <v>#DIV/0!</v>
      </c>
      <c r="FP40" s="357" t="e">
        <f ca="1">EX40/ABS(ES40)-1</f>
        <v>#DIV/0!</v>
      </c>
      <c r="FR40" s="358">
        <f>FR36+1</f>
        <v>7</v>
      </c>
      <c r="FS40" s="326">
        <v>0</v>
      </c>
      <c r="FT40" s="359">
        <f>INDEX(AF16:AF115,MATCH(GF40,A16:A115,0))</f>
        <v>3.4393700787401553E-2</v>
      </c>
      <c r="FU40" s="326">
        <v>0</v>
      </c>
      <c r="FV40" s="359">
        <f>FT40</f>
        <v>3.4393700787401553E-2</v>
      </c>
      <c r="FW40" s="359">
        <v>0</v>
      </c>
      <c r="FX40" s="360">
        <f>FV40</f>
        <v>3.4393700787401553E-2</v>
      </c>
      <c r="FY40" s="358">
        <f>FY36+1</f>
        <v>7</v>
      </c>
      <c r="FZ40" s="326">
        <v>0</v>
      </c>
      <c r="GA40" s="359">
        <f>FT40</f>
        <v>3.4393700787401553E-2</v>
      </c>
      <c r="GB40" s="361">
        <v>0</v>
      </c>
      <c r="GC40" s="362">
        <f t="shared" ref="GC40:GC103" si="191">GA40</f>
        <v>3.4393700787401553E-2</v>
      </c>
      <c r="GD40" s="326">
        <v>0</v>
      </c>
      <c r="GE40" s="363">
        <f>GC40</f>
        <v>3.4393700787401553E-2</v>
      </c>
      <c r="GF40" s="364">
        <f>GF36+1</f>
        <v>7</v>
      </c>
      <c r="GG40" s="365">
        <v>0</v>
      </c>
      <c r="GH40" s="320">
        <f>FT40</f>
        <v>3.4393700787401553E-2</v>
      </c>
      <c r="GI40" s="366">
        <v>0</v>
      </c>
      <c r="GJ40" s="366">
        <f t="shared" ref="GJ40:GJ103" si="192">GH40</f>
        <v>3.4393700787401553E-2</v>
      </c>
      <c r="GK40" s="366">
        <v>0</v>
      </c>
      <c r="GL40" s="366">
        <f t="shared" ref="GL40:GL103" si="193">GH40</f>
        <v>3.4393700787401553E-2</v>
      </c>
      <c r="GM40" s="372">
        <f>GM36+1</f>
        <v>7</v>
      </c>
      <c r="GN40" s="359">
        <f t="shared" si="69"/>
        <v>3.4393700787401553E-2</v>
      </c>
      <c r="GO40" s="367"/>
      <c r="GP40" s="367"/>
      <c r="GQ40" s="367"/>
      <c r="GR40" s="367"/>
      <c r="GS40" s="367"/>
      <c r="GT40" s="367"/>
      <c r="GU40" s="367"/>
      <c r="HH40" s="321" t="str">
        <f ca="1">IF(D39="","",INDEX(INDIRECT(AE60),MATCH(HH15,Matl!B3:B29,0),MATCH(D39,Matl!D2:K2,0)))</f>
        <v/>
      </c>
      <c r="HI40" s="314" t="str">
        <f ca="1">IF(D39="","",INDEX(INDIRECT(AE60),MATCH(HI15,Matl!B3:B29,0),MATCH(D39,Matl!D2:K2,0)))</f>
        <v/>
      </c>
      <c r="HO40" s="338"/>
      <c r="HP40" s="338"/>
      <c r="HQ40" s="338"/>
      <c r="HR40" s="338"/>
      <c r="HS40" s="338"/>
      <c r="HT40" s="338"/>
      <c r="HU40" s="338"/>
      <c r="HV40" s="338"/>
      <c r="HW40" s="338"/>
      <c r="HX40" s="338"/>
      <c r="HY40" s="338"/>
      <c r="HZ40" s="338"/>
      <c r="IA40" s="338"/>
      <c r="IB40" s="338"/>
      <c r="IC40" s="338"/>
      <c r="ID40" s="338">
        <f>IP30</f>
        <v>0</v>
      </c>
      <c r="IE40" s="338">
        <f>-IO30</f>
        <v>0</v>
      </c>
      <c r="IF40" s="338"/>
      <c r="IG40" s="338"/>
      <c r="IH40" s="338"/>
      <c r="II40" s="338"/>
      <c r="IJ40" s="338">
        <v>13</v>
      </c>
      <c r="IK40" s="342">
        <f>IK27-(IK27-IK57)*IJ40/(IJ56+1)</f>
        <v>1.3613568165555772</v>
      </c>
      <c r="IL40" s="338">
        <f ca="1">IK25*SIN(IK56)</f>
        <v>313.58538980295987</v>
      </c>
      <c r="IM40" s="338">
        <f ca="1">IK25*SIN(IK41)+IF27</f>
        <v>2983.5656861048201</v>
      </c>
      <c r="IN40" s="338"/>
      <c r="IO40" s="338"/>
      <c r="IP40" s="338"/>
    </row>
    <row r="41" spans="1:250" s="314" customFormat="1" ht="12" x14ac:dyDescent="0.25">
      <c r="A41" s="310">
        <v>26</v>
      </c>
      <c r="B41" s="311"/>
      <c r="C41" s="311"/>
      <c r="D41" s="380"/>
      <c r="E41" s="380"/>
      <c r="F41" s="312">
        <f>IF(C41="",INDEX(Matl!$C$15:$K$15,MATCH(D41,Matl!$C$2:$K$2,0)),C41)</f>
        <v>0</v>
      </c>
      <c r="G41" s="313"/>
      <c r="H41" s="313"/>
      <c r="I41" s="313"/>
      <c r="J41" s="313"/>
      <c r="K41" s="313"/>
      <c r="M41" s="315"/>
      <c r="N41" s="315"/>
      <c r="O41" s="315"/>
      <c r="P41" s="316"/>
      <c r="Q41" s="316"/>
      <c r="R41" s="316"/>
      <c r="S41" s="316"/>
      <c r="T41" s="315"/>
      <c r="U41" s="317"/>
      <c r="V41" s="317"/>
      <c r="W41" s="317">
        <f t="shared" si="3"/>
        <v>0</v>
      </c>
      <c r="X41" s="317"/>
      <c r="Y41" s="317"/>
      <c r="Z41" s="318" t="str">
        <f t="shared" si="4"/>
        <v/>
      </c>
      <c r="AA41" s="319" t="str">
        <f t="shared" si="5"/>
        <v/>
      </c>
      <c r="AB41" s="314" t="str">
        <f t="shared" si="6"/>
        <v/>
      </c>
      <c r="AC41" s="320">
        <f t="shared" si="7"/>
        <v>0</v>
      </c>
      <c r="AD41" s="320">
        <f>IF(D41="",0,SUM(F15:F41))</f>
        <v>0</v>
      </c>
      <c r="AE41" s="320">
        <f>IF(D41="",0,SUM(F16:F50)/2-AD41)</f>
        <v>0</v>
      </c>
      <c r="AF41" s="320">
        <f t="shared" si="8"/>
        <v>0</v>
      </c>
      <c r="AG41" s="320">
        <f>IF(D41="",0,(AD41+AD40)/2-SUM(F16:F50)/2)</f>
        <v>0</v>
      </c>
      <c r="AH41" s="321">
        <f ca="1">IF(D41="",0,INDEX(INDIRECT($AE$60),MATCH(AH$14,Matl!$B$3:$B$17,0),MATCH(D41,Matl!$D$2:$K$2,0)))</f>
        <v>0</v>
      </c>
      <c r="AI41" s="321">
        <f ca="1">IF(D41="",0,INDEX(INDIRECT($AE$60),MATCH(AI$14,Matl!$B$3:$B$17,0),MATCH(D41,Matl!$D$2:$K$2,0)))</f>
        <v>0</v>
      </c>
      <c r="AJ41" s="321">
        <f ca="1">IF(D41="",0,INDEX(INDIRECT(AE60),MATCH(AJ14,Matl!B3:B15,0),MATCH(D41,Matl!D2:K2,0)))</f>
        <v>0</v>
      </c>
      <c r="AK41" s="322">
        <f t="shared" si="9"/>
        <v>0</v>
      </c>
      <c r="AL41" s="321">
        <f ca="1">IF(D41="",0,INDEX(INDIRECT(AE60),MATCH(AL14,Matl!B3:B15,0),MATCH(D41,Matl!D2:K2,0)))</f>
        <v>0</v>
      </c>
      <c r="AM41" s="323">
        <f ca="1">IF(D41="",0,INDEX(INDIRECT(AE60),MATCH(AM14,Matl!B3:B15,0),MATCH(D41,Matl!D2:K2,0)))</f>
        <v>0</v>
      </c>
      <c r="AN41" s="323">
        <f ca="1">IF(D41="",0,INDEX(INDIRECT(AE60),MATCH(AN14,Matl!B3:B15,0),MATCH(D41,Matl!D2:K2,0)))</f>
        <v>0</v>
      </c>
      <c r="AO41" s="323">
        <f ca="1">IF(D41="",0,INDEX(INDIRECT(AE60),MATCH(AO14,Matl!B3:B15,0),MATCH(D41,Matl!D2:K2,0)))</f>
        <v>0</v>
      </c>
      <c r="AP41" s="323">
        <f ca="1">IF(D41="",0,INDEX(INDIRECT(AE60),MATCH(AP14,Matl!B3:B15,0),MATCH(D41,Matl!D2:K2,0)))</f>
        <v>0</v>
      </c>
      <c r="AQ41" s="323">
        <f ca="1">IF(D41="",0,INDEX(INDIRECT(AE60),MATCH(AQ14,Matl!B3:B15,0),MATCH(D41,Matl!D2:K2,0)))</f>
        <v>0</v>
      </c>
      <c r="AR41" s="321"/>
      <c r="AS41" s="321"/>
      <c r="AT41" s="324">
        <f t="shared" ca="1" si="10"/>
        <v>0</v>
      </c>
      <c r="AU41" s="325">
        <f t="shared" ca="1" si="11"/>
        <v>0</v>
      </c>
      <c r="AV41" s="325">
        <f t="shared" ca="1" si="12"/>
        <v>0</v>
      </c>
      <c r="AW41" s="325">
        <f t="shared" ca="1" si="13"/>
        <v>0</v>
      </c>
      <c r="AX41" s="326">
        <v>0</v>
      </c>
      <c r="AY41" s="326">
        <v>0</v>
      </c>
      <c r="AZ41" s="326">
        <v>0</v>
      </c>
      <c r="BA41" s="326">
        <v>0</v>
      </c>
      <c r="BB41" s="327">
        <f t="shared" ca="1" si="14"/>
        <v>0</v>
      </c>
      <c r="BC41" s="328"/>
      <c r="BD41" s="324">
        <f t="shared" ca="1" si="15"/>
        <v>0</v>
      </c>
      <c r="BE41" s="325">
        <f t="shared" ca="1" si="16"/>
        <v>0</v>
      </c>
      <c r="BF41" s="325">
        <f t="shared" ca="1" si="17"/>
        <v>0</v>
      </c>
      <c r="BG41" s="325">
        <f t="shared" ca="1" si="18"/>
        <v>0</v>
      </c>
      <c r="BH41" s="325">
        <f t="shared" ca="1" si="19"/>
        <v>0</v>
      </c>
      <c r="BI41" s="325">
        <f t="shared" ca="1" si="20"/>
        <v>0</v>
      </c>
      <c r="BJ41" s="325">
        <f t="shared" ca="1" si="21"/>
        <v>0</v>
      </c>
      <c r="BK41" s="325">
        <f t="shared" ca="1" si="22"/>
        <v>0</v>
      </c>
      <c r="BL41" s="329">
        <f t="shared" ca="1" si="23"/>
        <v>0</v>
      </c>
      <c r="BM41" s="330"/>
      <c r="BN41" s="324">
        <f t="shared" ca="1" si="24"/>
        <v>0</v>
      </c>
      <c r="BO41" s="325">
        <f t="shared" ca="1" si="25"/>
        <v>0</v>
      </c>
      <c r="BP41" s="325">
        <f t="shared" ca="1" si="26"/>
        <v>0</v>
      </c>
      <c r="BQ41" s="325">
        <f t="shared" ca="1" si="27"/>
        <v>0</v>
      </c>
      <c r="BR41" s="325">
        <f t="shared" ca="1" si="28"/>
        <v>0</v>
      </c>
      <c r="BS41" s="325">
        <f t="shared" ca="1" si="29"/>
        <v>0</v>
      </c>
      <c r="BT41" s="325">
        <f t="shared" ca="1" si="30"/>
        <v>0</v>
      </c>
      <c r="BU41" s="325">
        <f t="shared" ca="1" si="31"/>
        <v>0</v>
      </c>
      <c r="BV41" s="329">
        <f t="shared" ca="1" si="32"/>
        <v>0</v>
      </c>
      <c r="BW41" s="330"/>
      <c r="BX41" s="325">
        <f t="shared" ca="1" si="33"/>
        <v>0</v>
      </c>
      <c r="BY41" s="325">
        <f t="shared" ca="1" si="34"/>
        <v>0</v>
      </c>
      <c r="BZ41" s="325">
        <f t="shared" ca="1" si="35"/>
        <v>0</v>
      </c>
      <c r="CA41" s="325">
        <f t="shared" ca="1" si="36"/>
        <v>0</v>
      </c>
      <c r="CB41" s="325">
        <f t="shared" ca="1" si="37"/>
        <v>0</v>
      </c>
      <c r="CC41" s="325">
        <f t="shared" ca="1" si="38"/>
        <v>0</v>
      </c>
      <c r="CD41" s="325">
        <f t="shared" ca="1" si="39"/>
        <v>0</v>
      </c>
      <c r="CE41" s="325">
        <f t="shared" ca="1" si="40"/>
        <v>0</v>
      </c>
      <c r="CF41" s="325">
        <f t="shared" ca="1" si="41"/>
        <v>0</v>
      </c>
      <c r="CG41" s="330"/>
      <c r="CH41" s="331">
        <f t="shared" ca="1" si="42"/>
        <v>0</v>
      </c>
      <c r="CI41" s="332">
        <f t="shared" ca="1" si="43"/>
        <v>0</v>
      </c>
      <c r="CJ41" s="332">
        <f t="shared" ca="1" si="44"/>
        <v>0</v>
      </c>
      <c r="CK41" s="332">
        <f t="shared" ca="1" si="45"/>
        <v>0</v>
      </c>
      <c r="CL41" s="332">
        <f t="shared" ca="1" si="46"/>
        <v>0</v>
      </c>
      <c r="CM41" s="332">
        <f t="shared" ca="1" si="47"/>
        <v>0</v>
      </c>
      <c r="CN41" s="332">
        <f t="shared" ca="1" si="48"/>
        <v>0</v>
      </c>
      <c r="CO41" s="332">
        <f t="shared" ca="1" si="49"/>
        <v>0</v>
      </c>
      <c r="CP41" s="333">
        <f t="shared" ca="1" si="50"/>
        <v>0</v>
      </c>
      <c r="CR41" s="334"/>
      <c r="CS41" s="335"/>
      <c r="CT41" s="335"/>
      <c r="CU41" s="336" t="s">
        <v>131</v>
      </c>
      <c r="CV41" s="337">
        <f ca="1">AE71</f>
        <v>4.0799587495451728E-5</v>
      </c>
      <c r="CW41" s="338"/>
      <c r="CX41" s="324">
        <f ca="1">BG24</f>
        <v>456036.09160085651</v>
      </c>
      <c r="CY41" s="325">
        <f ca="1">BE24</f>
        <v>7729425.2813704489</v>
      </c>
      <c r="CZ41" s="329">
        <f ca="1">BK24</f>
        <v>0</v>
      </c>
      <c r="DA41" s="338"/>
      <c r="DB41" s="342">
        <f ca="1"/>
        <v>523.53150187562358</v>
      </c>
      <c r="DC41" s="338"/>
      <c r="DD41" s="343">
        <f ca="1">-AE75*AE41/F69</f>
        <v>0</v>
      </c>
      <c r="DE41" s="344">
        <f ca="1">-AE75*AF41/F69</f>
        <v>0</v>
      </c>
      <c r="DF41" s="344">
        <f ca="1">-AE76*AE41/F70</f>
        <v>0</v>
      </c>
      <c r="DG41" s="344">
        <f ca="1">-AE76*AF41/F70</f>
        <v>0</v>
      </c>
      <c r="DH41" s="344">
        <f ca="1">-AE77*AE41/F69</f>
        <v>0</v>
      </c>
      <c r="DI41" s="345">
        <f ca="1">-AE77*AF41/F69</f>
        <v>0</v>
      </c>
      <c r="DJ41" s="338"/>
      <c r="DK41" s="338"/>
      <c r="DL41" s="338"/>
      <c r="DM41" s="346" t="s">
        <v>131</v>
      </c>
      <c r="DN41" s="347">
        <f ca="1">INDEX(DG16:DG115,MATCH(DJ40,A16:A50,0))</f>
        <v>-2.6581515261244425E-4</v>
      </c>
      <c r="DO41" s="338"/>
      <c r="DP41" s="338"/>
      <c r="DQ41" s="346" t="s">
        <v>132</v>
      </c>
      <c r="DR41" s="347">
        <f ca="1">INDEX(DF16:DF115,MATCH(DJ40,A16:A50,0))</f>
        <v>-1.3290757630622196E-4</v>
      </c>
      <c r="DS41" s="338"/>
      <c r="DT41" s="324">
        <f t="shared" ref="DT41:DT42" ca="1" si="194">CX41</f>
        <v>456036.09160085651</v>
      </c>
      <c r="DU41" s="325">
        <f t="shared" ca="1" si="102"/>
        <v>7729425.2813704489</v>
      </c>
      <c r="DV41" s="329">
        <f t="shared" ca="1" si="103"/>
        <v>0</v>
      </c>
      <c r="DW41" s="338"/>
      <c r="DX41" s="349">
        <f ca="1"/>
        <v>-2837.6498471703039</v>
      </c>
      <c r="DY41" s="349"/>
      <c r="DZ41" s="349">
        <f ca="1"/>
        <v>-1418.8249235851501</v>
      </c>
      <c r="EB41" s="350">
        <f t="shared" ca="1" si="52"/>
        <v>0</v>
      </c>
      <c r="EC41" s="351">
        <f t="shared" ca="1" si="53"/>
        <v>0</v>
      </c>
      <c r="ED41" s="352">
        <f t="shared" ca="1" si="54"/>
        <v>0</v>
      </c>
      <c r="EE41" s="350">
        <f t="shared" ca="1" si="55"/>
        <v>0</v>
      </c>
      <c r="EF41" s="351">
        <f t="shared" ca="1" si="56"/>
        <v>0</v>
      </c>
      <c r="EG41" s="351">
        <f t="shared" ca="1" si="57"/>
        <v>0</v>
      </c>
      <c r="EH41" s="351">
        <f t="shared" ca="1" si="58"/>
        <v>0</v>
      </c>
      <c r="EI41" s="351">
        <f t="shared" ca="1" si="59"/>
        <v>0</v>
      </c>
      <c r="EJ41" s="352">
        <f t="shared" ca="1" si="60"/>
        <v>0</v>
      </c>
      <c r="EK41" s="350">
        <f t="shared" ref="EK41:EK50" ca="1" si="195">EE41+EB41</f>
        <v>0</v>
      </c>
      <c r="EL41" s="351">
        <f t="shared" ref="EL41:EL50" ca="1" si="196">EF41+EB41</f>
        <v>0</v>
      </c>
      <c r="EM41" s="351">
        <f t="shared" ref="EM41:EM50" ca="1" si="197">EG41+EC41</f>
        <v>0</v>
      </c>
      <c r="EN41" s="351">
        <f t="shared" ref="EN41:EN50" ca="1" si="198">EH41+EC41</f>
        <v>0</v>
      </c>
      <c r="EO41" s="351">
        <f t="shared" ref="EO41:EO50" ca="1" si="199">EI41+ED41</f>
        <v>0</v>
      </c>
      <c r="EP41" s="352">
        <f t="shared" ref="EP41:EP50" ca="1" si="200">EJ41+ED41</f>
        <v>0</v>
      </c>
      <c r="EQ41" s="323">
        <f t="shared" ref="EQ41:EQ50" ca="1" si="201">IF(ABS(MIN(EK41:EL41))&gt;MAX(EK41:EL41),MIN(EK41:EL41),MAX(EK41:EL41))</f>
        <v>0</v>
      </c>
      <c r="ER41" s="323">
        <f t="shared" ref="ER41:ER50" ca="1" si="202">IF(ABS(MIN(EM41:EN41))&gt;MAX(EM41:EN41),MIN(EM41:EN41),MAX(EM41:EN41))</f>
        <v>0</v>
      </c>
      <c r="ES41" s="323">
        <f t="shared" ref="ES41:ES50" ca="1" si="203">IF(ABS(MIN(EO41:EP41))&gt;MAX(EO41:EP41),MIN(EO41:EP41),MAX(EO41:EP41))</f>
        <v>0</v>
      </c>
      <c r="ET41" s="323">
        <f t="shared" ref="ET41:ET50" ca="1" si="204">AM41</f>
        <v>0</v>
      </c>
      <c r="EU41" s="323">
        <f t="shared" ref="EU41:EU50" ca="1" si="205">AO41</f>
        <v>0</v>
      </c>
      <c r="EV41" s="323">
        <f t="shared" ref="EV41:EV50" ca="1" si="206">AN41</f>
        <v>0</v>
      </c>
      <c r="EW41" s="323">
        <f t="shared" ref="EW41:EW50" ca="1" si="207">AP41</f>
        <v>0</v>
      </c>
      <c r="EX41" s="323">
        <f t="shared" ref="EX41:EX50" ca="1" si="208">AQ41</f>
        <v>0</v>
      </c>
      <c r="EY41" s="353" t="e">
        <f t="shared" ref="EY41:EY50" ca="1" si="209">1/(ET41*EU41)</f>
        <v>#DIV/0!</v>
      </c>
      <c r="EZ41" s="353" t="e">
        <f t="shared" ref="EZ41:EZ50" ca="1" si="210">1/(EV41*EW41)</f>
        <v>#DIV/0!</v>
      </c>
      <c r="FA41" s="321" t="e">
        <f t="shared" ref="FA41:FA50" ca="1" si="211">1/EX41^2</f>
        <v>#DIV/0!</v>
      </c>
      <c r="FB41" s="354" t="e">
        <f t="shared" ref="FB41:FB50" ca="1" si="212">-1/(2*ET41*EU41)</f>
        <v>#DIV/0!</v>
      </c>
      <c r="FC41" s="321" t="e">
        <f t="shared" ref="FC41:FC50" ca="1" si="213">(1/ET41-1/EU41)</f>
        <v>#DIV/0!</v>
      </c>
      <c r="FD41" s="321" t="e">
        <f t="shared" ref="FD41:FD50" ca="1" si="214">(1/EV41-1/EW41)</f>
        <v>#DIV/0!</v>
      </c>
      <c r="FE41" s="355" t="e">
        <f t="shared" ref="FE41:FE50" ca="1" si="215">EY41*EQ41^2+EZ41*ER41^2+2*FB41*EQ41*ER41+ES41^2*FA41</f>
        <v>#DIV/0!</v>
      </c>
      <c r="FF41" s="338" t="e">
        <f t="shared" ref="FF41:FF50" ca="1" si="216">EQ41*FC41+ER41*FD41</f>
        <v>#DIV/0!</v>
      </c>
      <c r="FG41" s="335" t="e">
        <f t="shared" ref="FG41:FG50" ca="1" si="217">-0.5/(ET41*EU41*EV41*EW41)^0.5</f>
        <v>#DIV/0!</v>
      </c>
      <c r="FH41" s="356" t="e">
        <f t="shared" ref="FH41:FH50" ca="1" si="218">EY41*EQ41^2+EZ41*ER41^2+2*FG41*EQ41*ER41+ES41^2*FA41</f>
        <v>#DIV/0!</v>
      </c>
      <c r="FI41" s="335" t="e">
        <f t="shared" ref="FI41:FI50" ca="1" si="219">EQ41*FC41+ER41*FD41</f>
        <v>#DIV/0!</v>
      </c>
      <c r="FJ41" s="357" t="e">
        <f t="shared" ca="1" si="176"/>
        <v>#DIV/0!</v>
      </c>
      <c r="FK41" s="357" t="e">
        <f t="shared" ca="1" si="177"/>
        <v>#DIV/0!</v>
      </c>
      <c r="FL41" s="357" t="e">
        <f t="shared" ca="1" si="178"/>
        <v>#DIV/0!</v>
      </c>
      <c r="FM41" s="357" t="e">
        <f t="shared" ca="1" si="179"/>
        <v>#DIV/0!</v>
      </c>
      <c r="FN41" s="357" t="e">
        <f t="shared" ca="1" si="180"/>
        <v>#DIV/0!</v>
      </c>
      <c r="FO41" s="357" t="e">
        <f t="shared" ref="FO41:FO50" ca="1" si="220">IF(ER41&gt;0,EV41/ER41-1,EW41/(ABS(ER41))-1)</f>
        <v>#DIV/0!</v>
      </c>
      <c r="FP41" s="357" t="e">
        <f t="shared" ref="FP41:FP50" ca="1" si="221">EX41/ABS(ES41)-1</f>
        <v>#DIV/0!</v>
      </c>
      <c r="FR41" s="358"/>
      <c r="FS41" s="359">
        <f ca="1">INDEX(EB16:EB115,MATCH(GF40,A16:A115,0))</f>
        <v>2268.0369963811145</v>
      </c>
      <c r="FT41" s="359">
        <f>FT40</f>
        <v>3.4393700787401553E-2</v>
      </c>
      <c r="FU41" s="359">
        <f ca="1">INDEX(EC16:EC115,MATCH(GF40,A16:A115,0))</f>
        <v>1802.4758241316983</v>
      </c>
      <c r="FV41" s="359">
        <f t="shared" ref="FV41:FV43" si="222">FT41</f>
        <v>3.4393700787401553E-2</v>
      </c>
      <c r="FW41" s="359">
        <f ca="1">INDEX(ED16:ED115,MATCH(GF40,A16:A115,0))</f>
        <v>-1007.8166055871841</v>
      </c>
      <c r="FX41" s="360">
        <f t="shared" ref="FX41:FX43" si="223">FV41</f>
        <v>3.4393700787401553E-2</v>
      </c>
      <c r="FY41" s="358"/>
      <c r="FZ41" s="351">
        <f ca="1">INDEX(EE16:EE115,MATCH(GF40,A16:A115,0))</f>
        <v>-17856.322436067247</v>
      </c>
      <c r="GA41" s="359">
        <f>GA40</f>
        <v>3.4393700787401553E-2</v>
      </c>
      <c r="GB41" s="326">
        <f ca="1">INDEX(EG16:EG115,MATCH(GF40,A16:A115,0))</f>
        <v>-14605.538047771242</v>
      </c>
      <c r="GC41" s="362">
        <f t="shared" si="191"/>
        <v>3.4393700787401553E-2</v>
      </c>
      <c r="GD41" s="359">
        <f ca="1">INDEX(EI16:EI115,MATCH(GF40,A16:A115,0))</f>
        <v>15058.729545032314</v>
      </c>
      <c r="GE41" s="363">
        <f t="shared" ref="GE41:GE43" si="224">GC41</f>
        <v>3.4393700787401553E-2</v>
      </c>
      <c r="GF41" s="364"/>
      <c r="GG41" s="365">
        <f ca="1">FS41+FZ41</f>
        <v>-15588.285439686133</v>
      </c>
      <c r="GH41" s="320">
        <f>GH40</f>
        <v>3.4393700787401553E-2</v>
      </c>
      <c r="GI41" s="365">
        <f ca="1">FU41+GB41</f>
        <v>-12803.062223639545</v>
      </c>
      <c r="GJ41" s="366">
        <f t="shared" si="192"/>
        <v>3.4393700787401553E-2</v>
      </c>
      <c r="GK41" s="365">
        <f ca="1">FW41+GD41</f>
        <v>14050.91293944513</v>
      </c>
      <c r="GL41" s="366">
        <f t="shared" si="193"/>
        <v>3.4393700787401553E-2</v>
      </c>
      <c r="GN41" s="359">
        <f t="shared" si="69"/>
        <v>3.4393700787401553E-2</v>
      </c>
      <c r="GO41" s="367">
        <f ca="1">INDEX(FJ16:FJ115,MATCH(GM40,A16:A115,0))</f>
        <v>-0.22599822385431556</v>
      </c>
      <c r="GP41" s="367">
        <f ca="1">INDEX(FK16:FK115,MATCH(GM40,A16:A115,0))</f>
        <v>-0.22466221421805432</v>
      </c>
      <c r="GQ41" s="367">
        <f ca="1">INDEX(FL16:FL115,MATCH(GM40,A16:A115,0))</f>
        <v>-0.41908212576393478</v>
      </c>
      <c r="GR41" s="367">
        <f ca="1">INDEX(FM16:FM115,MATCH(GM40,A16:A115,0))</f>
        <v>-0.41748969613692943</v>
      </c>
      <c r="GS41" s="367">
        <f ca="1">INDEX(FN16:FN115,MATCH(GM40,A16:A115,0))</f>
        <v>2.3402357265949827</v>
      </c>
      <c r="GT41" s="367">
        <f ca="1">INDEX(FO16:FO115,MATCH(GM40,A16:A115,0))</f>
        <v>2.7723449211098483</v>
      </c>
      <c r="GU41" s="367">
        <f ca="1">INDEX(FP16:FP115,MATCH(GM40,A16:A115,0))</f>
        <v>-0.20518290347893808</v>
      </c>
      <c r="HH41" s="321" t="str">
        <f ca="1">IF(D40="","",INDEX(INDIRECT(AE60),MATCH(HH15,Matl!B3:B29,0),MATCH(D40,Matl!D2:K2,0)))</f>
        <v/>
      </c>
      <c r="HI41" s="314" t="str">
        <f ca="1">IF(D40="","",INDEX(INDIRECT(AE60),MATCH(HI15,Matl!B3:B29,0),MATCH(D40,Matl!D2:K2,0)))</f>
        <v/>
      </c>
      <c r="HO41" s="338"/>
      <c r="HP41" s="338"/>
      <c r="HQ41" s="338"/>
      <c r="HR41" s="338"/>
      <c r="HS41" s="338"/>
      <c r="HT41" s="338"/>
      <c r="HU41" s="338"/>
      <c r="HV41" s="338"/>
      <c r="HW41" s="338"/>
      <c r="HX41" s="338"/>
      <c r="HY41" s="338"/>
      <c r="HZ41" s="338"/>
      <c r="IA41" s="338"/>
      <c r="IB41" s="338"/>
      <c r="IC41" s="338"/>
      <c r="ID41" s="338">
        <f>IP29</f>
        <v>0</v>
      </c>
      <c r="IE41" s="338">
        <f>-IO29</f>
        <v>0</v>
      </c>
      <c r="IF41" s="338"/>
      <c r="IG41" s="338"/>
      <c r="IH41" s="338"/>
      <c r="II41" s="338"/>
      <c r="IJ41" s="338">
        <v>14</v>
      </c>
      <c r="IK41" s="342">
        <f>IK27-(IK27-IK57)*IJ41/(IJ56+1)</f>
        <v>1.4660765716752369</v>
      </c>
      <c r="IL41" s="338">
        <f ca="1">IK25*SIN(IK57)</f>
        <v>3.67544536472586E-13</v>
      </c>
      <c r="IM41" s="338">
        <f ca="1">IK25*SIN(IK42)+IF27</f>
        <v>3000</v>
      </c>
      <c r="IN41" s="338"/>
      <c r="IO41" s="338"/>
      <c r="IP41" s="338"/>
    </row>
    <row r="42" spans="1:250" s="314" customFormat="1" ht="12" x14ac:dyDescent="0.25">
      <c r="A42" s="310">
        <v>27</v>
      </c>
      <c r="B42" s="311"/>
      <c r="C42" s="311"/>
      <c r="D42" s="380"/>
      <c r="E42" s="380"/>
      <c r="F42" s="312">
        <f>IF(C42="",INDEX(Matl!$C$15:$K$15,MATCH(D42,Matl!$C$2:$K$2,0)),C42)</f>
        <v>0</v>
      </c>
      <c r="G42" s="313"/>
      <c r="H42" s="313"/>
      <c r="I42" s="313"/>
      <c r="J42" s="313"/>
      <c r="K42" s="313"/>
      <c r="M42" s="315"/>
      <c r="N42" s="315"/>
      <c r="O42" s="315"/>
      <c r="P42" s="316"/>
      <c r="Q42" s="316"/>
      <c r="R42" s="316"/>
      <c r="S42" s="316"/>
      <c r="T42" s="315"/>
      <c r="U42" s="317"/>
      <c r="V42" s="317"/>
      <c r="W42" s="317">
        <f t="shared" si="3"/>
        <v>0</v>
      </c>
      <c r="X42" s="317"/>
      <c r="Y42" s="317"/>
      <c r="Z42" s="318" t="str">
        <f t="shared" si="4"/>
        <v/>
      </c>
      <c r="AA42" s="319" t="str">
        <f t="shared" si="5"/>
        <v/>
      </c>
      <c r="AB42" s="314" t="str">
        <f t="shared" si="6"/>
        <v/>
      </c>
      <c r="AC42" s="320">
        <f t="shared" si="7"/>
        <v>0</v>
      </c>
      <c r="AD42" s="320">
        <f>IF(D42="",0,SUM(F15:F42))</f>
        <v>0</v>
      </c>
      <c r="AE42" s="320">
        <f>IF(D42="",0,SUM(F16:F50)/2-AD42)</f>
        <v>0</v>
      </c>
      <c r="AF42" s="320">
        <f t="shared" si="8"/>
        <v>0</v>
      </c>
      <c r="AG42" s="320">
        <f>IF(D42="",0,(AD42+AD41)/2-SUM(F16:F50)/2)</f>
        <v>0</v>
      </c>
      <c r="AH42" s="321">
        <f ca="1">IF(D42="",0,INDEX(INDIRECT($AE$60),MATCH(AH$14,Matl!$B$3:$B$17,0),MATCH(D42,Matl!$D$2:$K$2,0)))</f>
        <v>0</v>
      </c>
      <c r="AI42" s="321">
        <f ca="1">IF(D42="",0,INDEX(INDIRECT($AE$60),MATCH(AI$14,Matl!$B$3:$B$17,0),MATCH(D42,Matl!$D$2:$K$2,0)))</f>
        <v>0</v>
      </c>
      <c r="AJ42" s="321">
        <f ca="1">IF(D42="",0,INDEX(INDIRECT(AE60),MATCH(AJ14,Matl!B3:B15,0),MATCH(D42,Matl!D2:K2,0)))</f>
        <v>0</v>
      </c>
      <c r="AK42" s="322">
        <f t="shared" si="9"/>
        <v>0</v>
      </c>
      <c r="AL42" s="321">
        <f ca="1">IF(D42="",0,INDEX(INDIRECT(AE60),MATCH(AL14,Matl!B3:B15,0),MATCH(D42,Matl!D2:K2,0)))</f>
        <v>0</v>
      </c>
      <c r="AM42" s="323">
        <f ca="1">IF(D42="",0,INDEX(INDIRECT(AE60),MATCH(AM14,Matl!B3:B15,0),MATCH(D42,Matl!D2:K2,0)))</f>
        <v>0</v>
      </c>
      <c r="AN42" s="323">
        <f ca="1">IF(D42="",0,INDEX(INDIRECT(AE60),MATCH(AN14,Matl!B3:B15,0),MATCH(D42,Matl!D2:K2,0)))</f>
        <v>0</v>
      </c>
      <c r="AO42" s="323">
        <f ca="1">IF(D42="",0,INDEX(INDIRECT(AE60),MATCH(AO14,Matl!B3:B15,0),MATCH(D42,Matl!D2:K2,0)))</f>
        <v>0</v>
      </c>
      <c r="AP42" s="323">
        <f ca="1">IF(D42="",0,INDEX(INDIRECT(AE60),MATCH(AP14,Matl!B3:B15,0),MATCH(D42,Matl!D2:K2,0)))</f>
        <v>0</v>
      </c>
      <c r="AQ42" s="323">
        <f ca="1">IF(D42="",0,INDEX(INDIRECT(AE60),MATCH(AQ14,Matl!B3:B15,0),MATCH(D42,Matl!D2:K2,0)))</f>
        <v>0</v>
      </c>
      <c r="AR42" s="321"/>
      <c r="AS42" s="321"/>
      <c r="AT42" s="324">
        <f t="shared" ca="1" si="10"/>
        <v>0</v>
      </c>
      <c r="AU42" s="325">
        <f t="shared" ca="1" si="11"/>
        <v>0</v>
      </c>
      <c r="AV42" s="325">
        <f t="shared" ca="1" si="12"/>
        <v>0</v>
      </c>
      <c r="AW42" s="325">
        <f t="shared" ca="1" si="13"/>
        <v>0</v>
      </c>
      <c r="AX42" s="326">
        <v>0</v>
      </c>
      <c r="AY42" s="326">
        <v>0</v>
      </c>
      <c r="AZ42" s="326">
        <v>0</v>
      </c>
      <c r="BA42" s="326">
        <v>0</v>
      </c>
      <c r="BB42" s="327">
        <f t="shared" ca="1" si="14"/>
        <v>0</v>
      </c>
      <c r="BC42" s="328"/>
      <c r="BD42" s="324">
        <f t="shared" ca="1" si="15"/>
        <v>0</v>
      </c>
      <c r="BE42" s="325">
        <f t="shared" ca="1" si="16"/>
        <v>0</v>
      </c>
      <c r="BF42" s="325">
        <f t="shared" ca="1" si="17"/>
        <v>0</v>
      </c>
      <c r="BG42" s="325">
        <f t="shared" ca="1" si="18"/>
        <v>0</v>
      </c>
      <c r="BH42" s="325">
        <f t="shared" ca="1" si="19"/>
        <v>0</v>
      </c>
      <c r="BI42" s="325">
        <f t="shared" ca="1" si="20"/>
        <v>0</v>
      </c>
      <c r="BJ42" s="325">
        <f t="shared" ca="1" si="21"/>
        <v>0</v>
      </c>
      <c r="BK42" s="325">
        <f t="shared" ca="1" si="22"/>
        <v>0</v>
      </c>
      <c r="BL42" s="329">
        <f t="shared" ca="1" si="23"/>
        <v>0</v>
      </c>
      <c r="BM42" s="330"/>
      <c r="BN42" s="324">
        <f t="shared" ca="1" si="24"/>
        <v>0</v>
      </c>
      <c r="BO42" s="325">
        <f t="shared" ca="1" si="25"/>
        <v>0</v>
      </c>
      <c r="BP42" s="325">
        <f t="shared" ca="1" si="26"/>
        <v>0</v>
      </c>
      <c r="BQ42" s="325">
        <f t="shared" ca="1" si="27"/>
        <v>0</v>
      </c>
      <c r="BR42" s="325">
        <f t="shared" ca="1" si="28"/>
        <v>0</v>
      </c>
      <c r="BS42" s="325">
        <f t="shared" ca="1" si="29"/>
        <v>0</v>
      </c>
      <c r="BT42" s="325">
        <f t="shared" ca="1" si="30"/>
        <v>0</v>
      </c>
      <c r="BU42" s="325">
        <f t="shared" ca="1" si="31"/>
        <v>0</v>
      </c>
      <c r="BV42" s="329">
        <f t="shared" ca="1" si="32"/>
        <v>0</v>
      </c>
      <c r="BW42" s="330"/>
      <c r="BX42" s="325">
        <f t="shared" ca="1" si="33"/>
        <v>0</v>
      </c>
      <c r="BY42" s="325">
        <f t="shared" ca="1" si="34"/>
        <v>0</v>
      </c>
      <c r="BZ42" s="325">
        <f t="shared" ca="1" si="35"/>
        <v>0</v>
      </c>
      <c r="CA42" s="325">
        <f t="shared" ca="1" si="36"/>
        <v>0</v>
      </c>
      <c r="CB42" s="325">
        <f t="shared" ca="1" si="37"/>
        <v>0</v>
      </c>
      <c r="CC42" s="325">
        <f t="shared" ca="1" si="38"/>
        <v>0</v>
      </c>
      <c r="CD42" s="325">
        <f t="shared" ca="1" si="39"/>
        <v>0</v>
      </c>
      <c r="CE42" s="325">
        <f t="shared" ca="1" si="40"/>
        <v>0</v>
      </c>
      <c r="CF42" s="325">
        <f t="shared" ca="1" si="41"/>
        <v>0</v>
      </c>
      <c r="CG42" s="330"/>
      <c r="CH42" s="331">
        <f t="shared" ca="1" si="42"/>
        <v>0</v>
      </c>
      <c r="CI42" s="332">
        <f t="shared" ca="1" si="43"/>
        <v>0</v>
      </c>
      <c r="CJ42" s="332">
        <f t="shared" ca="1" si="44"/>
        <v>0</v>
      </c>
      <c r="CK42" s="332">
        <f t="shared" ca="1" si="45"/>
        <v>0</v>
      </c>
      <c r="CL42" s="332">
        <f t="shared" ca="1" si="46"/>
        <v>0</v>
      </c>
      <c r="CM42" s="332">
        <f t="shared" ca="1" si="47"/>
        <v>0</v>
      </c>
      <c r="CN42" s="332">
        <f t="shared" ca="1" si="48"/>
        <v>0</v>
      </c>
      <c r="CO42" s="332">
        <f t="shared" ca="1" si="49"/>
        <v>0</v>
      </c>
      <c r="CP42" s="333">
        <f t="shared" ca="1" si="50"/>
        <v>0</v>
      </c>
      <c r="CR42" s="334"/>
      <c r="CS42" s="335"/>
      <c r="CT42" s="335"/>
      <c r="CU42" s="336" t="s">
        <v>133</v>
      </c>
      <c r="CV42" s="337">
        <f ca="1">AE72</f>
        <v>-2.771243444540907E-4</v>
      </c>
      <c r="CW42" s="338"/>
      <c r="CX42" s="369">
        <f ca="1">BI24</f>
        <v>0</v>
      </c>
      <c r="CY42" s="370">
        <f ca="1">BJ24</f>
        <v>0</v>
      </c>
      <c r="CZ42" s="371">
        <f ca="1">BL24</f>
        <v>559990.70641799993</v>
      </c>
      <c r="DA42" s="338"/>
      <c r="DB42" s="342">
        <f ca="1"/>
        <v>-155.18705741647139</v>
      </c>
      <c r="DC42" s="338"/>
      <c r="DD42" s="343">
        <f ca="1">-AE75*AE42/F69</f>
        <v>0</v>
      </c>
      <c r="DE42" s="344">
        <f ca="1">-AE75*AF42/F69</f>
        <v>0</v>
      </c>
      <c r="DF42" s="344">
        <f ca="1">-AE76*AE42/F70</f>
        <v>0</v>
      </c>
      <c r="DG42" s="344">
        <f ca="1">-AE76*AF42/F70</f>
        <v>0</v>
      </c>
      <c r="DH42" s="344">
        <f ca="1">-AE77*AE42/F69</f>
        <v>0</v>
      </c>
      <c r="DI42" s="345">
        <f ca="1">-AE77*AF42/F69</f>
        <v>0</v>
      </c>
      <c r="DJ42" s="338"/>
      <c r="DK42" s="338"/>
      <c r="DL42" s="338"/>
      <c r="DM42" s="346" t="s">
        <v>133</v>
      </c>
      <c r="DN42" s="347">
        <f ca="1">INDEX(DI16:DI115,MATCH(DJ40,A16:A50,0))</f>
        <v>2.0703868790925162E-3</v>
      </c>
      <c r="DO42" s="338"/>
      <c r="DP42" s="338"/>
      <c r="DQ42" s="346" t="s">
        <v>134</v>
      </c>
      <c r="DR42" s="347">
        <f ca="1">INDEX(DH16:DH115,MATCH(DJ40,A16:A50,0))</f>
        <v>1.0351934395462568E-3</v>
      </c>
      <c r="DS42" s="338"/>
      <c r="DT42" s="369">
        <f t="shared" ca="1" si="194"/>
        <v>0</v>
      </c>
      <c r="DU42" s="370">
        <f t="shared" ca="1" si="102"/>
        <v>0</v>
      </c>
      <c r="DV42" s="371">
        <f t="shared" ca="1" si="103"/>
        <v>559990.70641799993</v>
      </c>
      <c r="DW42" s="338"/>
      <c r="DX42" s="349">
        <f ca="1"/>
        <v>1159.3974109815763</v>
      </c>
      <c r="DY42" s="349"/>
      <c r="DZ42" s="349">
        <f ca="1"/>
        <v>579.69870549078746</v>
      </c>
      <c r="EB42" s="350">
        <f t="shared" ca="1" si="52"/>
        <v>0</v>
      </c>
      <c r="EC42" s="351">
        <f t="shared" ca="1" si="53"/>
        <v>0</v>
      </c>
      <c r="ED42" s="352">
        <f t="shared" ca="1" si="54"/>
        <v>0</v>
      </c>
      <c r="EE42" s="350">
        <f t="shared" ca="1" si="55"/>
        <v>0</v>
      </c>
      <c r="EF42" s="351">
        <f t="shared" ca="1" si="56"/>
        <v>0</v>
      </c>
      <c r="EG42" s="351">
        <f t="shared" ca="1" si="57"/>
        <v>0</v>
      </c>
      <c r="EH42" s="351">
        <f t="shared" ca="1" si="58"/>
        <v>0</v>
      </c>
      <c r="EI42" s="351">
        <f t="shared" ca="1" si="59"/>
        <v>0</v>
      </c>
      <c r="EJ42" s="352">
        <f t="shared" ca="1" si="60"/>
        <v>0</v>
      </c>
      <c r="EK42" s="350">
        <f t="shared" ca="1" si="195"/>
        <v>0</v>
      </c>
      <c r="EL42" s="351">
        <f t="shared" ca="1" si="196"/>
        <v>0</v>
      </c>
      <c r="EM42" s="351">
        <f t="shared" ca="1" si="197"/>
        <v>0</v>
      </c>
      <c r="EN42" s="351">
        <f t="shared" ca="1" si="198"/>
        <v>0</v>
      </c>
      <c r="EO42" s="351">
        <f t="shared" ca="1" si="199"/>
        <v>0</v>
      </c>
      <c r="EP42" s="352">
        <f t="shared" ca="1" si="200"/>
        <v>0</v>
      </c>
      <c r="EQ42" s="323">
        <f t="shared" ca="1" si="201"/>
        <v>0</v>
      </c>
      <c r="ER42" s="323">
        <f t="shared" ca="1" si="202"/>
        <v>0</v>
      </c>
      <c r="ES42" s="323">
        <f t="shared" ca="1" si="203"/>
        <v>0</v>
      </c>
      <c r="ET42" s="323">
        <f t="shared" ca="1" si="204"/>
        <v>0</v>
      </c>
      <c r="EU42" s="323">
        <f t="shared" ca="1" si="205"/>
        <v>0</v>
      </c>
      <c r="EV42" s="323">
        <f t="shared" ca="1" si="206"/>
        <v>0</v>
      </c>
      <c r="EW42" s="323">
        <f t="shared" ca="1" si="207"/>
        <v>0</v>
      </c>
      <c r="EX42" s="323">
        <f t="shared" ca="1" si="208"/>
        <v>0</v>
      </c>
      <c r="EY42" s="353" t="e">
        <f t="shared" ca="1" si="209"/>
        <v>#DIV/0!</v>
      </c>
      <c r="EZ42" s="353" t="e">
        <f t="shared" ca="1" si="210"/>
        <v>#DIV/0!</v>
      </c>
      <c r="FA42" s="321" t="e">
        <f t="shared" ca="1" si="211"/>
        <v>#DIV/0!</v>
      </c>
      <c r="FB42" s="354" t="e">
        <f t="shared" ca="1" si="212"/>
        <v>#DIV/0!</v>
      </c>
      <c r="FC42" s="321" t="e">
        <f t="shared" ca="1" si="213"/>
        <v>#DIV/0!</v>
      </c>
      <c r="FD42" s="321" t="e">
        <f t="shared" ca="1" si="214"/>
        <v>#DIV/0!</v>
      </c>
      <c r="FE42" s="355" t="e">
        <f t="shared" ca="1" si="215"/>
        <v>#DIV/0!</v>
      </c>
      <c r="FF42" s="338" t="e">
        <f t="shared" ca="1" si="216"/>
        <v>#DIV/0!</v>
      </c>
      <c r="FG42" s="335" t="e">
        <f t="shared" ca="1" si="217"/>
        <v>#DIV/0!</v>
      </c>
      <c r="FH42" s="356" t="e">
        <f t="shared" ca="1" si="218"/>
        <v>#DIV/0!</v>
      </c>
      <c r="FI42" s="335" t="e">
        <f t="shared" ca="1" si="219"/>
        <v>#DIV/0!</v>
      </c>
      <c r="FJ42" s="357" t="e">
        <f t="shared" ca="1" si="176"/>
        <v>#DIV/0!</v>
      </c>
      <c r="FK42" s="357" t="e">
        <f t="shared" ca="1" si="177"/>
        <v>#DIV/0!</v>
      </c>
      <c r="FL42" s="357" t="e">
        <f t="shared" ca="1" si="178"/>
        <v>#DIV/0!</v>
      </c>
      <c r="FM42" s="357" t="e">
        <f t="shared" ca="1" si="179"/>
        <v>#DIV/0!</v>
      </c>
      <c r="FN42" s="357" t="e">
        <f t="shared" ca="1" si="180"/>
        <v>#DIV/0!</v>
      </c>
      <c r="FO42" s="357" t="e">
        <f t="shared" ca="1" si="220"/>
        <v>#DIV/0!</v>
      </c>
      <c r="FP42" s="357" t="e">
        <f t="shared" ca="1" si="221"/>
        <v>#DIV/0!</v>
      </c>
      <c r="FR42" s="358"/>
      <c r="FS42" s="359">
        <f ca="1">FS41</f>
        <v>2268.0369963811145</v>
      </c>
      <c r="FT42" s="359">
        <f>INDEX(AE16:AE115,MATCH(GF40,A16:A115,0))</f>
        <v>2.5795275590551156E-2</v>
      </c>
      <c r="FU42" s="359">
        <f ca="1">FU41</f>
        <v>1802.4758241316983</v>
      </c>
      <c r="FV42" s="359">
        <f t="shared" si="222"/>
        <v>2.5795275590551156E-2</v>
      </c>
      <c r="FW42" s="359">
        <f ca="1">FW41</f>
        <v>-1007.8166055871841</v>
      </c>
      <c r="FX42" s="360">
        <f t="shared" si="223"/>
        <v>2.5795275590551156E-2</v>
      </c>
      <c r="FY42" s="358"/>
      <c r="FZ42" s="351">
        <f ca="1">INDEX(EF16:EF115,MATCH(GF40,A16:A115,0))</f>
        <v>-13392.241827050429</v>
      </c>
      <c r="GA42" s="359">
        <f>FT42</f>
        <v>2.5795275590551156E-2</v>
      </c>
      <c r="GB42" s="326">
        <f ca="1">INDEX(EH16:EH115,MATCH(GF40,A16:A115,0))</f>
        <v>-10954.153535828427</v>
      </c>
      <c r="GC42" s="362">
        <f t="shared" si="191"/>
        <v>2.5795275590551156E-2</v>
      </c>
      <c r="GD42" s="359">
        <f ca="1">INDEX(EJ16:EJ115,MATCH(GF40,A16:A115,0))</f>
        <v>11294.047158774232</v>
      </c>
      <c r="GE42" s="363">
        <f t="shared" si="224"/>
        <v>2.5795275590551156E-2</v>
      </c>
      <c r="GF42" s="364"/>
      <c r="GG42" s="365">
        <f ca="1">FS42+FZ42</f>
        <v>-11124.204830669314</v>
      </c>
      <c r="GH42" s="320">
        <f>FT42</f>
        <v>2.5795275590551156E-2</v>
      </c>
      <c r="GI42" s="365">
        <f ca="1">FU42+GB42</f>
        <v>-9151.6777116967296</v>
      </c>
      <c r="GJ42" s="366">
        <f t="shared" si="192"/>
        <v>2.5795275590551156E-2</v>
      </c>
      <c r="GK42" s="365">
        <f ca="1">FW42+GD42</f>
        <v>10286.230553187048</v>
      </c>
      <c r="GL42" s="366">
        <f t="shared" si="193"/>
        <v>2.5795275590551156E-2</v>
      </c>
      <c r="GN42" s="359">
        <f t="shared" si="69"/>
        <v>2.5795275590551156E-2</v>
      </c>
      <c r="GO42" s="367">
        <f ca="1">GO41</f>
        <v>-0.22599822385431556</v>
      </c>
      <c r="GP42" s="367">
        <f t="shared" ref="GP42" ca="1" si="225">GP41</f>
        <v>-0.22466221421805432</v>
      </c>
      <c r="GQ42" s="367">
        <f t="shared" ref="GQ42" ca="1" si="226">GQ41</f>
        <v>-0.41908212576393478</v>
      </c>
      <c r="GR42" s="367">
        <f t="shared" ref="GR42" ca="1" si="227">GR41</f>
        <v>-0.41748969613692943</v>
      </c>
      <c r="GS42" s="367">
        <f t="shared" ref="GS42" ca="1" si="228">GS41</f>
        <v>2.3402357265949827</v>
      </c>
      <c r="GT42" s="367">
        <f t="shared" ref="GT42" ca="1" si="229">GT41</f>
        <v>2.7723449211098483</v>
      </c>
      <c r="GU42" s="367">
        <f t="shared" ref="GU42" ca="1" si="230">GU41</f>
        <v>-0.20518290347893808</v>
      </c>
      <c r="HH42" s="321" t="str">
        <f ca="1">IF(D41="","",INDEX(INDIRECT(AE60),MATCH(HH15,Matl!B3:B29,0),MATCH(D41,Matl!D2:K2,0)))</f>
        <v/>
      </c>
      <c r="HI42" s="314" t="str">
        <f ca="1">IF(D41="","",INDEX(INDIRECT(AE60),MATCH(HI15,Matl!B3:B29,0),MATCH(D41,Matl!D2:K2,0)))</f>
        <v/>
      </c>
      <c r="HO42" s="338"/>
      <c r="HP42" s="338"/>
      <c r="HQ42" s="338"/>
      <c r="HR42" s="338"/>
      <c r="HS42" s="338"/>
      <c r="HT42" s="338"/>
      <c r="HU42" s="338"/>
      <c r="HV42" s="338"/>
      <c r="HW42" s="338"/>
      <c r="HX42" s="338"/>
      <c r="HY42" s="338"/>
      <c r="HZ42" s="338"/>
      <c r="IA42" s="338"/>
      <c r="IB42" s="338"/>
      <c r="IC42" s="338"/>
      <c r="ID42" s="338"/>
      <c r="IE42" s="338"/>
      <c r="IF42" s="338"/>
      <c r="IG42" s="338"/>
      <c r="IH42" s="338"/>
      <c r="II42" s="338"/>
      <c r="IJ42" s="338">
        <v>15</v>
      </c>
      <c r="IK42" s="342">
        <f>IK27-(IK27-IK57)*IJ42/(IJ56+1)</f>
        <v>1.5707963267948963</v>
      </c>
      <c r="IL42" s="338">
        <f>IK26*SIN(IK58)</f>
        <v>0</v>
      </c>
      <c r="IM42" s="338">
        <f>IK26*SIN(IK43)+IF28</f>
        <v>0</v>
      </c>
      <c r="IN42" s="338"/>
      <c r="IO42" s="338"/>
      <c r="IP42" s="338"/>
    </row>
    <row r="43" spans="1:250" s="314" customFormat="1" ht="12" x14ac:dyDescent="0.25">
      <c r="A43" s="310">
        <v>28</v>
      </c>
      <c r="B43" s="311"/>
      <c r="C43" s="311"/>
      <c r="D43" s="380"/>
      <c r="E43" s="380"/>
      <c r="F43" s="312">
        <f>IF(C43="",INDEX(Matl!$C$15:$K$15,MATCH(D43,Matl!$C$2:$K$2,0)),C43)</f>
        <v>0</v>
      </c>
      <c r="G43" s="313"/>
      <c r="H43" s="313"/>
      <c r="I43" s="313"/>
      <c r="J43" s="313"/>
      <c r="K43" s="313"/>
      <c r="M43" s="315"/>
      <c r="N43" s="315"/>
      <c r="O43" s="315"/>
      <c r="P43" s="316"/>
      <c r="Q43" s="316"/>
      <c r="R43" s="316"/>
      <c r="S43" s="316"/>
      <c r="T43" s="315"/>
      <c r="U43" s="317"/>
      <c r="V43" s="317"/>
      <c r="W43" s="317">
        <f t="shared" si="3"/>
        <v>0</v>
      </c>
      <c r="X43" s="317"/>
      <c r="Y43" s="317"/>
      <c r="Z43" s="318" t="str">
        <f t="shared" si="4"/>
        <v/>
      </c>
      <c r="AA43" s="319" t="str">
        <f t="shared" si="5"/>
        <v/>
      </c>
      <c r="AB43" s="314" t="str">
        <f t="shared" si="6"/>
        <v/>
      </c>
      <c r="AC43" s="320">
        <f t="shared" si="7"/>
        <v>0</v>
      </c>
      <c r="AD43" s="320">
        <f>IF(D43="",0,SUM(F15:F43))</f>
        <v>0</v>
      </c>
      <c r="AE43" s="320">
        <f>IF(D43="",0,SUM(F16:F50)/2-AD43)</f>
        <v>0</v>
      </c>
      <c r="AF43" s="320">
        <f t="shared" si="8"/>
        <v>0</v>
      </c>
      <c r="AG43" s="320">
        <f>IF(D43="",0,(AD43+AD42)/2-SUM(F16:F50)/2)</f>
        <v>0</v>
      </c>
      <c r="AH43" s="321">
        <f ca="1">IF(D43="",0,INDEX(INDIRECT($AE$60),MATCH(AH$14,Matl!$B$3:$B$17,0),MATCH(D43,Matl!$D$2:$K$2,0)))</f>
        <v>0</v>
      </c>
      <c r="AI43" s="321">
        <f ca="1">IF(D43="",0,INDEX(INDIRECT($AE$60),MATCH(AI$14,Matl!$B$3:$B$17,0),MATCH(D43,Matl!$D$2:$K$2,0)))</f>
        <v>0</v>
      </c>
      <c r="AJ43" s="321">
        <f ca="1">IF(D43="",0,INDEX(INDIRECT(AE60),MATCH(AJ14,Matl!B3:B15,0),MATCH(D43,Matl!D2:K2,0)))</f>
        <v>0</v>
      </c>
      <c r="AK43" s="322">
        <f t="shared" si="9"/>
        <v>0</v>
      </c>
      <c r="AL43" s="321">
        <f ca="1">IF(D43="",0,INDEX(INDIRECT(AE60),MATCH(AL14,Matl!B3:B15,0),MATCH(D43,Matl!D2:K2,0)))</f>
        <v>0</v>
      </c>
      <c r="AM43" s="323">
        <f ca="1">IF(D43="",0,INDEX(INDIRECT(AE60),MATCH(AM14,Matl!B3:B15,0),MATCH(D43,Matl!D2:K2,0)))</f>
        <v>0</v>
      </c>
      <c r="AN43" s="323">
        <f ca="1">IF(D43="",0,INDEX(INDIRECT(AE60),MATCH(AN14,Matl!B3:B15,0),MATCH(D43,Matl!D2:K2,0)))</f>
        <v>0</v>
      </c>
      <c r="AO43" s="323">
        <f ca="1">IF(D43="",0,INDEX(INDIRECT(AE60),MATCH(AO14,Matl!B3:B15,0),MATCH(D43,Matl!D2:K2,0)))</f>
        <v>0</v>
      </c>
      <c r="AP43" s="323">
        <f ca="1">IF(D43="",0,INDEX(INDIRECT(AE60),MATCH(AP14,Matl!B3:B15,0),MATCH(D43,Matl!D2:K2,0)))</f>
        <v>0</v>
      </c>
      <c r="AQ43" s="323">
        <f ca="1">IF(D43="",0,INDEX(INDIRECT(AE60),MATCH(AQ14,Matl!B3:B15,0),MATCH(D43,Matl!D2:K2,0)))</f>
        <v>0</v>
      </c>
      <c r="AR43" s="321"/>
      <c r="AS43" s="321"/>
      <c r="AT43" s="324">
        <f t="shared" ca="1" si="10"/>
        <v>0</v>
      </c>
      <c r="AU43" s="325">
        <f t="shared" ca="1" si="11"/>
        <v>0</v>
      </c>
      <c r="AV43" s="325">
        <f t="shared" ca="1" si="12"/>
        <v>0</v>
      </c>
      <c r="AW43" s="325">
        <f t="shared" ca="1" si="13"/>
        <v>0</v>
      </c>
      <c r="AX43" s="326">
        <v>0</v>
      </c>
      <c r="AY43" s="326">
        <v>0</v>
      </c>
      <c r="AZ43" s="326">
        <v>0</v>
      </c>
      <c r="BA43" s="326">
        <v>0</v>
      </c>
      <c r="BB43" s="327">
        <f t="shared" ca="1" si="14"/>
        <v>0</v>
      </c>
      <c r="BC43" s="328"/>
      <c r="BD43" s="324">
        <f t="shared" ca="1" si="15"/>
        <v>0</v>
      </c>
      <c r="BE43" s="325">
        <f t="shared" ca="1" si="16"/>
        <v>0</v>
      </c>
      <c r="BF43" s="325">
        <f t="shared" ca="1" si="17"/>
        <v>0</v>
      </c>
      <c r="BG43" s="325">
        <f t="shared" ca="1" si="18"/>
        <v>0</v>
      </c>
      <c r="BH43" s="325">
        <f t="shared" ca="1" si="19"/>
        <v>0</v>
      </c>
      <c r="BI43" s="325">
        <f t="shared" ca="1" si="20"/>
        <v>0</v>
      </c>
      <c r="BJ43" s="325">
        <f t="shared" ca="1" si="21"/>
        <v>0</v>
      </c>
      <c r="BK43" s="325">
        <f t="shared" ca="1" si="22"/>
        <v>0</v>
      </c>
      <c r="BL43" s="329">
        <f t="shared" ca="1" si="23"/>
        <v>0</v>
      </c>
      <c r="BM43" s="330"/>
      <c r="BN43" s="324">
        <f t="shared" ca="1" si="24"/>
        <v>0</v>
      </c>
      <c r="BO43" s="325">
        <f t="shared" ca="1" si="25"/>
        <v>0</v>
      </c>
      <c r="BP43" s="325">
        <f t="shared" ca="1" si="26"/>
        <v>0</v>
      </c>
      <c r="BQ43" s="325">
        <f t="shared" ca="1" si="27"/>
        <v>0</v>
      </c>
      <c r="BR43" s="325">
        <f t="shared" ca="1" si="28"/>
        <v>0</v>
      </c>
      <c r="BS43" s="325">
        <f t="shared" ca="1" si="29"/>
        <v>0</v>
      </c>
      <c r="BT43" s="325">
        <f t="shared" ca="1" si="30"/>
        <v>0</v>
      </c>
      <c r="BU43" s="325">
        <f t="shared" ca="1" si="31"/>
        <v>0</v>
      </c>
      <c r="BV43" s="329">
        <f t="shared" ca="1" si="32"/>
        <v>0</v>
      </c>
      <c r="BW43" s="330"/>
      <c r="BX43" s="325">
        <f t="shared" ca="1" si="33"/>
        <v>0</v>
      </c>
      <c r="BY43" s="325">
        <f t="shared" ca="1" si="34"/>
        <v>0</v>
      </c>
      <c r="BZ43" s="325">
        <f t="shared" ca="1" si="35"/>
        <v>0</v>
      </c>
      <c r="CA43" s="325">
        <f t="shared" ca="1" si="36"/>
        <v>0</v>
      </c>
      <c r="CB43" s="325">
        <f t="shared" ca="1" si="37"/>
        <v>0</v>
      </c>
      <c r="CC43" s="325">
        <f t="shared" ca="1" si="38"/>
        <v>0</v>
      </c>
      <c r="CD43" s="325">
        <f t="shared" ca="1" si="39"/>
        <v>0</v>
      </c>
      <c r="CE43" s="325">
        <f t="shared" ca="1" si="40"/>
        <v>0</v>
      </c>
      <c r="CF43" s="325">
        <f t="shared" ca="1" si="41"/>
        <v>0</v>
      </c>
      <c r="CG43" s="330"/>
      <c r="CH43" s="331">
        <f t="shared" ca="1" si="42"/>
        <v>0</v>
      </c>
      <c r="CI43" s="332">
        <f t="shared" ca="1" si="43"/>
        <v>0</v>
      </c>
      <c r="CJ43" s="332">
        <f t="shared" ca="1" si="44"/>
        <v>0</v>
      </c>
      <c r="CK43" s="332">
        <f t="shared" ca="1" si="45"/>
        <v>0</v>
      </c>
      <c r="CL43" s="332">
        <f t="shared" ca="1" si="46"/>
        <v>0</v>
      </c>
      <c r="CM43" s="332">
        <f t="shared" ca="1" si="47"/>
        <v>0</v>
      </c>
      <c r="CN43" s="332">
        <f t="shared" ca="1" si="48"/>
        <v>0</v>
      </c>
      <c r="CO43" s="332">
        <f t="shared" ca="1" si="49"/>
        <v>0</v>
      </c>
      <c r="CP43" s="333">
        <f t="shared" ca="1" si="50"/>
        <v>0</v>
      </c>
      <c r="CR43" s="334">
        <f>CR40+1</f>
        <v>10</v>
      </c>
      <c r="CS43" s="335"/>
      <c r="CT43" s="335"/>
      <c r="CU43" s="336" t="s">
        <v>129</v>
      </c>
      <c r="CV43" s="337">
        <f ca="1">AE70</f>
        <v>4.5648610417658959E-4</v>
      </c>
      <c r="CW43" s="338"/>
      <c r="CX43" s="339">
        <f ca="1">BD25</f>
        <v>4652721.392903653</v>
      </c>
      <c r="CY43" s="340">
        <f ca="1">BF25</f>
        <v>3532739.9800676531</v>
      </c>
      <c r="CZ43" s="341">
        <f ca="1">BH25</f>
        <v>0</v>
      </c>
      <c r="DA43" s="338"/>
      <c r="DB43" s="342">
        <f t="array" aca="1" ref="DB43:DB45" ca="1">MMULT(CX43:CZ45,CV43:CV45)</f>
        <v>2268.0369963811145</v>
      </c>
      <c r="DC43" s="338"/>
      <c r="DD43" s="343">
        <f ca="1">-AE75*AE43/F69</f>
        <v>0</v>
      </c>
      <c r="DE43" s="344">
        <f ca="1">-AE75*AF43/F69</f>
        <v>0</v>
      </c>
      <c r="DF43" s="344">
        <f ca="1">-AE76*AE43/F70</f>
        <v>0</v>
      </c>
      <c r="DG43" s="344">
        <f ca="1">-AE76*AF43/F70</f>
        <v>0</v>
      </c>
      <c r="DH43" s="344">
        <f ca="1">-AE77*AE43/F69</f>
        <v>0</v>
      </c>
      <c r="DI43" s="345">
        <f ca="1">-AE77*AF43/F69</f>
        <v>0</v>
      </c>
      <c r="DJ43" s="338">
        <f>DJ40+1</f>
        <v>10</v>
      </c>
      <c r="DK43" s="338"/>
      <c r="DL43" s="338"/>
      <c r="DM43" s="346" t="s">
        <v>129</v>
      </c>
      <c r="DN43" s="347">
        <f ca="1">INDEX(DE16:DE115,MATCH(DJ43,A16:A50,0))</f>
        <v>-8.5854113393474003E-4</v>
      </c>
      <c r="DO43" s="338"/>
      <c r="DP43" s="338"/>
      <c r="DQ43" s="346" t="s">
        <v>130</v>
      </c>
      <c r="DR43" s="347">
        <f ca="1">INDEX(DD16:DD115,MATCH(DJ43,A16:A50,0))</f>
        <v>1.3856783548446861E-18</v>
      </c>
      <c r="DS43" s="338"/>
      <c r="DT43" s="339">
        <f ca="1">CX43</f>
        <v>4652721.392903653</v>
      </c>
      <c r="DU43" s="340">
        <f t="shared" ca="1" si="102"/>
        <v>3532739.9800676531</v>
      </c>
      <c r="DV43" s="341">
        <f t="shared" ca="1" si="103"/>
        <v>0</v>
      </c>
      <c r="DW43" s="338"/>
      <c r="DX43" s="349">
        <f t="array" aca="1" ref="DX43:DX45" ca="1">MMULT(DT43:DV45,DN43:DN45)</f>
        <v>-4464.080609016808</v>
      </c>
      <c r="DY43" s="349"/>
      <c r="DZ43" s="349">
        <f t="array" aca="1" ref="DZ43:DZ45" ca="1">MMULT(DT43:DV45,DR43:DR45)</f>
        <v>7.2049895219891382E-12</v>
      </c>
      <c r="EB43" s="350">
        <f t="shared" ca="1" si="52"/>
        <v>0</v>
      </c>
      <c r="EC43" s="351">
        <f t="shared" ca="1" si="53"/>
        <v>0</v>
      </c>
      <c r="ED43" s="352">
        <f t="shared" ca="1" si="54"/>
        <v>0</v>
      </c>
      <c r="EE43" s="350">
        <f t="shared" ca="1" si="55"/>
        <v>0</v>
      </c>
      <c r="EF43" s="351">
        <f t="shared" ca="1" si="56"/>
        <v>0</v>
      </c>
      <c r="EG43" s="351">
        <f t="shared" ca="1" si="57"/>
        <v>0</v>
      </c>
      <c r="EH43" s="351">
        <f t="shared" ca="1" si="58"/>
        <v>0</v>
      </c>
      <c r="EI43" s="351">
        <f t="shared" ca="1" si="59"/>
        <v>0</v>
      </c>
      <c r="EJ43" s="352">
        <f t="shared" ca="1" si="60"/>
        <v>0</v>
      </c>
      <c r="EK43" s="350">
        <f t="shared" ca="1" si="195"/>
        <v>0</v>
      </c>
      <c r="EL43" s="351">
        <f t="shared" ca="1" si="196"/>
        <v>0</v>
      </c>
      <c r="EM43" s="351">
        <f t="shared" ca="1" si="197"/>
        <v>0</v>
      </c>
      <c r="EN43" s="351">
        <f t="shared" ca="1" si="198"/>
        <v>0</v>
      </c>
      <c r="EO43" s="351">
        <f t="shared" ca="1" si="199"/>
        <v>0</v>
      </c>
      <c r="EP43" s="352">
        <f t="shared" ca="1" si="200"/>
        <v>0</v>
      </c>
      <c r="EQ43" s="323">
        <f t="shared" ca="1" si="201"/>
        <v>0</v>
      </c>
      <c r="ER43" s="323">
        <f t="shared" ca="1" si="202"/>
        <v>0</v>
      </c>
      <c r="ES43" s="323">
        <f t="shared" ca="1" si="203"/>
        <v>0</v>
      </c>
      <c r="ET43" s="323">
        <f t="shared" ca="1" si="204"/>
        <v>0</v>
      </c>
      <c r="EU43" s="323">
        <f t="shared" ca="1" si="205"/>
        <v>0</v>
      </c>
      <c r="EV43" s="323">
        <f t="shared" ca="1" si="206"/>
        <v>0</v>
      </c>
      <c r="EW43" s="323">
        <f t="shared" ca="1" si="207"/>
        <v>0</v>
      </c>
      <c r="EX43" s="323">
        <f t="shared" ca="1" si="208"/>
        <v>0</v>
      </c>
      <c r="EY43" s="353" t="e">
        <f t="shared" ca="1" si="209"/>
        <v>#DIV/0!</v>
      </c>
      <c r="EZ43" s="353" t="e">
        <f t="shared" ca="1" si="210"/>
        <v>#DIV/0!</v>
      </c>
      <c r="FA43" s="321" t="e">
        <f t="shared" ca="1" si="211"/>
        <v>#DIV/0!</v>
      </c>
      <c r="FB43" s="354" t="e">
        <f t="shared" ca="1" si="212"/>
        <v>#DIV/0!</v>
      </c>
      <c r="FC43" s="321" t="e">
        <f t="shared" ca="1" si="213"/>
        <v>#DIV/0!</v>
      </c>
      <c r="FD43" s="321" t="e">
        <f t="shared" ca="1" si="214"/>
        <v>#DIV/0!</v>
      </c>
      <c r="FE43" s="355" t="e">
        <f t="shared" ca="1" si="215"/>
        <v>#DIV/0!</v>
      </c>
      <c r="FF43" s="338" t="e">
        <f t="shared" ca="1" si="216"/>
        <v>#DIV/0!</v>
      </c>
      <c r="FG43" s="335" t="e">
        <f t="shared" ca="1" si="217"/>
        <v>#DIV/0!</v>
      </c>
      <c r="FH43" s="356" t="e">
        <f t="shared" ca="1" si="218"/>
        <v>#DIV/0!</v>
      </c>
      <c r="FI43" s="335" t="e">
        <f t="shared" ca="1" si="219"/>
        <v>#DIV/0!</v>
      </c>
      <c r="FJ43" s="357" t="e">
        <f t="shared" ca="1" si="176"/>
        <v>#DIV/0!</v>
      </c>
      <c r="FK43" s="357" t="e">
        <f t="shared" ca="1" si="177"/>
        <v>#DIV/0!</v>
      </c>
      <c r="FL43" s="357" t="e">
        <f t="shared" ca="1" si="178"/>
        <v>#DIV/0!</v>
      </c>
      <c r="FM43" s="357" t="e">
        <f t="shared" ca="1" si="179"/>
        <v>#DIV/0!</v>
      </c>
      <c r="FN43" s="357" t="e">
        <f t="shared" ca="1" si="180"/>
        <v>#DIV/0!</v>
      </c>
      <c r="FO43" s="357" t="e">
        <f t="shared" ca="1" si="220"/>
        <v>#DIV/0!</v>
      </c>
      <c r="FP43" s="357" t="e">
        <f t="shared" ca="1" si="221"/>
        <v>#DIV/0!</v>
      </c>
      <c r="FR43" s="358"/>
      <c r="FS43" s="326">
        <v>0</v>
      </c>
      <c r="FT43" s="359">
        <f>FT42</f>
        <v>2.5795275590551156E-2</v>
      </c>
      <c r="FU43" s="326">
        <v>0</v>
      </c>
      <c r="FV43" s="359">
        <f t="shared" si="222"/>
        <v>2.5795275590551156E-2</v>
      </c>
      <c r="FW43" s="359">
        <v>0</v>
      </c>
      <c r="FX43" s="360">
        <f t="shared" si="223"/>
        <v>2.5795275590551156E-2</v>
      </c>
      <c r="FY43" s="358"/>
      <c r="FZ43" s="326">
        <v>0</v>
      </c>
      <c r="GA43" s="359">
        <f>GA42</f>
        <v>2.5795275590551156E-2</v>
      </c>
      <c r="GB43" s="326">
        <v>0</v>
      </c>
      <c r="GC43" s="362">
        <f t="shared" si="191"/>
        <v>2.5795275590551156E-2</v>
      </c>
      <c r="GD43" s="326">
        <v>0</v>
      </c>
      <c r="GE43" s="363">
        <f t="shared" si="224"/>
        <v>2.5795275590551156E-2</v>
      </c>
      <c r="GF43" s="364"/>
      <c r="GG43" s="365">
        <v>0</v>
      </c>
      <c r="GH43" s="320">
        <f>GH42</f>
        <v>2.5795275590551156E-2</v>
      </c>
      <c r="GI43" s="366">
        <v>0</v>
      </c>
      <c r="GJ43" s="366">
        <f t="shared" si="192"/>
        <v>2.5795275590551156E-2</v>
      </c>
      <c r="GK43" s="366">
        <v>0</v>
      </c>
      <c r="GL43" s="366">
        <f t="shared" si="193"/>
        <v>2.5795275590551156E-2</v>
      </c>
      <c r="GN43" s="359">
        <f t="shared" si="69"/>
        <v>2.5795275590551156E-2</v>
      </c>
      <c r="GO43" s="367"/>
      <c r="GP43" s="367"/>
      <c r="GQ43" s="367"/>
      <c r="GR43" s="367"/>
      <c r="GS43" s="367"/>
      <c r="GT43" s="367"/>
      <c r="GU43" s="367"/>
      <c r="HH43" s="321" t="str">
        <f ca="1">IF(D42="","",INDEX(INDIRECT(AE60),MATCH(HH15,Matl!B3:B29,0),MATCH(D42,Matl!D2:K2,0)))</f>
        <v/>
      </c>
      <c r="HI43" s="314" t="str">
        <f ca="1">IF(D42="","",INDEX(INDIRECT(AE60),MATCH(HI15,Matl!B3:B29,0),MATCH(D42,Matl!D2:K2,0)))</f>
        <v/>
      </c>
      <c r="HO43" s="338"/>
      <c r="HP43" s="338"/>
      <c r="HQ43" s="338"/>
      <c r="HR43" s="338"/>
      <c r="HS43" s="338"/>
      <c r="HT43" s="338"/>
      <c r="HU43" s="338"/>
      <c r="HV43" s="338"/>
      <c r="HW43" s="338"/>
      <c r="HX43" s="338"/>
      <c r="HY43" s="338"/>
      <c r="HZ43" s="338"/>
      <c r="IA43" s="338"/>
      <c r="IB43" s="338"/>
      <c r="IC43" s="338"/>
      <c r="ID43" s="338"/>
      <c r="IE43" s="338"/>
      <c r="IF43" s="338"/>
      <c r="IG43" s="338"/>
      <c r="IH43" s="338"/>
      <c r="II43" s="338"/>
      <c r="IJ43" s="338">
        <v>16</v>
      </c>
      <c r="IK43" s="342">
        <f>IK27-(IK27-IK57)*IJ43/(IJ56+1)</f>
        <v>1.6755160819145563</v>
      </c>
      <c r="IL43" s="338">
        <f>IK27*SIN(IK59)</f>
        <v>0</v>
      </c>
      <c r="IM43" s="338">
        <f>IK27*SIN(IK44)+IF29</f>
        <v>0</v>
      </c>
      <c r="IN43" s="338"/>
      <c r="IO43" s="338"/>
      <c r="IP43" s="338"/>
    </row>
    <row r="44" spans="1:250" s="314" customFormat="1" ht="12" x14ac:dyDescent="0.25">
      <c r="A44" s="310">
        <v>29</v>
      </c>
      <c r="B44" s="311"/>
      <c r="C44" s="311"/>
      <c r="D44" s="380"/>
      <c r="E44" s="380"/>
      <c r="F44" s="312">
        <f>IF(C44="",INDEX(Matl!$C$15:$K$15,MATCH(D44,Matl!$C$2:$K$2,0)),C44)</f>
        <v>0</v>
      </c>
      <c r="G44" s="313"/>
      <c r="H44" s="313"/>
      <c r="I44" s="313"/>
      <c r="J44" s="313"/>
      <c r="K44" s="313"/>
      <c r="M44" s="315"/>
      <c r="N44" s="315"/>
      <c r="O44" s="315"/>
      <c r="P44" s="316"/>
      <c r="Q44" s="316"/>
      <c r="R44" s="316"/>
      <c r="S44" s="316"/>
      <c r="T44" s="315"/>
      <c r="U44" s="317"/>
      <c r="V44" s="317"/>
      <c r="W44" s="317">
        <f t="shared" si="3"/>
        <v>0</v>
      </c>
      <c r="X44" s="317"/>
      <c r="Y44" s="317"/>
      <c r="Z44" s="318" t="str">
        <f t="shared" si="4"/>
        <v/>
      </c>
      <c r="AA44" s="319" t="str">
        <f t="shared" si="5"/>
        <v/>
      </c>
      <c r="AB44" s="314" t="str">
        <f t="shared" si="6"/>
        <v/>
      </c>
      <c r="AC44" s="320">
        <f t="shared" si="7"/>
        <v>0</v>
      </c>
      <c r="AD44" s="320">
        <f>IF(D44="",0,SUM(F15:F44))</f>
        <v>0</v>
      </c>
      <c r="AE44" s="320">
        <f>IF(D44="",0,SUM(F16:F50)/2-AD44)</f>
        <v>0</v>
      </c>
      <c r="AF44" s="320">
        <f t="shared" si="8"/>
        <v>0</v>
      </c>
      <c r="AG44" s="320">
        <f>IF(D44="",0,(AD44+AD43)/2-SUM(F16:F50)/2)</f>
        <v>0</v>
      </c>
      <c r="AH44" s="321">
        <f ca="1">IF(D44="",0,INDEX(INDIRECT($AE$60),MATCH(AH$14,Matl!$B$3:$B$17,0),MATCH(D44,Matl!$D$2:$K$2,0)))</f>
        <v>0</v>
      </c>
      <c r="AI44" s="321">
        <f ca="1">IF(D44="",0,INDEX(INDIRECT($AE$60),MATCH(AI$14,Matl!$B$3:$B$17,0),MATCH(D44,Matl!$D$2:$K$2,0)))</f>
        <v>0</v>
      </c>
      <c r="AJ44" s="321">
        <f ca="1">IF(D44="",0,INDEX(INDIRECT(AE60),MATCH(AJ14,Matl!B3:B15,0),MATCH(D44,Matl!D2:K2,0)))</f>
        <v>0</v>
      </c>
      <c r="AK44" s="322">
        <f t="shared" si="9"/>
        <v>0</v>
      </c>
      <c r="AL44" s="321">
        <f ca="1">IF(D44="",0,INDEX(INDIRECT(AE60),MATCH(AL14,Matl!B3:B15,0),MATCH(D44,Matl!D2:K2,0)))</f>
        <v>0</v>
      </c>
      <c r="AM44" s="323">
        <f ca="1">IF(D44="",0,INDEX(INDIRECT(AE60),MATCH(AM14,Matl!B3:B15,0),MATCH(D44,Matl!D2:K2,0)))</f>
        <v>0</v>
      </c>
      <c r="AN44" s="323">
        <f ca="1">IF(D44="",0,INDEX(INDIRECT(AE60),MATCH(AN14,Matl!B3:B15,0),MATCH(D44,Matl!D2:K2,0)))</f>
        <v>0</v>
      </c>
      <c r="AO44" s="323">
        <f ca="1">IF(D44="",0,INDEX(INDIRECT(AE60),MATCH(AO14,Matl!B3:B15,0),MATCH(D44,Matl!D2:K2,0)))</f>
        <v>0</v>
      </c>
      <c r="AP44" s="323">
        <f ca="1">IF(D44="",0,INDEX(INDIRECT(AE60),MATCH(AP14,Matl!B3:B15,0),MATCH(D44,Matl!D2:K2,0)))</f>
        <v>0</v>
      </c>
      <c r="AQ44" s="323">
        <f ca="1">IF(D44="",0,INDEX(INDIRECT(AE60),MATCH(AQ14,Matl!B3:B15,0),MATCH(D44,Matl!D2:K2,0)))</f>
        <v>0</v>
      </c>
      <c r="AR44" s="321"/>
      <c r="AS44" s="321"/>
      <c r="AT44" s="324">
        <f t="shared" ca="1" si="10"/>
        <v>0</v>
      </c>
      <c r="AU44" s="325">
        <f t="shared" ca="1" si="11"/>
        <v>0</v>
      </c>
      <c r="AV44" s="325">
        <f t="shared" ca="1" si="12"/>
        <v>0</v>
      </c>
      <c r="AW44" s="325">
        <f t="shared" ca="1" si="13"/>
        <v>0</v>
      </c>
      <c r="AX44" s="326">
        <v>0</v>
      </c>
      <c r="AY44" s="326">
        <v>0</v>
      </c>
      <c r="AZ44" s="326">
        <v>0</v>
      </c>
      <c r="BA44" s="326">
        <v>0</v>
      </c>
      <c r="BB44" s="327">
        <f t="shared" ca="1" si="14"/>
        <v>0</v>
      </c>
      <c r="BC44" s="328"/>
      <c r="BD44" s="324">
        <f t="shared" ca="1" si="15"/>
        <v>0</v>
      </c>
      <c r="BE44" s="325">
        <f t="shared" ca="1" si="16"/>
        <v>0</v>
      </c>
      <c r="BF44" s="325">
        <f t="shared" ca="1" si="17"/>
        <v>0</v>
      </c>
      <c r="BG44" s="325">
        <f t="shared" ca="1" si="18"/>
        <v>0</v>
      </c>
      <c r="BH44" s="325">
        <f t="shared" ca="1" si="19"/>
        <v>0</v>
      </c>
      <c r="BI44" s="325">
        <f t="shared" ca="1" si="20"/>
        <v>0</v>
      </c>
      <c r="BJ44" s="325">
        <f t="shared" ca="1" si="21"/>
        <v>0</v>
      </c>
      <c r="BK44" s="325">
        <f t="shared" ca="1" si="22"/>
        <v>0</v>
      </c>
      <c r="BL44" s="329">
        <f t="shared" ca="1" si="23"/>
        <v>0</v>
      </c>
      <c r="BM44" s="330"/>
      <c r="BN44" s="324">
        <f t="shared" ca="1" si="24"/>
        <v>0</v>
      </c>
      <c r="BO44" s="325">
        <f t="shared" ca="1" si="25"/>
        <v>0</v>
      </c>
      <c r="BP44" s="325">
        <f t="shared" ca="1" si="26"/>
        <v>0</v>
      </c>
      <c r="BQ44" s="325">
        <f t="shared" ca="1" si="27"/>
        <v>0</v>
      </c>
      <c r="BR44" s="325">
        <f t="shared" ca="1" si="28"/>
        <v>0</v>
      </c>
      <c r="BS44" s="325">
        <f t="shared" ca="1" si="29"/>
        <v>0</v>
      </c>
      <c r="BT44" s="325">
        <f t="shared" ca="1" si="30"/>
        <v>0</v>
      </c>
      <c r="BU44" s="325">
        <f t="shared" ca="1" si="31"/>
        <v>0</v>
      </c>
      <c r="BV44" s="329">
        <f t="shared" ca="1" si="32"/>
        <v>0</v>
      </c>
      <c r="BW44" s="330"/>
      <c r="BX44" s="325">
        <f t="shared" ca="1" si="33"/>
        <v>0</v>
      </c>
      <c r="BY44" s="325">
        <f t="shared" ca="1" si="34"/>
        <v>0</v>
      </c>
      <c r="BZ44" s="325">
        <f t="shared" ca="1" si="35"/>
        <v>0</v>
      </c>
      <c r="CA44" s="325">
        <f t="shared" ca="1" si="36"/>
        <v>0</v>
      </c>
      <c r="CB44" s="325">
        <f t="shared" ca="1" si="37"/>
        <v>0</v>
      </c>
      <c r="CC44" s="325">
        <f t="shared" ca="1" si="38"/>
        <v>0</v>
      </c>
      <c r="CD44" s="325">
        <f t="shared" ca="1" si="39"/>
        <v>0</v>
      </c>
      <c r="CE44" s="325">
        <f t="shared" ca="1" si="40"/>
        <v>0</v>
      </c>
      <c r="CF44" s="325">
        <f t="shared" ca="1" si="41"/>
        <v>0</v>
      </c>
      <c r="CG44" s="330"/>
      <c r="CH44" s="331">
        <f t="shared" ca="1" si="42"/>
        <v>0</v>
      </c>
      <c r="CI44" s="332">
        <f t="shared" ca="1" si="43"/>
        <v>0</v>
      </c>
      <c r="CJ44" s="332">
        <f t="shared" ca="1" si="44"/>
        <v>0</v>
      </c>
      <c r="CK44" s="332">
        <f t="shared" ca="1" si="45"/>
        <v>0</v>
      </c>
      <c r="CL44" s="332">
        <f t="shared" ca="1" si="46"/>
        <v>0</v>
      </c>
      <c r="CM44" s="332">
        <f t="shared" ca="1" si="47"/>
        <v>0</v>
      </c>
      <c r="CN44" s="332">
        <f t="shared" ca="1" si="48"/>
        <v>0</v>
      </c>
      <c r="CO44" s="332">
        <f t="shared" ca="1" si="49"/>
        <v>0</v>
      </c>
      <c r="CP44" s="333">
        <f t="shared" ca="1" si="50"/>
        <v>0</v>
      </c>
      <c r="CR44" s="334"/>
      <c r="CS44" s="335"/>
      <c r="CT44" s="335"/>
      <c r="CU44" s="336" t="s">
        <v>131</v>
      </c>
      <c r="CV44" s="337">
        <f ca="1">AE71</f>
        <v>4.0799587495451728E-5</v>
      </c>
      <c r="CW44" s="338"/>
      <c r="CX44" s="324">
        <f ca="1">BG25</f>
        <v>3532739.9800676531</v>
      </c>
      <c r="CY44" s="325">
        <f ca="1">BE25</f>
        <v>4652721.392903653</v>
      </c>
      <c r="CZ44" s="329">
        <f ca="1">BK25</f>
        <v>0</v>
      </c>
      <c r="DA44" s="338"/>
      <c r="DB44" s="342">
        <f ca="1"/>
        <v>1802.4758241316983</v>
      </c>
      <c r="DC44" s="338"/>
      <c r="DD44" s="343">
        <f ca="1">-AE75*AE44/F69</f>
        <v>0</v>
      </c>
      <c r="DE44" s="344">
        <f ca="1">-AE75*AF44/F69</f>
        <v>0</v>
      </c>
      <c r="DF44" s="344">
        <f ca="1">-AE76*AE44/F70</f>
        <v>0</v>
      </c>
      <c r="DG44" s="344">
        <f ca="1">-AE76*AF44/F70</f>
        <v>0</v>
      </c>
      <c r="DH44" s="344">
        <f ca="1">-AE77*AE44/F69</f>
        <v>0</v>
      </c>
      <c r="DI44" s="345">
        <f ca="1">-AE77*AF44/F69</f>
        <v>0</v>
      </c>
      <c r="DJ44" s="338"/>
      <c r="DK44" s="338"/>
      <c r="DL44" s="338"/>
      <c r="DM44" s="346" t="s">
        <v>131</v>
      </c>
      <c r="DN44" s="347">
        <f ca="1">INDEX(DG16:DG115,MATCH(DJ43,A16:A50,0))</f>
        <v>-1.3290757630622204E-4</v>
      </c>
      <c r="DO44" s="338"/>
      <c r="DP44" s="338"/>
      <c r="DQ44" s="346" t="s">
        <v>132</v>
      </c>
      <c r="DR44" s="347">
        <f ca="1">INDEX(DF16:DF115,MATCH(DJ43,A16:A50,0))</f>
        <v>2.1451173904545775E-19</v>
      </c>
      <c r="DS44" s="338"/>
      <c r="DT44" s="324">
        <f t="shared" ref="DT44:DT45" ca="1" si="231">CX44</f>
        <v>3532739.9800676531</v>
      </c>
      <c r="DU44" s="325">
        <f t="shared" ca="1" si="102"/>
        <v>4652721.392903653</v>
      </c>
      <c r="DV44" s="329">
        <f t="shared" ca="1" si="103"/>
        <v>0</v>
      </c>
      <c r="DW44" s="338"/>
      <c r="DX44" s="349">
        <f ca="1"/>
        <v>-3651.3845119428079</v>
      </c>
      <c r="DY44" s="349"/>
      <c r="DZ44" s="349">
        <f ca="1"/>
        <v>5.8933046809599621E-12</v>
      </c>
      <c r="EB44" s="350">
        <f t="shared" ca="1" si="52"/>
        <v>0</v>
      </c>
      <c r="EC44" s="351">
        <f t="shared" ca="1" si="53"/>
        <v>0</v>
      </c>
      <c r="ED44" s="352">
        <f t="shared" ca="1" si="54"/>
        <v>0</v>
      </c>
      <c r="EE44" s="350">
        <f t="shared" ca="1" si="55"/>
        <v>0</v>
      </c>
      <c r="EF44" s="351">
        <f t="shared" ca="1" si="56"/>
        <v>0</v>
      </c>
      <c r="EG44" s="351">
        <f t="shared" ca="1" si="57"/>
        <v>0</v>
      </c>
      <c r="EH44" s="351">
        <f t="shared" ca="1" si="58"/>
        <v>0</v>
      </c>
      <c r="EI44" s="351">
        <f t="shared" ca="1" si="59"/>
        <v>0</v>
      </c>
      <c r="EJ44" s="352">
        <f t="shared" ca="1" si="60"/>
        <v>0</v>
      </c>
      <c r="EK44" s="350">
        <f t="shared" ca="1" si="195"/>
        <v>0</v>
      </c>
      <c r="EL44" s="351">
        <f t="shared" ca="1" si="196"/>
        <v>0</v>
      </c>
      <c r="EM44" s="351">
        <f t="shared" ca="1" si="197"/>
        <v>0</v>
      </c>
      <c r="EN44" s="351">
        <f t="shared" ca="1" si="198"/>
        <v>0</v>
      </c>
      <c r="EO44" s="351">
        <f t="shared" ca="1" si="199"/>
        <v>0</v>
      </c>
      <c r="EP44" s="352">
        <f t="shared" ca="1" si="200"/>
        <v>0</v>
      </c>
      <c r="EQ44" s="323">
        <f t="shared" ca="1" si="201"/>
        <v>0</v>
      </c>
      <c r="ER44" s="323">
        <f t="shared" ca="1" si="202"/>
        <v>0</v>
      </c>
      <c r="ES44" s="323">
        <f t="shared" ca="1" si="203"/>
        <v>0</v>
      </c>
      <c r="ET44" s="323">
        <f t="shared" ca="1" si="204"/>
        <v>0</v>
      </c>
      <c r="EU44" s="323">
        <f t="shared" ca="1" si="205"/>
        <v>0</v>
      </c>
      <c r="EV44" s="323">
        <f t="shared" ca="1" si="206"/>
        <v>0</v>
      </c>
      <c r="EW44" s="323">
        <f t="shared" ca="1" si="207"/>
        <v>0</v>
      </c>
      <c r="EX44" s="323">
        <f t="shared" ca="1" si="208"/>
        <v>0</v>
      </c>
      <c r="EY44" s="353" t="e">
        <f t="shared" ca="1" si="209"/>
        <v>#DIV/0!</v>
      </c>
      <c r="EZ44" s="353" t="e">
        <f t="shared" ca="1" si="210"/>
        <v>#DIV/0!</v>
      </c>
      <c r="FA44" s="321" t="e">
        <f t="shared" ca="1" si="211"/>
        <v>#DIV/0!</v>
      </c>
      <c r="FB44" s="354" t="e">
        <f t="shared" ca="1" si="212"/>
        <v>#DIV/0!</v>
      </c>
      <c r="FC44" s="321" t="e">
        <f t="shared" ca="1" si="213"/>
        <v>#DIV/0!</v>
      </c>
      <c r="FD44" s="321" t="e">
        <f t="shared" ca="1" si="214"/>
        <v>#DIV/0!</v>
      </c>
      <c r="FE44" s="355" t="e">
        <f t="shared" ca="1" si="215"/>
        <v>#DIV/0!</v>
      </c>
      <c r="FF44" s="338" t="e">
        <f t="shared" ca="1" si="216"/>
        <v>#DIV/0!</v>
      </c>
      <c r="FG44" s="335" t="e">
        <f t="shared" ca="1" si="217"/>
        <v>#DIV/0!</v>
      </c>
      <c r="FH44" s="356" t="e">
        <f t="shared" ca="1" si="218"/>
        <v>#DIV/0!</v>
      </c>
      <c r="FI44" s="335" t="e">
        <f t="shared" ca="1" si="219"/>
        <v>#DIV/0!</v>
      </c>
      <c r="FJ44" s="357" t="e">
        <f t="shared" ca="1" si="176"/>
        <v>#DIV/0!</v>
      </c>
      <c r="FK44" s="357" t="e">
        <f t="shared" ca="1" si="177"/>
        <v>#DIV/0!</v>
      </c>
      <c r="FL44" s="357" t="e">
        <f t="shared" ca="1" si="178"/>
        <v>#DIV/0!</v>
      </c>
      <c r="FM44" s="357" t="e">
        <f t="shared" ca="1" si="179"/>
        <v>#DIV/0!</v>
      </c>
      <c r="FN44" s="357" t="e">
        <f t="shared" ca="1" si="180"/>
        <v>#DIV/0!</v>
      </c>
      <c r="FO44" s="357" t="e">
        <f t="shared" ca="1" si="220"/>
        <v>#DIV/0!</v>
      </c>
      <c r="FP44" s="357" t="e">
        <f t="shared" ca="1" si="221"/>
        <v>#DIV/0!</v>
      </c>
      <c r="FR44" s="358">
        <f>FR40+1</f>
        <v>8</v>
      </c>
      <c r="FS44" s="326">
        <v>0</v>
      </c>
      <c r="FT44" s="359">
        <f>INDEX(AF16:AF115,MATCH(GF44,A16:A115,0))</f>
        <v>2.5795275590551163E-2</v>
      </c>
      <c r="FU44" s="326">
        <v>0</v>
      </c>
      <c r="FV44" s="359">
        <f>FT44</f>
        <v>2.5795275590551163E-2</v>
      </c>
      <c r="FW44" s="359">
        <v>0</v>
      </c>
      <c r="FX44" s="360">
        <f>FV44</f>
        <v>2.5795275590551163E-2</v>
      </c>
      <c r="FY44" s="358">
        <f>FY40+1</f>
        <v>8</v>
      </c>
      <c r="FZ44" s="326">
        <v>0</v>
      </c>
      <c r="GA44" s="359">
        <f>FT44</f>
        <v>2.5795275590551163E-2</v>
      </c>
      <c r="GB44" s="361">
        <v>0</v>
      </c>
      <c r="GC44" s="362">
        <f t="shared" si="191"/>
        <v>2.5795275590551163E-2</v>
      </c>
      <c r="GD44" s="326">
        <v>0</v>
      </c>
      <c r="GE44" s="363">
        <f>GC44</f>
        <v>2.5795275590551163E-2</v>
      </c>
      <c r="GF44" s="364">
        <f>GF40+1</f>
        <v>8</v>
      </c>
      <c r="GG44" s="365">
        <v>0</v>
      </c>
      <c r="GH44" s="320">
        <f>FT44</f>
        <v>2.5795275590551163E-2</v>
      </c>
      <c r="GI44" s="366">
        <v>0</v>
      </c>
      <c r="GJ44" s="366">
        <f t="shared" si="192"/>
        <v>2.5795275590551163E-2</v>
      </c>
      <c r="GK44" s="366">
        <v>0</v>
      </c>
      <c r="GL44" s="366">
        <f t="shared" si="193"/>
        <v>2.5795275590551163E-2</v>
      </c>
      <c r="GM44" s="372">
        <f>GM40+1</f>
        <v>8</v>
      </c>
      <c r="GN44" s="359">
        <f t="shared" si="69"/>
        <v>2.5795275590551163E-2</v>
      </c>
      <c r="GO44" s="367"/>
      <c r="GP44" s="367"/>
      <c r="GQ44" s="367"/>
      <c r="GR44" s="367"/>
      <c r="GS44" s="367"/>
      <c r="GT44" s="367"/>
      <c r="GU44" s="367"/>
      <c r="HH44" s="321" t="str">
        <f ca="1">IF(D43="","",INDEX(INDIRECT(AE60),MATCH(HH15,Matl!B3:B29,0),MATCH(D43,Matl!D2:K2,0)))</f>
        <v/>
      </c>
      <c r="HI44" s="314" t="str">
        <f ca="1">IF(D43="","",INDEX(INDIRECT(AE60),MATCH(HI15,Matl!B3:B29,0),MATCH(D43,Matl!D2:K2,0)))</f>
        <v/>
      </c>
      <c r="HO44" s="338"/>
      <c r="HP44" s="338"/>
      <c r="HQ44" s="338"/>
      <c r="HR44" s="338"/>
      <c r="HS44" s="338"/>
      <c r="HT44" s="338"/>
      <c r="HU44" s="338"/>
      <c r="HV44" s="338"/>
      <c r="HW44" s="338"/>
      <c r="HX44" s="338"/>
      <c r="HY44" s="338"/>
      <c r="HZ44" s="338"/>
      <c r="IA44" s="338"/>
      <c r="IB44" s="338"/>
      <c r="IC44" s="338"/>
      <c r="ID44" s="338">
        <f ca="1">-IK25*SIN(IK42)+IF27</f>
        <v>-3000</v>
      </c>
      <c r="IE44" s="338">
        <f ca="1">IK25*SIN(IK27)</f>
        <v>0</v>
      </c>
      <c r="IF44" s="338"/>
      <c r="IG44" s="338">
        <f ca="1">ABS(IE27)</f>
        <v>3000</v>
      </c>
      <c r="IH44" s="338"/>
      <c r="II44" s="338"/>
      <c r="IJ44" s="338">
        <v>17</v>
      </c>
      <c r="IK44" s="342">
        <f>IK27-(IK27-IK57)*IJ44/(IJ56+1)</f>
        <v>1.7802358370342162</v>
      </c>
      <c r="IL44" s="338">
        <f>IK28*SIN(IK60)</f>
        <v>0</v>
      </c>
      <c r="IM44" s="338">
        <f>IK28*SIN(IK45)+IF30</f>
        <v>9.9594405491385193E-2</v>
      </c>
      <c r="IN44" s="338"/>
      <c r="IO44" s="338"/>
      <c r="IP44" s="338"/>
    </row>
    <row r="45" spans="1:250" s="314" customFormat="1" ht="12" x14ac:dyDescent="0.25">
      <c r="A45" s="310">
        <v>30</v>
      </c>
      <c r="B45" s="311"/>
      <c r="C45" s="311"/>
      <c r="D45" s="380"/>
      <c r="E45" s="380"/>
      <c r="F45" s="312">
        <f>IF(C45="",INDEX(Matl!$C$15:$K$15,MATCH(D45,Matl!$C$2:$K$2,0)),C45)</f>
        <v>0</v>
      </c>
      <c r="G45" s="313"/>
      <c r="H45" s="313"/>
      <c r="I45" s="313"/>
      <c r="J45" s="313"/>
      <c r="K45" s="313"/>
      <c r="M45" s="315"/>
      <c r="N45" s="315"/>
      <c r="O45" s="315"/>
      <c r="P45" s="316"/>
      <c r="Q45" s="316"/>
      <c r="R45" s="316"/>
      <c r="S45" s="316"/>
      <c r="T45" s="315"/>
      <c r="U45" s="317"/>
      <c r="V45" s="317"/>
      <c r="W45" s="317">
        <f t="shared" si="3"/>
        <v>0</v>
      </c>
      <c r="X45" s="317"/>
      <c r="Y45" s="317"/>
      <c r="Z45" s="318" t="str">
        <f t="shared" si="4"/>
        <v/>
      </c>
      <c r="AA45" s="319" t="str">
        <f t="shared" si="5"/>
        <v/>
      </c>
      <c r="AB45" s="314" t="str">
        <f t="shared" si="6"/>
        <v/>
      </c>
      <c r="AC45" s="320">
        <f t="shared" si="7"/>
        <v>0</v>
      </c>
      <c r="AD45" s="320">
        <f>IF(D45="",0,SUM(F15:F45))</f>
        <v>0</v>
      </c>
      <c r="AE45" s="320">
        <f>IF(D45="",0,SUM(F16:F50)/2-AD45)</f>
        <v>0</v>
      </c>
      <c r="AF45" s="320">
        <f t="shared" si="8"/>
        <v>0</v>
      </c>
      <c r="AG45" s="320">
        <f>IF(D45="",0,(AD45+AD44)/2-SUM(F16:F50)/2)</f>
        <v>0</v>
      </c>
      <c r="AH45" s="321">
        <f ca="1">IF(D45="",0,INDEX(INDIRECT($AE$60),MATCH(AH$14,Matl!$B$3:$B$17,0),MATCH(D45,Matl!$D$2:$K$2,0)))</f>
        <v>0</v>
      </c>
      <c r="AI45" s="321">
        <f ca="1">IF(D45="",0,INDEX(INDIRECT($AE$60),MATCH(AI$14,Matl!$B$3:$B$17,0),MATCH(D45,Matl!$D$2:$K$2,0)))</f>
        <v>0</v>
      </c>
      <c r="AJ45" s="321">
        <f ca="1">IF(D45="",0,INDEX(INDIRECT(AE60),MATCH(AJ14,Matl!B3:B15,0),MATCH(D45,Matl!D2:K2,0)))</f>
        <v>0</v>
      </c>
      <c r="AK45" s="322">
        <f t="shared" si="9"/>
        <v>0</v>
      </c>
      <c r="AL45" s="321">
        <f ca="1">IF(D45="",0,INDEX(INDIRECT(AE60),MATCH(AL14,Matl!B3:B15,0),MATCH(D45,Matl!D2:K2,0)))</f>
        <v>0</v>
      </c>
      <c r="AM45" s="323">
        <f ca="1">IF(D45="",0,INDEX(INDIRECT(AE60),MATCH(AM14,Matl!B3:B15,0),MATCH(D45,Matl!D2:K2,0)))</f>
        <v>0</v>
      </c>
      <c r="AN45" s="323">
        <f ca="1">IF(D45="",0,INDEX(INDIRECT(AE60),MATCH(AN14,Matl!B3:B15,0),MATCH(D45,Matl!D2:K2,0)))</f>
        <v>0</v>
      </c>
      <c r="AO45" s="323">
        <f ca="1">IF(D45="",0,INDEX(INDIRECT(AE60),MATCH(AO14,Matl!B3:B15,0),MATCH(D45,Matl!D2:K2,0)))</f>
        <v>0</v>
      </c>
      <c r="AP45" s="323">
        <f ca="1">IF(D45="",0,INDEX(INDIRECT(AE60),MATCH(AP14,Matl!B3:B15,0),MATCH(D45,Matl!D2:K2,0)))</f>
        <v>0</v>
      </c>
      <c r="AQ45" s="323">
        <f ca="1">IF(D45="",0,INDEX(INDIRECT(AE60),MATCH(AQ14,Matl!B3:B15,0),MATCH(D45,Matl!D2:K2,0)))</f>
        <v>0</v>
      </c>
      <c r="AR45" s="321"/>
      <c r="AS45" s="321"/>
      <c r="AT45" s="324">
        <f t="shared" ca="1" si="10"/>
        <v>0</v>
      </c>
      <c r="AU45" s="325">
        <f t="shared" ca="1" si="11"/>
        <v>0</v>
      </c>
      <c r="AV45" s="325">
        <f t="shared" ca="1" si="12"/>
        <v>0</v>
      </c>
      <c r="AW45" s="325">
        <f t="shared" ca="1" si="13"/>
        <v>0</v>
      </c>
      <c r="AX45" s="326">
        <v>0</v>
      </c>
      <c r="AY45" s="326">
        <v>0</v>
      </c>
      <c r="AZ45" s="326">
        <v>0</v>
      </c>
      <c r="BA45" s="326">
        <v>0</v>
      </c>
      <c r="BB45" s="327">
        <f t="shared" ca="1" si="14"/>
        <v>0</v>
      </c>
      <c r="BC45" s="328"/>
      <c r="BD45" s="324">
        <f t="shared" ca="1" si="15"/>
        <v>0</v>
      </c>
      <c r="BE45" s="325">
        <f t="shared" ca="1" si="16"/>
        <v>0</v>
      </c>
      <c r="BF45" s="325">
        <f t="shared" ca="1" si="17"/>
        <v>0</v>
      </c>
      <c r="BG45" s="325">
        <f t="shared" ca="1" si="18"/>
        <v>0</v>
      </c>
      <c r="BH45" s="325">
        <f t="shared" ca="1" si="19"/>
        <v>0</v>
      </c>
      <c r="BI45" s="325">
        <f t="shared" ca="1" si="20"/>
        <v>0</v>
      </c>
      <c r="BJ45" s="325">
        <f t="shared" ca="1" si="21"/>
        <v>0</v>
      </c>
      <c r="BK45" s="325">
        <f t="shared" ca="1" si="22"/>
        <v>0</v>
      </c>
      <c r="BL45" s="329">
        <f t="shared" ca="1" si="23"/>
        <v>0</v>
      </c>
      <c r="BM45" s="330"/>
      <c r="BN45" s="324">
        <f t="shared" ca="1" si="24"/>
        <v>0</v>
      </c>
      <c r="BO45" s="325">
        <f t="shared" ca="1" si="25"/>
        <v>0</v>
      </c>
      <c r="BP45" s="325">
        <f t="shared" ca="1" si="26"/>
        <v>0</v>
      </c>
      <c r="BQ45" s="325">
        <f t="shared" ca="1" si="27"/>
        <v>0</v>
      </c>
      <c r="BR45" s="325">
        <f t="shared" ca="1" si="28"/>
        <v>0</v>
      </c>
      <c r="BS45" s="325">
        <f t="shared" ca="1" si="29"/>
        <v>0</v>
      </c>
      <c r="BT45" s="325">
        <f t="shared" ca="1" si="30"/>
        <v>0</v>
      </c>
      <c r="BU45" s="325">
        <f t="shared" ca="1" si="31"/>
        <v>0</v>
      </c>
      <c r="BV45" s="329">
        <f t="shared" ca="1" si="32"/>
        <v>0</v>
      </c>
      <c r="BW45" s="330"/>
      <c r="BX45" s="325">
        <f t="shared" ca="1" si="33"/>
        <v>0</v>
      </c>
      <c r="BY45" s="325">
        <f t="shared" ca="1" si="34"/>
        <v>0</v>
      </c>
      <c r="BZ45" s="325">
        <f t="shared" ca="1" si="35"/>
        <v>0</v>
      </c>
      <c r="CA45" s="325">
        <f t="shared" ca="1" si="36"/>
        <v>0</v>
      </c>
      <c r="CB45" s="325">
        <f t="shared" ca="1" si="37"/>
        <v>0</v>
      </c>
      <c r="CC45" s="325">
        <f t="shared" ca="1" si="38"/>
        <v>0</v>
      </c>
      <c r="CD45" s="325">
        <f t="shared" ca="1" si="39"/>
        <v>0</v>
      </c>
      <c r="CE45" s="325">
        <f t="shared" ca="1" si="40"/>
        <v>0</v>
      </c>
      <c r="CF45" s="325">
        <f t="shared" ca="1" si="41"/>
        <v>0</v>
      </c>
      <c r="CG45" s="330"/>
      <c r="CH45" s="331">
        <f t="shared" ca="1" si="42"/>
        <v>0</v>
      </c>
      <c r="CI45" s="332">
        <f t="shared" ca="1" si="43"/>
        <v>0</v>
      </c>
      <c r="CJ45" s="332">
        <f t="shared" ca="1" si="44"/>
        <v>0</v>
      </c>
      <c r="CK45" s="332">
        <f t="shared" ca="1" si="45"/>
        <v>0</v>
      </c>
      <c r="CL45" s="332">
        <f t="shared" ca="1" si="46"/>
        <v>0</v>
      </c>
      <c r="CM45" s="332">
        <f t="shared" ca="1" si="47"/>
        <v>0</v>
      </c>
      <c r="CN45" s="332">
        <f t="shared" ca="1" si="48"/>
        <v>0</v>
      </c>
      <c r="CO45" s="332">
        <f t="shared" ca="1" si="49"/>
        <v>0</v>
      </c>
      <c r="CP45" s="333">
        <f t="shared" ca="1" si="50"/>
        <v>0</v>
      </c>
      <c r="CR45" s="334"/>
      <c r="CS45" s="335"/>
      <c r="CT45" s="335"/>
      <c r="CU45" s="336" t="s">
        <v>133</v>
      </c>
      <c r="CV45" s="337">
        <f ca="1">AE72</f>
        <v>-2.771243444540907E-4</v>
      </c>
      <c r="CW45" s="338"/>
      <c r="CX45" s="369">
        <f ca="1">BI25</f>
        <v>0</v>
      </c>
      <c r="CY45" s="370">
        <f ca="1">BJ25</f>
        <v>0</v>
      </c>
      <c r="CZ45" s="371">
        <f ca="1">BL25</f>
        <v>3636694.5948847961</v>
      </c>
      <c r="DA45" s="338"/>
      <c r="DB45" s="342">
        <f ca="1"/>
        <v>-1007.8166055871841</v>
      </c>
      <c r="DC45" s="338"/>
      <c r="DD45" s="343">
        <f ca="1">-AE75*AE45/F69</f>
        <v>0</v>
      </c>
      <c r="DE45" s="344">
        <f ca="1">-AE75*AF45/F69</f>
        <v>0</v>
      </c>
      <c r="DF45" s="344">
        <f ca="1">-AE76*AE45/F70</f>
        <v>0</v>
      </c>
      <c r="DG45" s="344">
        <f ca="1">-AE76*AF45/F70</f>
        <v>0</v>
      </c>
      <c r="DH45" s="344">
        <f ca="1">-AE77*AE45/F69</f>
        <v>0</v>
      </c>
      <c r="DI45" s="345">
        <f ca="1">-AE77*AF45/F69</f>
        <v>0</v>
      </c>
      <c r="DJ45" s="338"/>
      <c r="DK45" s="338"/>
      <c r="DL45" s="338"/>
      <c r="DM45" s="346" t="s">
        <v>133</v>
      </c>
      <c r="DN45" s="347">
        <f ca="1">INDEX(DI16:DI115,MATCH(DJ43,A16:A50,0))</f>
        <v>1.0351934395462575E-3</v>
      </c>
      <c r="DO45" s="338"/>
      <c r="DP45" s="338"/>
      <c r="DQ45" s="346" t="s">
        <v>134</v>
      </c>
      <c r="DR45" s="347">
        <f ca="1">INDEX(DH16:DH115,MATCH(DJ43,A16:A50,0))</f>
        <v>-1.6707937285221633E-18</v>
      </c>
      <c r="DS45" s="338"/>
      <c r="DT45" s="369">
        <f t="shared" ca="1" si="231"/>
        <v>0</v>
      </c>
      <c r="DU45" s="370">
        <f t="shared" ca="1" si="102"/>
        <v>0</v>
      </c>
      <c r="DV45" s="371">
        <f t="shared" ca="1" si="103"/>
        <v>3636694.5948847961</v>
      </c>
      <c r="DW45" s="338"/>
      <c r="DX45" s="349">
        <f ca="1"/>
        <v>3764.6823862580754</v>
      </c>
      <c r="DY45" s="349"/>
      <c r="DZ45" s="349">
        <f ca="1"/>
        <v>-6.0761665216839666E-12</v>
      </c>
      <c r="EB45" s="350">
        <f t="shared" ca="1" si="52"/>
        <v>0</v>
      </c>
      <c r="EC45" s="351">
        <f t="shared" ca="1" si="53"/>
        <v>0</v>
      </c>
      <c r="ED45" s="352">
        <f t="shared" ca="1" si="54"/>
        <v>0</v>
      </c>
      <c r="EE45" s="350">
        <f t="shared" ca="1" si="55"/>
        <v>0</v>
      </c>
      <c r="EF45" s="351">
        <f t="shared" ca="1" si="56"/>
        <v>0</v>
      </c>
      <c r="EG45" s="351">
        <f t="shared" ca="1" si="57"/>
        <v>0</v>
      </c>
      <c r="EH45" s="351">
        <f t="shared" ca="1" si="58"/>
        <v>0</v>
      </c>
      <c r="EI45" s="351">
        <f t="shared" ca="1" si="59"/>
        <v>0</v>
      </c>
      <c r="EJ45" s="352">
        <f t="shared" ca="1" si="60"/>
        <v>0</v>
      </c>
      <c r="EK45" s="350">
        <f t="shared" ca="1" si="195"/>
        <v>0</v>
      </c>
      <c r="EL45" s="351">
        <f t="shared" ca="1" si="196"/>
        <v>0</v>
      </c>
      <c r="EM45" s="351">
        <f t="shared" ca="1" si="197"/>
        <v>0</v>
      </c>
      <c r="EN45" s="351">
        <f t="shared" ca="1" si="198"/>
        <v>0</v>
      </c>
      <c r="EO45" s="351">
        <f t="shared" ca="1" si="199"/>
        <v>0</v>
      </c>
      <c r="EP45" s="352">
        <f t="shared" ca="1" si="200"/>
        <v>0</v>
      </c>
      <c r="EQ45" s="323">
        <f t="shared" ca="1" si="201"/>
        <v>0</v>
      </c>
      <c r="ER45" s="323">
        <f t="shared" ca="1" si="202"/>
        <v>0</v>
      </c>
      <c r="ES45" s="323">
        <f t="shared" ca="1" si="203"/>
        <v>0</v>
      </c>
      <c r="ET45" s="323">
        <f t="shared" ca="1" si="204"/>
        <v>0</v>
      </c>
      <c r="EU45" s="323">
        <f t="shared" ca="1" si="205"/>
        <v>0</v>
      </c>
      <c r="EV45" s="323">
        <f t="shared" ca="1" si="206"/>
        <v>0</v>
      </c>
      <c r="EW45" s="323">
        <f t="shared" ca="1" si="207"/>
        <v>0</v>
      </c>
      <c r="EX45" s="323">
        <f t="shared" ca="1" si="208"/>
        <v>0</v>
      </c>
      <c r="EY45" s="353" t="e">
        <f t="shared" ca="1" si="209"/>
        <v>#DIV/0!</v>
      </c>
      <c r="EZ45" s="353" t="e">
        <f t="shared" ca="1" si="210"/>
        <v>#DIV/0!</v>
      </c>
      <c r="FA45" s="321" t="e">
        <f t="shared" ca="1" si="211"/>
        <v>#DIV/0!</v>
      </c>
      <c r="FB45" s="354" t="e">
        <f t="shared" ca="1" si="212"/>
        <v>#DIV/0!</v>
      </c>
      <c r="FC45" s="321" t="e">
        <f t="shared" ca="1" si="213"/>
        <v>#DIV/0!</v>
      </c>
      <c r="FD45" s="321" t="e">
        <f t="shared" ca="1" si="214"/>
        <v>#DIV/0!</v>
      </c>
      <c r="FE45" s="355" t="e">
        <f t="shared" ca="1" si="215"/>
        <v>#DIV/0!</v>
      </c>
      <c r="FF45" s="338" t="e">
        <f t="shared" ca="1" si="216"/>
        <v>#DIV/0!</v>
      </c>
      <c r="FG45" s="335" t="e">
        <f t="shared" ca="1" si="217"/>
        <v>#DIV/0!</v>
      </c>
      <c r="FH45" s="356" t="e">
        <f t="shared" ca="1" si="218"/>
        <v>#DIV/0!</v>
      </c>
      <c r="FI45" s="335" t="e">
        <f t="shared" ca="1" si="219"/>
        <v>#DIV/0!</v>
      </c>
      <c r="FJ45" s="357" t="e">
        <f t="shared" ca="1" si="176"/>
        <v>#DIV/0!</v>
      </c>
      <c r="FK45" s="357" t="e">
        <f t="shared" ca="1" si="177"/>
        <v>#DIV/0!</v>
      </c>
      <c r="FL45" s="357" t="e">
        <f t="shared" ca="1" si="178"/>
        <v>#DIV/0!</v>
      </c>
      <c r="FM45" s="357" t="e">
        <f t="shared" ca="1" si="179"/>
        <v>#DIV/0!</v>
      </c>
      <c r="FN45" s="357" t="e">
        <f t="shared" ca="1" si="180"/>
        <v>#DIV/0!</v>
      </c>
      <c r="FO45" s="357" t="e">
        <f t="shared" ca="1" si="220"/>
        <v>#DIV/0!</v>
      </c>
      <c r="FP45" s="357" t="e">
        <f t="shared" ca="1" si="221"/>
        <v>#DIV/0!</v>
      </c>
      <c r="FR45" s="358"/>
      <c r="FS45" s="359">
        <f ca="1">INDEX(EB16:EB115,MATCH(GF44,A16:A115,0))</f>
        <v>2268.0369963811145</v>
      </c>
      <c r="FT45" s="359">
        <f>FT44</f>
        <v>2.5795275590551163E-2</v>
      </c>
      <c r="FU45" s="359">
        <f ca="1">INDEX(EC16:EC115,MATCH(GF44,A16:A115,0))</f>
        <v>1802.4758241316983</v>
      </c>
      <c r="FV45" s="359">
        <f t="shared" ref="FV45:FV47" si="232">FT45</f>
        <v>2.5795275590551163E-2</v>
      </c>
      <c r="FW45" s="359">
        <f ca="1">INDEX(ED16:ED115,MATCH(GF44,A16:A115,0))</f>
        <v>-1007.8166055871841</v>
      </c>
      <c r="FX45" s="360">
        <f t="shared" ref="FX45:FX47" si="233">FV45</f>
        <v>2.5795275590551163E-2</v>
      </c>
      <c r="FY45" s="358"/>
      <c r="FZ45" s="351">
        <f ca="1">INDEX(EE16:EE115,MATCH(GF44,A16:A115,0))</f>
        <v>-13392.241827050433</v>
      </c>
      <c r="GA45" s="359">
        <f>GA44</f>
        <v>2.5795275590551163E-2</v>
      </c>
      <c r="GB45" s="326">
        <f ca="1">INDEX(EG16:EG115,MATCH(GF44,A16:A115,0))</f>
        <v>-10954.153535828431</v>
      </c>
      <c r="GC45" s="362">
        <f t="shared" si="191"/>
        <v>2.5795275590551163E-2</v>
      </c>
      <c r="GD45" s="359">
        <f ca="1">INDEX(EI16:EI115,MATCH(GF44,A16:A115,0))</f>
        <v>11294.047158774236</v>
      </c>
      <c r="GE45" s="363">
        <f t="shared" ref="GE45:GE47" si="234">GC45</f>
        <v>2.5795275590551163E-2</v>
      </c>
      <c r="GF45" s="364"/>
      <c r="GG45" s="365">
        <f ca="1">FS45+FZ45</f>
        <v>-11124.204830669318</v>
      </c>
      <c r="GH45" s="320">
        <f>GH44</f>
        <v>2.5795275590551163E-2</v>
      </c>
      <c r="GI45" s="365">
        <f ca="1">FU45+GB45</f>
        <v>-9151.6777116967332</v>
      </c>
      <c r="GJ45" s="366">
        <f t="shared" si="192"/>
        <v>2.5795275590551163E-2</v>
      </c>
      <c r="GK45" s="365">
        <f ca="1">FW45+GD45</f>
        <v>10286.230553187052</v>
      </c>
      <c r="GL45" s="366">
        <f t="shared" si="193"/>
        <v>2.5795275590551163E-2</v>
      </c>
      <c r="GN45" s="359">
        <f t="shared" si="69"/>
        <v>2.5795275590551163E-2</v>
      </c>
      <c r="GO45" s="367">
        <f ca="1">INDEX(FJ16:FJ115,MATCH(GM44,A16:A115,0))</f>
        <v>5.8609244707396035E-2</v>
      </c>
      <c r="GP45" s="367">
        <f ca="1">INDEX(FK16:FK115,MATCH(GM44,A16:A115,0))</f>
        <v>6.0352643504010484E-2</v>
      </c>
      <c r="GQ45" s="367">
        <f ca="1">INDEX(FL16:FL115,MATCH(GM44,A16:A115,0))</f>
        <v>-7.3904043218292248E-2</v>
      </c>
      <c r="GR45" s="367">
        <f ca="1">INDEX(FM16:FM115,MATCH(GM44,A16:A115,0))</f>
        <v>-7.182949436670838E-2</v>
      </c>
      <c r="GS45" s="367">
        <f ca="1">INDEX(FN16:FN115,MATCH(GM44,A16:A115,0))</f>
        <v>3.6806534700302844</v>
      </c>
      <c r="GT45" s="367">
        <f ca="1">INDEX(FO16:FO115,MATCH(GM44,A16:A115,0))</f>
        <v>4.2774549405592612</v>
      </c>
      <c r="GU45" s="367">
        <f ca="1">INDEX(FP16:FP115,MATCH(GM44,A16:A115,0))</f>
        <v>8.5714127080281255E-2</v>
      </c>
      <c r="HH45" s="321" t="str">
        <f ca="1">IF(D44="","",INDEX(INDIRECT(AE60),MATCH(HH15,Matl!B3:B29,0),MATCH(D44,Matl!D2:K2,0)))</f>
        <v/>
      </c>
      <c r="HI45" s="314" t="str">
        <f ca="1">IF(D44="","",INDEX(INDIRECT(AE60),MATCH(HI15,Matl!B3:B29,0),MATCH(D44,Matl!D2:K2,0)))</f>
        <v/>
      </c>
      <c r="HO45" s="338"/>
      <c r="HP45" s="338"/>
      <c r="HQ45" s="338"/>
      <c r="HR45" s="338"/>
      <c r="HS45" s="338"/>
      <c r="HT45" s="338"/>
      <c r="HU45" s="338"/>
      <c r="HV45" s="338"/>
      <c r="HW45" s="338"/>
      <c r="HX45" s="338"/>
      <c r="HY45" s="338"/>
      <c r="HZ45" s="338"/>
      <c r="IA45" s="338"/>
      <c r="IB45" s="338"/>
      <c r="IC45" s="338">
        <v>4</v>
      </c>
      <c r="ID45" s="338">
        <f ca="1">IE27</f>
        <v>-3000</v>
      </c>
      <c r="IE45" s="338">
        <f ca="1">ID27</f>
        <v>1000</v>
      </c>
      <c r="IF45" s="338"/>
      <c r="IG45" s="338"/>
      <c r="IH45" s="338"/>
      <c r="II45" s="338"/>
      <c r="IJ45" s="338">
        <v>18</v>
      </c>
      <c r="IK45" s="342">
        <f>IK27-(IK27-IK57)*IJ45/(IJ56+1)</f>
        <v>1.8849555921538759</v>
      </c>
      <c r="IL45" s="338">
        <f t="shared" ref="IL45:IL57" ca="1" si="235">-IL29</f>
        <v>-2853.1695488854612</v>
      </c>
      <c r="IM45" s="338">
        <f t="shared" ref="IM45:IM57" ca="1" si="236">IM29</f>
        <v>927.05098312484222</v>
      </c>
      <c r="IN45" s="338"/>
      <c r="IO45" s="338"/>
      <c r="IP45" s="338"/>
    </row>
    <row r="46" spans="1:250" s="314" customFormat="1" ht="12" x14ac:dyDescent="0.25">
      <c r="A46" s="310">
        <v>31</v>
      </c>
      <c r="B46" s="311"/>
      <c r="C46" s="311"/>
      <c r="D46" s="380"/>
      <c r="E46" s="380"/>
      <c r="F46" s="312">
        <f>IF(C46="",INDEX(Matl!$C$15:$K$15,MATCH(D46,Matl!$C$2:$K$2,0)),C46)</f>
        <v>0</v>
      </c>
      <c r="G46" s="313"/>
      <c r="H46" s="313"/>
      <c r="I46" s="313"/>
      <c r="J46" s="313"/>
      <c r="K46" s="313"/>
      <c r="M46" s="315"/>
      <c r="N46" s="315"/>
      <c r="O46" s="315"/>
      <c r="P46" s="316"/>
      <c r="Q46" s="316"/>
      <c r="R46" s="316"/>
      <c r="S46" s="316"/>
      <c r="T46" s="315"/>
      <c r="U46" s="317"/>
      <c r="V46" s="317"/>
      <c r="W46" s="317">
        <f t="shared" si="3"/>
        <v>0</v>
      </c>
      <c r="X46" s="317"/>
      <c r="Y46" s="317"/>
      <c r="Z46" s="318" t="str">
        <f t="shared" si="4"/>
        <v/>
      </c>
      <c r="AA46" s="319" t="str">
        <f t="shared" si="5"/>
        <v/>
      </c>
      <c r="AB46" s="314" t="str">
        <f t="shared" si="6"/>
        <v/>
      </c>
      <c r="AC46" s="320">
        <f t="shared" si="7"/>
        <v>0</v>
      </c>
      <c r="AD46" s="320">
        <f>IF(D46="",0,SUM(F15:F46))</f>
        <v>0</v>
      </c>
      <c r="AE46" s="320">
        <f>IF(D46="",0,SUM(F16:F50)/2-AD46)</f>
        <v>0</v>
      </c>
      <c r="AF46" s="320">
        <f t="shared" si="8"/>
        <v>0</v>
      </c>
      <c r="AG46" s="320">
        <f>IF(D46="",0,(AD46+AD45)/2-SUM(F16:F50)/2)</f>
        <v>0</v>
      </c>
      <c r="AH46" s="321">
        <f ca="1">IF(D46="",0,INDEX(INDIRECT($AE$60),MATCH(AH$14,Matl!$B$3:$B$17,0),MATCH(D46,Matl!$D$2:$K$2,0)))</f>
        <v>0</v>
      </c>
      <c r="AI46" s="321">
        <f ca="1">IF(D46="",0,INDEX(INDIRECT($AE$60),MATCH(AI$14,Matl!$B$3:$B$17,0),MATCH(D46,Matl!$D$2:$K$2,0)))</f>
        <v>0</v>
      </c>
      <c r="AJ46" s="321">
        <f ca="1">IF(D46="",0,INDEX(INDIRECT(AE60),MATCH(AJ14,Matl!B3:B15,0),MATCH(D46,Matl!D2:K2,0)))</f>
        <v>0</v>
      </c>
      <c r="AK46" s="322">
        <f t="shared" si="9"/>
        <v>0</v>
      </c>
      <c r="AL46" s="321">
        <f ca="1">IF(D46="",0,INDEX(INDIRECT(AE60),MATCH(AL14,Matl!B3:B15,0),MATCH(D46,Matl!D2:K2,0)))</f>
        <v>0</v>
      </c>
      <c r="AM46" s="323">
        <f ca="1">IF(D46="",0,INDEX(INDIRECT(AE60),MATCH(AM14,Matl!B3:B15,0),MATCH(D46,Matl!D2:K2,0)))</f>
        <v>0</v>
      </c>
      <c r="AN46" s="323">
        <f ca="1">IF(D46="",0,INDEX(INDIRECT(AE60),MATCH(AN14,Matl!B3:B15,0),MATCH(D46,Matl!D2:K2,0)))</f>
        <v>0</v>
      </c>
      <c r="AO46" s="323">
        <f ca="1">IF(D46="",0,INDEX(INDIRECT(AE60),MATCH(AO14,Matl!B3:B15,0),MATCH(D46,Matl!D2:K2,0)))</f>
        <v>0</v>
      </c>
      <c r="AP46" s="323">
        <f ca="1">IF(D46="",0,INDEX(INDIRECT(AE60),MATCH(AP14,Matl!B3:B15,0),MATCH(D46,Matl!D2:K2,0)))</f>
        <v>0</v>
      </c>
      <c r="AQ46" s="323">
        <f ca="1">IF(D46="",0,INDEX(INDIRECT(AE60),MATCH(AQ14,Matl!B3:B15,0),MATCH(D46,Matl!D2:K2,0)))</f>
        <v>0</v>
      </c>
      <c r="AR46" s="321"/>
      <c r="AS46" s="321"/>
      <c r="AT46" s="324">
        <f t="shared" ca="1" si="10"/>
        <v>0</v>
      </c>
      <c r="AU46" s="325">
        <f t="shared" ca="1" si="11"/>
        <v>0</v>
      </c>
      <c r="AV46" s="325">
        <f t="shared" ca="1" si="12"/>
        <v>0</v>
      </c>
      <c r="AW46" s="325">
        <f t="shared" ca="1" si="13"/>
        <v>0</v>
      </c>
      <c r="AX46" s="326">
        <v>0</v>
      </c>
      <c r="AY46" s="326">
        <v>0</v>
      </c>
      <c r="AZ46" s="326">
        <v>0</v>
      </c>
      <c r="BA46" s="326">
        <v>0</v>
      </c>
      <c r="BB46" s="327">
        <f t="shared" ca="1" si="14"/>
        <v>0</v>
      </c>
      <c r="BC46" s="328"/>
      <c r="BD46" s="324">
        <f t="shared" ca="1" si="15"/>
        <v>0</v>
      </c>
      <c r="BE46" s="325">
        <f t="shared" ca="1" si="16"/>
        <v>0</v>
      </c>
      <c r="BF46" s="325">
        <f t="shared" ca="1" si="17"/>
        <v>0</v>
      </c>
      <c r="BG46" s="325">
        <f t="shared" ca="1" si="18"/>
        <v>0</v>
      </c>
      <c r="BH46" s="325">
        <f t="shared" ca="1" si="19"/>
        <v>0</v>
      </c>
      <c r="BI46" s="325">
        <f t="shared" ca="1" si="20"/>
        <v>0</v>
      </c>
      <c r="BJ46" s="325">
        <f t="shared" ca="1" si="21"/>
        <v>0</v>
      </c>
      <c r="BK46" s="325">
        <f t="shared" ca="1" si="22"/>
        <v>0</v>
      </c>
      <c r="BL46" s="329">
        <f t="shared" ca="1" si="23"/>
        <v>0</v>
      </c>
      <c r="BM46" s="330"/>
      <c r="BN46" s="324">
        <f t="shared" ca="1" si="24"/>
        <v>0</v>
      </c>
      <c r="BO46" s="325">
        <f t="shared" ca="1" si="25"/>
        <v>0</v>
      </c>
      <c r="BP46" s="325">
        <f t="shared" ca="1" si="26"/>
        <v>0</v>
      </c>
      <c r="BQ46" s="325">
        <f t="shared" ca="1" si="27"/>
        <v>0</v>
      </c>
      <c r="BR46" s="325">
        <f t="shared" ca="1" si="28"/>
        <v>0</v>
      </c>
      <c r="BS46" s="325">
        <f t="shared" ca="1" si="29"/>
        <v>0</v>
      </c>
      <c r="BT46" s="325">
        <f t="shared" ca="1" si="30"/>
        <v>0</v>
      </c>
      <c r="BU46" s="325">
        <f t="shared" ca="1" si="31"/>
        <v>0</v>
      </c>
      <c r="BV46" s="329">
        <f t="shared" ca="1" si="32"/>
        <v>0</v>
      </c>
      <c r="BW46" s="330"/>
      <c r="BX46" s="325">
        <f t="shared" ca="1" si="33"/>
        <v>0</v>
      </c>
      <c r="BY46" s="325">
        <f t="shared" ca="1" si="34"/>
        <v>0</v>
      </c>
      <c r="BZ46" s="325">
        <f t="shared" ca="1" si="35"/>
        <v>0</v>
      </c>
      <c r="CA46" s="325">
        <f t="shared" ca="1" si="36"/>
        <v>0</v>
      </c>
      <c r="CB46" s="325">
        <f t="shared" ca="1" si="37"/>
        <v>0</v>
      </c>
      <c r="CC46" s="325">
        <f t="shared" ca="1" si="38"/>
        <v>0</v>
      </c>
      <c r="CD46" s="325">
        <f t="shared" ca="1" si="39"/>
        <v>0</v>
      </c>
      <c r="CE46" s="325">
        <f t="shared" ca="1" si="40"/>
        <v>0</v>
      </c>
      <c r="CF46" s="325">
        <f t="shared" ca="1" si="41"/>
        <v>0</v>
      </c>
      <c r="CG46" s="330"/>
      <c r="CH46" s="331">
        <f t="shared" ca="1" si="42"/>
        <v>0</v>
      </c>
      <c r="CI46" s="332">
        <f t="shared" ca="1" si="43"/>
        <v>0</v>
      </c>
      <c r="CJ46" s="332">
        <f t="shared" ca="1" si="44"/>
        <v>0</v>
      </c>
      <c r="CK46" s="332">
        <f t="shared" ca="1" si="45"/>
        <v>0</v>
      </c>
      <c r="CL46" s="332">
        <f t="shared" ca="1" si="46"/>
        <v>0</v>
      </c>
      <c r="CM46" s="332">
        <f t="shared" ca="1" si="47"/>
        <v>0</v>
      </c>
      <c r="CN46" s="332">
        <f t="shared" ca="1" si="48"/>
        <v>0</v>
      </c>
      <c r="CO46" s="332">
        <f t="shared" ca="1" si="49"/>
        <v>0</v>
      </c>
      <c r="CP46" s="333">
        <f t="shared" ca="1" si="50"/>
        <v>0</v>
      </c>
      <c r="CR46" s="334">
        <f>CR43+1</f>
        <v>11</v>
      </c>
      <c r="CS46" s="335"/>
      <c r="CT46" s="335"/>
      <c r="CU46" s="336" t="s">
        <v>129</v>
      </c>
      <c r="CV46" s="337">
        <f ca="1">AE70</f>
        <v>4.5648610417658959E-4</v>
      </c>
      <c r="CW46" s="338"/>
      <c r="CX46" s="339">
        <f ca="1">BD26</f>
        <v>4652721.392903653</v>
      </c>
      <c r="CY46" s="340">
        <f ca="1">BF26</f>
        <v>3532739.9800676531</v>
      </c>
      <c r="CZ46" s="341">
        <f ca="1">BH26</f>
        <v>0</v>
      </c>
      <c r="DA46" s="338"/>
      <c r="DB46" s="342">
        <f t="array" aca="1" ref="DB46:DB48" ca="1">MMULT(CX46:CZ48,CV46:CV48)</f>
        <v>2268.0369963811145</v>
      </c>
      <c r="DC46" s="338"/>
      <c r="DD46" s="343">
        <f ca="1">-AE75*AE46/F69</f>
        <v>0</v>
      </c>
      <c r="DE46" s="344">
        <f ca="1">-AE75*AF46/F69</f>
        <v>0</v>
      </c>
      <c r="DF46" s="344">
        <f ca="1">-AE76*AE46/F70</f>
        <v>0</v>
      </c>
      <c r="DG46" s="344">
        <f ca="1">-AE76*AF46/F70</f>
        <v>0</v>
      </c>
      <c r="DH46" s="344">
        <f ca="1">-AE77*AE46/F69</f>
        <v>0</v>
      </c>
      <c r="DI46" s="345">
        <f ca="1">-AE77*AF46/F69</f>
        <v>0</v>
      </c>
      <c r="DJ46" s="338">
        <f>DJ43+1</f>
        <v>11</v>
      </c>
      <c r="DK46" s="338"/>
      <c r="DL46" s="338"/>
      <c r="DM46" s="346" t="s">
        <v>129</v>
      </c>
      <c r="DN46" s="347">
        <f ca="1">INDEX(DE16:DE115,MATCH(DJ46,A16:A50,0))</f>
        <v>0</v>
      </c>
      <c r="DO46" s="338"/>
      <c r="DP46" s="338"/>
      <c r="DQ46" s="346" t="s">
        <v>130</v>
      </c>
      <c r="DR46" s="347">
        <f ca="1">INDEX(DD16:DD115,MATCH(DJ46,A16:A50,0))</f>
        <v>8.5854113393474219E-4</v>
      </c>
      <c r="DS46" s="338"/>
      <c r="DT46" s="339">
        <f ca="1">CX46</f>
        <v>4652721.392903653</v>
      </c>
      <c r="DU46" s="340">
        <f t="shared" ca="1" si="102"/>
        <v>3532739.9800676531</v>
      </c>
      <c r="DV46" s="341">
        <f t="shared" ca="1" si="103"/>
        <v>0</v>
      </c>
      <c r="DW46" s="338"/>
      <c r="DX46" s="349">
        <f t="array" aca="1" ref="DX46:DX48" ca="1">MMULT(DT46:DV48,DN46:DN48)</f>
        <v>0</v>
      </c>
      <c r="DY46" s="349"/>
      <c r="DZ46" s="349">
        <f t="array" aca="1" ref="DZ46:DZ48" ca="1">MMULT(DT46:DV48,DR46:DR48)</f>
        <v>4464.0806090168189</v>
      </c>
      <c r="EB46" s="350">
        <f t="shared" ca="1" si="52"/>
        <v>0</v>
      </c>
      <c r="EC46" s="351">
        <f t="shared" ca="1" si="53"/>
        <v>0</v>
      </c>
      <c r="ED46" s="352">
        <f t="shared" ca="1" si="54"/>
        <v>0</v>
      </c>
      <c r="EE46" s="350">
        <f t="shared" ca="1" si="55"/>
        <v>0</v>
      </c>
      <c r="EF46" s="351">
        <f t="shared" ca="1" si="56"/>
        <v>0</v>
      </c>
      <c r="EG46" s="351">
        <f t="shared" ca="1" si="57"/>
        <v>0</v>
      </c>
      <c r="EH46" s="351">
        <f t="shared" ca="1" si="58"/>
        <v>0</v>
      </c>
      <c r="EI46" s="351">
        <f t="shared" ca="1" si="59"/>
        <v>0</v>
      </c>
      <c r="EJ46" s="352">
        <f t="shared" ca="1" si="60"/>
        <v>0</v>
      </c>
      <c r="EK46" s="350">
        <f t="shared" ca="1" si="195"/>
        <v>0</v>
      </c>
      <c r="EL46" s="351">
        <f t="shared" ca="1" si="196"/>
        <v>0</v>
      </c>
      <c r="EM46" s="351">
        <f t="shared" ca="1" si="197"/>
        <v>0</v>
      </c>
      <c r="EN46" s="351">
        <f t="shared" ca="1" si="198"/>
        <v>0</v>
      </c>
      <c r="EO46" s="351">
        <f t="shared" ca="1" si="199"/>
        <v>0</v>
      </c>
      <c r="EP46" s="352">
        <f t="shared" ca="1" si="200"/>
        <v>0</v>
      </c>
      <c r="EQ46" s="323">
        <f t="shared" ca="1" si="201"/>
        <v>0</v>
      </c>
      <c r="ER46" s="323">
        <f t="shared" ca="1" si="202"/>
        <v>0</v>
      </c>
      <c r="ES46" s="323">
        <f t="shared" ca="1" si="203"/>
        <v>0</v>
      </c>
      <c r="ET46" s="323">
        <f t="shared" ca="1" si="204"/>
        <v>0</v>
      </c>
      <c r="EU46" s="323">
        <f t="shared" ca="1" si="205"/>
        <v>0</v>
      </c>
      <c r="EV46" s="323">
        <f t="shared" ca="1" si="206"/>
        <v>0</v>
      </c>
      <c r="EW46" s="323">
        <f t="shared" ca="1" si="207"/>
        <v>0</v>
      </c>
      <c r="EX46" s="323">
        <f t="shared" ca="1" si="208"/>
        <v>0</v>
      </c>
      <c r="EY46" s="353" t="e">
        <f t="shared" ca="1" si="209"/>
        <v>#DIV/0!</v>
      </c>
      <c r="EZ46" s="353" t="e">
        <f t="shared" ca="1" si="210"/>
        <v>#DIV/0!</v>
      </c>
      <c r="FA46" s="321" t="e">
        <f t="shared" ca="1" si="211"/>
        <v>#DIV/0!</v>
      </c>
      <c r="FB46" s="354" t="e">
        <f t="shared" ca="1" si="212"/>
        <v>#DIV/0!</v>
      </c>
      <c r="FC46" s="321" t="e">
        <f t="shared" ca="1" si="213"/>
        <v>#DIV/0!</v>
      </c>
      <c r="FD46" s="321" t="e">
        <f t="shared" ca="1" si="214"/>
        <v>#DIV/0!</v>
      </c>
      <c r="FE46" s="355" t="e">
        <f t="shared" ca="1" si="215"/>
        <v>#DIV/0!</v>
      </c>
      <c r="FF46" s="338" t="e">
        <f t="shared" ca="1" si="216"/>
        <v>#DIV/0!</v>
      </c>
      <c r="FG46" s="335" t="e">
        <f t="shared" ca="1" si="217"/>
        <v>#DIV/0!</v>
      </c>
      <c r="FH46" s="356" t="e">
        <f t="shared" ca="1" si="218"/>
        <v>#DIV/0!</v>
      </c>
      <c r="FI46" s="335" t="e">
        <f t="shared" ca="1" si="219"/>
        <v>#DIV/0!</v>
      </c>
      <c r="FJ46" s="357" t="e">
        <f t="shared" ca="1" si="176"/>
        <v>#DIV/0!</v>
      </c>
      <c r="FK46" s="357" t="e">
        <f t="shared" ca="1" si="177"/>
        <v>#DIV/0!</v>
      </c>
      <c r="FL46" s="357" t="e">
        <f t="shared" ca="1" si="178"/>
        <v>#DIV/0!</v>
      </c>
      <c r="FM46" s="357" t="e">
        <f t="shared" ca="1" si="179"/>
        <v>#DIV/0!</v>
      </c>
      <c r="FN46" s="357" t="e">
        <f t="shared" ca="1" si="180"/>
        <v>#DIV/0!</v>
      </c>
      <c r="FO46" s="357" t="e">
        <f t="shared" ca="1" si="220"/>
        <v>#DIV/0!</v>
      </c>
      <c r="FP46" s="357" t="e">
        <f t="shared" ca="1" si="221"/>
        <v>#DIV/0!</v>
      </c>
      <c r="FR46" s="358"/>
      <c r="FS46" s="359">
        <f ca="1">FS45</f>
        <v>2268.0369963811145</v>
      </c>
      <c r="FT46" s="359">
        <f>INDEX(AE16:AE115,MATCH(GF44,A16:A115,0))</f>
        <v>1.7196850393700766E-2</v>
      </c>
      <c r="FU46" s="359">
        <f ca="1">FU45</f>
        <v>1802.4758241316983</v>
      </c>
      <c r="FV46" s="359">
        <f t="shared" si="232"/>
        <v>1.7196850393700766E-2</v>
      </c>
      <c r="FW46" s="359">
        <f ca="1">FW45</f>
        <v>-1007.8166055871841</v>
      </c>
      <c r="FX46" s="360">
        <f t="shared" si="233"/>
        <v>1.7196850393700766E-2</v>
      </c>
      <c r="FY46" s="358"/>
      <c r="FZ46" s="351">
        <f ca="1">INDEX(EF16:EF115,MATCH(GF44,A16:A115,0))</f>
        <v>-8928.1612180336178</v>
      </c>
      <c r="GA46" s="359">
        <f>FT46</f>
        <v>1.7196850393700766E-2</v>
      </c>
      <c r="GB46" s="326">
        <f ca="1">INDEX(EH16:EH115,MATCH(GF44,A16:A115,0))</f>
        <v>-7302.7690238856167</v>
      </c>
      <c r="GC46" s="362">
        <f t="shared" si="191"/>
        <v>1.7196850393700766E-2</v>
      </c>
      <c r="GD46" s="359">
        <f ca="1">INDEX(EJ16:EJ115,MATCH(GF44,A16:A115,0))</f>
        <v>7529.3647725161527</v>
      </c>
      <c r="GE46" s="363">
        <f t="shared" si="234"/>
        <v>1.7196850393700766E-2</v>
      </c>
      <c r="GF46" s="364"/>
      <c r="GG46" s="365">
        <f ca="1">FS46+FZ46</f>
        <v>-6660.1242216525034</v>
      </c>
      <c r="GH46" s="320">
        <f>FT46</f>
        <v>1.7196850393700766E-2</v>
      </c>
      <c r="GI46" s="365">
        <f ca="1">FU46+GB46</f>
        <v>-5500.2931997539181</v>
      </c>
      <c r="GJ46" s="366">
        <f t="shared" si="192"/>
        <v>1.7196850393700766E-2</v>
      </c>
      <c r="GK46" s="365">
        <f ca="1">FW46+GD46</f>
        <v>6521.5481669289684</v>
      </c>
      <c r="GL46" s="366">
        <f t="shared" si="193"/>
        <v>1.7196850393700766E-2</v>
      </c>
      <c r="GN46" s="359">
        <f t="shared" si="69"/>
        <v>1.7196850393700766E-2</v>
      </c>
      <c r="GO46" s="367">
        <f ca="1">GO45</f>
        <v>5.8609244707396035E-2</v>
      </c>
      <c r="GP46" s="367">
        <f t="shared" ref="GP46" ca="1" si="237">GP45</f>
        <v>6.0352643504010484E-2</v>
      </c>
      <c r="GQ46" s="367">
        <f t="shared" ref="GQ46" ca="1" si="238">GQ45</f>
        <v>-7.3904043218292248E-2</v>
      </c>
      <c r="GR46" s="367">
        <f t="shared" ref="GR46" ca="1" si="239">GR45</f>
        <v>-7.182949436670838E-2</v>
      </c>
      <c r="GS46" s="367">
        <f t="shared" ref="GS46" ca="1" si="240">GS45</f>
        <v>3.6806534700302844</v>
      </c>
      <c r="GT46" s="367">
        <f t="shared" ref="GT46" ca="1" si="241">GT45</f>
        <v>4.2774549405592612</v>
      </c>
      <c r="GU46" s="367">
        <f t="shared" ref="GU46" ca="1" si="242">GU45</f>
        <v>8.5714127080281255E-2</v>
      </c>
      <c r="HH46" s="321" t="str">
        <f ca="1">IF(D45="","",INDEX(INDIRECT(AE60),MATCH(HH15,Matl!B3:B29,0),MATCH(D45,Matl!D2:K2,0)))</f>
        <v/>
      </c>
      <c r="HI46" s="314" t="str">
        <f ca="1">IF(D45="","",INDEX(INDIRECT(AE60),MATCH(HI15,Matl!B3:B29,0),MATCH(D45,Matl!D2:K2,0)))</f>
        <v/>
      </c>
      <c r="HO46" s="338"/>
      <c r="HP46" s="338"/>
      <c r="HQ46" s="338"/>
      <c r="HR46" s="338"/>
      <c r="HS46" s="338"/>
      <c r="HT46" s="338"/>
      <c r="HU46" s="338"/>
      <c r="HV46" s="338"/>
      <c r="HW46" s="338"/>
      <c r="HX46" s="338"/>
      <c r="HY46" s="338"/>
      <c r="HZ46" s="338"/>
      <c r="IA46" s="338"/>
      <c r="IB46" s="338"/>
      <c r="IC46" s="338">
        <v>5</v>
      </c>
      <c r="ID46" s="338">
        <f ca="1">IE26</f>
        <v>-1449.6268534600099</v>
      </c>
      <c r="IE46" s="338">
        <f ca="1">ID26</f>
        <v>4500</v>
      </c>
      <c r="IF46" s="338"/>
      <c r="IG46" s="338"/>
      <c r="IH46" s="338"/>
      <c r="II46" s="338"/>
      <c r="IJ46" s="338">
        <v>19</v>
      </c>
      <c r="IK46" s="342">
        <f>IK27-(IK27-IK57)*IJ46/(IJ56+1)</f>
        <v>1.9896753472735356</v>
      </c>
      <c r="IL46" s="338">
        <f t="shared" ca="1" si="235"/>
        <v>-2740.6363729278028</v>
      </c>
      <c r="IM46" s="338">
        <f t="shared" ca="1" si="236"/>
        <v>1220.2099292274004</v>
      </c>
      <c r="IN46" s="338"/>
      <c r="IO46" s="338"/>
      <c r="IP46" s="338"/>
    </row>
    <row r="47" spans="1:250" s="314" customFormat="1" ht="12" x14ac:dyDescent="0.25">
      <c r="A47" s="310">
        <v>32</v>
      </c>
      <c r="B47" s="311"/>
      <c r="C47" s="311"/>
      <c r="D47" s="380"/>
      <c r="E47" s="380"/>
      <c r="F47" s="312">
        <f>IF(C47="",INDEX(Matl!$C$15:$K$15,MATCH(D47,Matl!$C$2:$K$2,0)),C47)</f>
        <v>0</v>
      </c>
      <c r="G47" s="313"/>
      <c r="H47" s="313"/>
      <c r="I47" s="313"/>
      <c r="J47" s="313"/>
      <c r="K47" s="313"/>
      <c r="M47" s="315"/>
      <c r="N47" s="315"/>
      <c r="O47" s="315"/>
      <c r="P47" s="316"/>
      <c r="Q47" s="316"/>
      <c r="R47" s="316"/>
      <c r="S47" s="316"/>
      <c r="T47" s="315"/>
      <c r="U47" s="317"/>
      <c r="V47" s="317"/>
      <c r="W47" s="317">
        <f t="shared" si="3"/>
        <v>0</v>
      </c>
      <c r="X47" s="317"/>
      <c r="Y47" s="317"/>
      <c r="Z47" s="318" t="str">
        <f t="shared" si="4"/>
        <v/>
      </c>
      <c r="AA47" s="319" t="str">
        <f t="shared" si="5"/>
        <v/>
      </c>
      <c r="AB47" s="314" t="str">
        <f t="shared" si="6"/>
        <v/>
      </c>
      <c r="AC47" s="320">
        <f t="shared" si="7"/>
        <v>0</v>
      </c>
      <c r="AD47" s="320">
        <f>IF(D47="",0,SUM(F15:F47))</f>
        <v>0</v>
      </c>
      <c r="AE47" s="320">
        <f>IF(D47="",0,SUM(F16:F50)/2-AD47)</f>
        <v>0</v>
      </c>
      <c r="AF47" s="320">
        <f t="shared" si="8"/>
        <v>0</v>
      </c>
      <c r="AG47" s="320">
        <f>IF(D47="",0,(AD47+AD46)/2-SUM(F16:F50)/2)</f>
        <v>0</v>
      </c>
      <c r="AH47" s="321">
        <f ca="1">IF(D47="",0,INDEX(INDIRECT($AE$60),MATCH(AH$14,Matl!$B$3:$B$17,0),MATCH(D47,Matl!$D$2:$K$2,0)))</f>
        <v>0</v>
      </c>
      <c r="AI47" s="321">
        <f ca="1">IF(D47="",0,INDEX(INDIRECT($AE$60),MATCH(AI$14,Matl!$B$3:$B$17,0),MATCH(D47,Matl!$D$2:$K$2,0)))</f>
        <v>0</v>
      </c>
      <c r="AJ47" s="321">
        <f ca="1">IF(D47="",0,INDEX(INDIRECT(AE60),MATCH(AJ14,Matl!B3:B15,0),MATCH(D47,Matl!D2:K2,0)))</f>
        <v>0</v>
      </c>
      <c r="AK47" s="322">
        <f t="shared" si="9"/>
        <v>0</v>
      </c>
      <c r="AL47" s="321">
        <f ca="1">IF(D47="",0,INDEX(INDIRECT(AE60),MATCH(AL14,Matl!B3:B15,0),MATCH(D47,Matl!D2:K2,0)))</f>
        <v>0</v>
      </c>
      <c r="AM47" s="323">
        <f ca="1">IF(D47="",0,INDEX(INDIRECT(AE60),MATCH(AM14,Matl!B3:B15,0),MATCH(D47,Matl!D2:K2,0)))</f>
        <v>0</v>
      </c>
      <c r="AN47" s="323">
        <f ca="1">IF(D47="",0,INDEX(INDIRECT(AE60),MATCH(AN14,Matl!B3:B15,0),MATCH(D47,Matl!D2:K2,0)))</f>
        <v>0</v>
      </c>
      <c r="AO47" s="323">
        <f ca="1">IF(D47="",0,INDEX(INDIRECT(AE60),MATCH(AO14,Matl!B3:B15,0),MATCH(D47,Matl!D2:K2,0)))</f>
        <v>0</v>
      </c>
      <c r="AP47" s="323">
        <f ca="1">IF(D47="",0,INDEX(INDIRECT(AE60),MATCH(AP14,Matl!B3:B15,0),MATCH(D47,Matl!D2:K2,0)))</f>
        <v>0</v>
      </c>
      <c r="AQ47" s="323">
        <f ca="1">IF(D47="",0,INDEX(INDIRECT(AE60),MATCH(AQ14,Matl!B3:B15,0),MATCH(D47,Matl!D2:K2,0)))</f>
        <v>0</v>
      </c>
      <c r="AR47" s="321"/>
      <c r="AS47" s="321"/>
      <c r="AT47" s="324">
        <f t="shared" ca="1" si="10"/>
        <v>0</v>
      </c>
      <c r="AU47" s="325">
        <f t="shared" ca="1" si="11"/>
        <v>0</v>
      </c>
      <c r="AV47" s="325">
        <f t="shared" ca="1" si="12"/>
        <v>0</v>
      </c>
      <c r="AW47" s="325">
        <f t="shared" ca="1" si="13"/>
        <v>0</v>
      </c>
      <c r="AX47" s="326">
        <v>0</v>
      </c>
      <c r="AY47" s="326">
        <v>0</v>
      </c>
      <c r="AZ47" s="326">
        <v>0</v>
      </c>
      <c r="BA47" s="326">
        <v>0</v>
      </c>
      <c r="BB47" s="327">
        <f t="shared" ca="1" si="14"/>
        <v>0</v>
      </c>
      <c r="BC47" s="328"/>
      <c r="BD47" s="324">
        <f t="shared" ca="1" si="15"/>
        <v>0</v>
      </c>
      <c r="BE47" s="325">
        <f t="shared" ca="1" si="16"/>
        <v>0</v>
      </c>
      <c r="BF47" s="325">
        <f t="shared" ca="1" si="17"/>
        <v>0</v>
      </c>
      <c r="BG47" s="325">
        <f t="shared" ca="1" si="18"/>
        <v>0</v>
      </c>
      <c r="BH47" s="325">
        <f t="shared" ca="1" si="19"/>
        <v>0</v>
      </c>
      <c r="BI47" s="325">
        <f t="shared" ca="1" si="20"/>
        <v>0</v>
      </c>
      <c r="BJ47" s="325">
        <f t="shared" ca="1" si="21"/>
        <v>0</v>
      </c>
      <c r="BK47" s="325">
        <f t="shared" ca="1" si="22"/>
        <v>0</v>
      </c>
      <c r="BL47" s="329">
        <f t="shared" ca="1" si="23"/>
        <v>0</v>
      </c>
      <c r="BM47" s="330"/>
      <c r="BN47" s="324">
        <f t="shared" ca="1" si="24"/>
        <v>0</v>
      </c>
      <c r="BO47" s="325">
        <f t="shared" ca="1" si="25"/>
        <v>0</v>
      </c>
      <c r="BP47" s="325">
        <f t="shared" ca="1" si="26"/>
        <v>0</v>
      </c>
      <c r="BQ47" s="325">
        <f t="shared" ca="1" si="27"/>
        <v>0</v>
      </c>
      <c r="BR47" s="325">
        <f t="shared" ca="1" si="28"/>
        <v>0</v>
      </c>
      <c r="BS47" s="325">
        <f t="shared" ca="1" si="29"/>
        <v>0</v>
      </c>
      <c r="BT47" s="325">
        <f t="shared" ca="1" si="30"/>
        <v>0</v>
      </c>
      <c r="BU47" s="325">
        <f t="shared" ca="1" si="31"/>
        <v>0</v>
      </c>
      <c r="BV47" s="329">
        <f t="shared" ca="1" si="32"/>
        <v>0</v>
      </c>
      <c r="BW47" s="330"/>
      <c r="BX47" s="325">
        <f t="shared" ca="1" si="33"/>
        <v>0</v>
      </c>
      <c r="BY47" s="325">
        <f t="shared" ca="1" si="34"/>
        <v>0</v>
      </c>
      <c r="BZ47" s="325">
        <f t="shared" ca="1" si="35"/>
        <v>0</v>
      </c>
      <c r="CA47" s="325">
        <f t="shared" ca="1" si="36"/>
        <v>0</v>
      </c>
      <c r="CB47" s="325">
        <f t="shared" ca="1" si="37"/>
        <v>0</v>
      </c>
      <c r="CC47" s="325">
        <f t="shared" ca="1" si="38"/>
        <v>0</v>
      </c>
      <c r="CD47" s="325">
        <f t="shared" ca="1" si="39"/>
        <v>0</v>
      </c>
      <c r="CE47" s="325">
        <f t="shared" ca="1" si="40"/>
        <v>0</v>
      </c>
      <c r="CF47" s="325">
        <f t="shared" ca="1" si="41"/>
        <v>0</v>
      </c>
      <c r="CG47" s="330"/>
      <c r="CH47" s="331">
        <f t="shared" ca="1" si="42"/>
        <v>0</v>
      </c>
      <c r="CI47" s="332">
        <f t="shared" ca="1" si="43"/>
        <v>0</v>
      </c>
      <c r="CJ47" s="332">
        <f t="shared" ca="1" si="44"/>
        <v>0</v>
      </c>
      <c r="CK47" s="332">
        <f t="shared" ca="1" si="45"/>
        <v>0</v>
      </c>
      <c r="CL47" s="332">
        <f t="shared" ca="1" si="46"/>
        <v>0</v>
      </c>
      <c r="CM47" s="332">
        <f t="shared" ca="1" si="47"/>
        <v>0</v>
      </c>
      <c r="CN47" s="332">
        <f t="shared" ca="1" si="48"/>
        <v>0</v>
      </c>
      <c r="CO47" s="332">
        <f t="shared" ca="1" si="49"/>
        <v>0</v>
      </c>
      <c r="CP47" s="333">
        <f t="shared" ca="1" si="50"/>
        <v>0</v>
      </c>
      <c r="CR47" s="334"/>
      <c r="CS47" s="335"/>
      <c r="CT47" s="335"/>
      <c r="CU47" s="336" t="s">
        <v>131</v>
      </c>
      <c r="CV47" s="337">
        <f ca="1">AE71</f>
        <v>4.0799587495451728E-5</v>
      </c>
      <c r="CW47" s="338"/>
      <c r="CX47" s="324">
        <f ca="1">BG26</f>
        <v>3532739.9800676531</v>
      </c>
      <c r="CY47" s="325">
        <f ca="1">BE26</f>
        <v>4652721.392903653</v>
      </c>
      <c r="CZ47" s="329">
        <f ca="1">BK26</f>
        <v>0</v>
      </c>
      <c r="DA47" s="338"/>
      <c r="DB47" s="342">
        <f ca="1"/>
        <v>1802.4758241316983</v>
      </c>
      <c r="DC47" s="338"/>
      <c r="DD47" s="343">
        <f ca="1">-AE75*AE47/F69</f>
        <v>0</v>
      </c>
      <c r="DE47" s="344">
        <f ca="1">-AE75*AF47/F69</f>
        <v>0</v>
      </c>
      <c r="DF47" s="344">
        <f ca="1">-AE76*AE47/F70</f>
        <v>0</v>
      </c>
      <c r="DG47" s="344">
        <f ca="1">-AE76*AF47/F70</f>
        <v>0</v>
      </c>
      <c r="DH47" s="344">
        <f ca="1">-AE77*AE47/F69</f>
        <v>0</v>
      </c>
      <c r="DI47" s="345">
        <f ca="1">-AE77*AF47/F69</f>
        <v>0</v>
      </c>
      <c r="DJ47" s="338"/>
      <c r="DK47" s="338"/>
      <c r="DL47" s="338"/>
      <c r="DM47" s="346" t="s">
        <v>131</v>
      </c>
      <c r="DN47" s="347">
        <f ca="1">INDEX(DG16:DG115,MATCH(DJ46,A16:A50,0))</f>
        <v>0</v>
      </c>
      <c r="DO47" s="338"/>
      <c r="DP47" s="338"/>
      <c r="DQ47" s="346" t="s">
        <v>132</v>
      </c>
      <c r="DR47" s="347">
        <f ca="1">INDEX(DF16:DF115,MATCH(DJ46,A16:A50,0))</f>
        <v>1.3290757630622237E-4</v>
      </c>
      <c r="DS47" s="338"/>
      <c r="DT47" s="324">
        <f t="shared" ref="DT47:DT48" ca="1" si="243">CX47</f>
        <v>3532739.9800676531</v>
      </c>
      <c r="DU47" s="325">
        <f t="shared" ca="1" si="102"/>
        <v>4652721.392903653</v>
      </c>
      <c r="DV47" s="329">
        <f t="shared" ca="1" si="103"/>
        <v>0</v>
      </c>
      <c r="DW47" s="338"/>
      <c r="DX47" s="349">
        <f ca="1"/>
        <v>0</v>
      </c>
      <c r="DY47" s="349"/>
      <c r="DZ47" s="349">
        <f ca="1"/>
        <v>3651.384511942817</v>
      </c>
      <c r="EB47" s="350">
        <f t="shared" ca="1" si="52"/>
        <v>0</v>
      </c>
      <c r="EC47" s="351">
        <f t="shared" ca="1" si="53"/>
        <v>0</v>
      </c>
      <c r="ED47" s="352">
        <f t="shared" ca="1" si="54"/>
        <v>0</v>
      </c>
      <c r="EE47" s="350">
        <f t="shared" ca="1" si="55"/>
        <v>0</v>
      </c>
      <c r="EF47" s="351">
        <f t="shared" ca="1" si="56"/>
        <v>0</v>
      </c>
      <c r="EG47" s="351">
        <f t="shared" ca="1" si="57"/>
        <v>0</v>
      </c>
      <c r="EH47" s="351">
        <f t="shared" ca="1" si="58"/>
        <v>0</v>
      </c>
      <c r="EI47" s="351">
        <f t="shared" ca="1" si="59"/>
        <v>0</v>
      </c>
      <c r="EJ47" s="352">
        <f t="shared" ca="1" si="60"/>
        <v>0</v>
      </c>
      <c r="EK47" s="350">
        <f t="shared" ca="1" si="195"/>
        <v>0</v>
      </c>
      <c r="EL47" s="351">
        <f t="shared" ca="1" si="196"/>
        <v>0</v>
      </c>
      <c r="EM47" s="351">
        <f t="shared" ca="1" si="197"/>
        <v>0</v>
      </c>
      <c r="EN47" s="351">
        <f t="shared" ca="1" si="198"/>
        <v>0</v>
      </c>
      <c r="EO47" s="351">
        <f t="shared" ca="1" si="199"/>
        <v>0</v>
      </c>
      <c r="EP47" s="352">
        <f t="shared" ca="1" si="200"/>
        <v>0</v>
      </c>
      <c r="EQ47" s="323">
        <f t="shared" ca="1" si="201"/>
        <v>0</v>
      </c>
      <c r="ER47" s="323">
        <f t="shared" ca="1" si="202"/>
        <v>0</v>
      </c>
      <c r="ES47" s="323">
        <f t="shared" ca="1" si="203"/>
        <v>0</v>
      </c>
      <c r="ET47" s="323">
        <f t="shared" ca="1" si="204"/>
        <v>0</v>
      </c>
      <c r="EU47" s="323">
        <f t="shared" ca="1" si="205"/>
        <v>0</v>
      </c>
      <c r="EV47" s="323">
        <f t="shared" ca="1" si="206"/>
        <v>0</v>
      </c>
      <c r="EW47" s="323">
        <f t="shared" ca="1" si="207"/>
        <v>0</v>
      </c>
      <c r="EX47" s="323">
        <f t="shared" ca="1" si="208"/>
        <v>0</v>
      </c>
      <c r="EY47" s="353" t="e">
        <f t="shared" ca="1" si="209"/>
        <v>#DIV/0!</v>
      </c>
      <c r="EZ47" s="353" t="e">
        <f t="shared" ca="1" si="210"/>
        <v>#DIV/0!</v>
      </c>
      <c r="FA47" s="321" t="e">
        <f t="shared" ca="1" si="211"/>
        <v>#DIV/0!</v>
      </c>
      <c r="FB47" s="354" t="e">
        <f t="shared" ca="1" si="212"/>
        <v>#DIV/0!</v>
      </c>
      <c r="FC47" s="321" t="e">
        <f t="shared" ca="1" si="213"/>
        <v>#DIV/0!</v>
      </c>
      <c r="FD47" s="321" t="e">
        <f t="shared" ca="1" si="214"/>
        <v>#DIV/0!</v>
      </c>
      <c r="FE47" s="355" t="e">
        <f t="shared" ca="1" si="215"/>
        <v>#DIV/0!</v>
      </c>
      <c r="FF47" s="338" t="e">
        <f t="shared" ca="1" si="216"/>
        <v>#DIV/0!</v>
      </c>
      <c r="FG47" s="335" t="e">
        <f t="shared" ca="1" si="217"/>
        <v>#DIV/0!</v>
      </c>
      <c r="FH47" s="356" t="e">
        <f t="shared" ca="1" si="218"/>
        <v>#DIV/0!</v>
      </c>
      <c r="FI47" s="335" t="e">
        <f t="shared" ca="1" si="219"/>
        <v>#DIV/0!</v>
      </c>
      <c r="FJ47" s="357" t="e">
        <f t="shared" ca="1" si="176"/>
        <v>#DIV/0!</v>
      </c>
      <c r="FK47" s="357" t="e">
        <f t="shared" ca="1" si="177"/>
        <v>#DIV/0!</v>
      </c>
      <c r="FL47" s="357" t="e">
        <f t="shared" ca="1" si="178"/>
        <v>#DIV/0!</v>
      </c>
      <c r="FM47" s="357" t="e">
        <f t="shared" ca="1" si="179"/>
        <v>#DIV/0!</v>
      </c>
      <c r="FN47" s="357" t="e">
        <f t="shared" ca="1" si="180"/>
        <v>#DIV/0!</v>
      </c>
      <c r="FO47" s="357" t="e">
        <f t="shared" ca="1" si="220"/>
        <v>#DIV/0!</v>
      </c>
      <c r="FP47" s="357" t="e">
        <f t="shared" ca="1" si="221"/>
        <v>#DIV/0!</v>
      </c>
      <c r="FR47" s="358"/>
      <c r="FS47" s="326">
        <v>0</v>
      </c>
      <c r="FT47" s="359">
        <f>FT46</f>
        <v>1.7196850393700766E-2</v>
      </c>
      <c r="FU47" s="326">
        <v>0</v>
      </c>
      <c r="FV47" s="359">
        <f t="shared" si="232"/>
        <v>1.7196850393700766E-2</v>
      </c>
      <c r="FW47" s="359">
        <v>0</v>
      </c>
      <c r="FX47" s="360">
        <f t="shared" si="233"/>
        <v>1.7196850393700766E-2</v>
      </c>
      <c r="FY47" s="358"/>
      <c r="FZ47" s="326">
        <v>0</v>
      </c>
      <c r="GA47" s="359">
        <f>GA46</f>
        <v>1.7196850393700766E-2</v>
      </c>
      <c r="GB47" s="326">
        <v>0</v>
      </c>
      <c r="GC47" s="362">
        <f t="shared" si="191"/>
        <v>1.7196850393700766E-2</v>
      </c>
      <c r="GD47" s="326">
        <v>0</v>
      </c>
      <c r="GE47" s="363">
        <f t="shared" si="234"/>
        <v>1.7196850393700766E-2</v>
      </c>
      <c r="GF47" s="364"/>
      <c r="GG47" s="365">
        <v>0</v>
      </c>
      <c r="GH47" s="320">
        <f>GH46</f>
        <v>1.7196850393700766E-2</v>
      </c>
      <c r="GI47" s="366">
        <v>0</v>
      </c>
      <c r="GJ47" s="366">
        <f t="shared" si="192"/>
        <v>1.7196850393700766E-2</v>
      </c>
      <c r="GK47" s="366">
        <v>0</v>
      </c>
      <c r="GL47" s="366">
        <f t="shared" si="193"/>
        <v>1.7196850393700766E-2</v>
      </c>
      <c r="GN47" s="359">
        <f t="shared" si="69"/>
        <v>1.7196850393700766E-2</v>
      </c>
      <c r="GO47" s="367"/>
      <c r="GP47" s="367"/>
      <c r="GQ47" s="367"/>
      <c r="GR47" s="367"/>
      <c r="GS47" s="367"/>
      <c r="GT47" s="367"/>
      <c r="GU47" s="367"/>
      <c r="HH47" s="321" t="str">
        <f ca="1">IF(D46="","",INDEX(INDIRECT(AE60),MATCH(HH15,Matl!B3:B29,0),MATCH(D46,Matl!D2:K2,0)))</f>
        <v/>
      </c>
      <c r="HI47" s="314" t="str">
        <f ca="1">IF(D46="","",INDEX(INDIRECT(AE60),MATCH(HI15,Matl!B3:B29,0),MATCH(D46,Matl!D2:K2,0)))</f>
        <v/>
      </c>
      <c r="HO47" s="338"/>
      <c r="HP47" s="338"/>
      <c r="HQ47" s="338"/>
      <c r="HR47" s="338"/>
      <c r="HS47" s="338"/>
      <c r="HT47" s="338"/>
      <c r="HU47" s="338"/>
      <c r="HV47" s="338"/>
      <c r="HW47" s="338"/>
      <c r="HX47" s="338"/>
      <c r="HY47" s="338"/>
      <c r="HZ47" s="338"/>
      <c r="IA47" s="338"/>
      <c r="IB47" s="338"/>
      <c r="IC47" s="338">
        <v>6</v>
      </c>
      <c r="ID47" s="338">
        <f ca="1">IE25</f>
        <v>4500</v>
      </c>
      <c r="IE47" s="338">
        <f ca="1">ID25</f>
        <v>4500</v>
      </c>
      <c r="IF47" s="338"/>
      <c r="IG47" s="338"/>
      <c r="IH47" s="338"/>
      <c r="II47" s="338"/>
      <c r="IJ47" s="338">
        <v>20</v>
      </c>
      <c r="IK47" s="342">
        <f>IK27-(IK27-IK57)*IJ47/(IJ56+1)</f>
        <v>2.0943951023931953</v>
      </c>
      <c r="IL47" s="338">
        <f t="shared" ca="1" si="235"/>
        <v>-2598.076211353316</v>
      </c>
      <c r="IM47" s="338">
        <f t="shared" ca="1" si="236"/>
        <v>1499.9999999999998</v>
      </c>
      <c r="IN47" s="338"/>
      <c r="IO47" s="338"/>
      <c r="IP47" s="338"/>
    </row>
    <row r="48" spans="1:250" s="314" customFormat="1" ht="12" x14ac:dyDescent="0.25">
      <c r="A48" s="310">
        <v>33</v>
      </c>
      <c r="B48" s="311"/>
      <c r="C48" s="311"/>
      <c r="D48" s="380"/>
      <c r="E48" s="380"/>
      <c r="F48" s="312">
        <f>IF(C48="",INDEX(Matl!$C$15:$K$15,MATCH(D48,Matl!$C$2:$K$2,0)),C48)</f>
        <v>0</v>
      </c>
      <c r="G48" s="313"/>
      <c r="H48" s="313"/>
      <c r="I48" s="313"/>
      <c r="J48" s="313"/>
      <c r="K48" s="313"/>
      <c r="M48" s="315"/>
      <c r="N48" s="315"/>
      <c r="O48" s="315"/>
      <c r="P48" s="316"/>
      <c r="Q48" s="316"/>
      <c r="R48" s="316"/>
      <c r="S48" s="316"/>
      <c r="T48" s="315"/>
      <c r="U48" s="317"/>
      <c r="V48" s="317"/>
      <c r="W48" s="317">
        <f t="shared" si="3"/>
        <v>0</v>
      </c>
      <c r="X48" s="317"/>
      <c r="Y48" s="317"/>
      <c r="Z48" s="318" t="str">
        <f t="shared" si="4"/>
        <v/>
      </c>
      <c r="AA48" s="319" t="str">
        <f t="shared" si="5"/>
        <v/>
      </c>
      <c r="AB48" s="314" t="str">
        <f t="shared" si="6"/>
        <v/>
      </c>
      <c r="AC48" s="320">
        <f t="shared" si="7"/>
        <v>0</v>
      </c>
      <c r="AD48" s="320">
        <f>IF(D48="",0,SUM(F15:F48))</f>
        <v>0</v>
      </c>
      <c r="AE48" s="320">
        <f>IF(D48="",0,SUM(F16:F50)/2-AD48)</f>
        <v>0</v>
      </c>
      <c r="AF48" s="320">
        <f t="shared" si="8"/>
        <v>0</v>
      </c>
      <c r="AG48" s="320">
        <f>IF(D48="",0,(AD48+AD47)/2-SUM(F16:F50)/2)</f>
        <v>0</v>
      </c>
      <c r="AH48" s="321">
        <f ca="1">IF(D48="",0,INDEX(INDIRECT($AE$60),MATCH(AH$14,Matl!$B$3:$B$17,0),MATCH(D48,Matl!$D$2:$K$2,0)))</f>
        <v>0</v>
      </c>
      <c r="AI48" s="321">
        <f ca="1">IF(D48="",0,INDEX(INDIRECT($AE$60),MATCH(AI$14,Matl!$B$3:$B$17,0),MATCH(D48,Matl!$D$2:$K$2,0)))</f>
        <v>0</v>
      </c>
      <c r="AJ48" s="321">
        <f ca="1">IF(D48="",0,INDEX(INDIRECT(AE60),MATCH(AJ14,Matl!B3:B15,0),MATCH(D48,Matl!D2:K2,0)))</f>
        <v>0</v>
      </c>
      <c r="AK48" s="322">
        <f t="shared" si="9"/>
        <v>0</v>
      </c>
      <c r="AL48" s="321">
        <f ca="1">IF(D48="",0,INDEX(INDIRECT(AE60),MATCH(AL14,Matl!B3:B15,0),MATCH(D48,Matl!D2:K2,0)))</f>
        <v>0</v>
      </c>
      <c r="AM48" s="323">
        <f ca="1">IF(D48="",0,INDEX(INDIRECT(AE60),MATCH(AM14,Matl!B3:B15,0),MATCH(D48,Matl!D2:K2,0)))</f>
        <v>0</v>
      </c>
      <c r="AN48" s="323">
        <f ca="1">IF(D48="",0,INDEX(INDIRECT(AE60),MATCH(AN14,Matl!B3:B15,0),MATCH(D48,Matl!D2:K2,0)))</f>
        <v>0</v>
      </c>
      <c r="AO48" s="323">
        <f ca="1">IF(D48="",0,INDEX(INDIRECT(AE60),MATCH(AO14,Matl!B3:B15,0),MATCH(D48,Matl!D2:K2,0)))</f>
        <v>0</v>
      </c>
      <c r="AP48" s="323">
        <f ca="1">IF(D48="",0,INDEX(INDIRECT(AE60),MATCH(AP14,Matl!B3:B15,0),MATCH(D48,Matl!D2:K2,0)))</f>
        <v>0</v>
      </c>
      <c r="AQ48" s="323">
        <f ca="1">IF(D48="",0,INDEX(INDIRECT(AE60),MATCH(AQ14,Matl!B3:B15,0),MATCH(D48,Matl!D2:K2,0)))</f>
        <v>0</v>
      </c>
      <c r="AR48" s="321"/>
      <c r="AS48" s="321"/>
      <c r="AT48" s="324">
        <f t="shared" ca="1" si="10"/>
        <v>0</v>
      </c>
      <c r="AU48" s="325">
        <f t="shared" ca="1" si="11"/>
        <v>0</v>
      </c>
      <c r="AV48" s="325">
        <f t="shared" ca="1" si="12"/>
        <v>0</v>
      </c>
      <c r="AW48" s="325">
        <f t="shared" ca="1" si="13"/>
        <v>0</v>
      </c>
      <c r="AX48" s="326">
        <v>0</v>
      </c>
      <c r="AY48" s="326">
        <v>0</v>
      </c>
      <c r="AZ48" s="326">
        <v>0</v>
      </c>
      <c r="BA48" s="326">
        <v>0</v>
      </c>
      <c r="BB48" s="327">
        <f t="shared" ca="1" si="14"/>
        <v>0</v>
      </c>
      <c r="BC48" s="328"/>
      <c r="BD48" s="324">
        <f t="shared" ca="1" si="15"/>
        <v>0</v>
      </c>
      <c r="BE48" s="325">
        <f t="shared" ca="1" si="16"/>
        <v>0</v>
      </c>
      <c r="BF48" s="325">
        <f t="shared" ca="1" si="17"/>
        <v>0</v>
      </c>
      <c r="BG48" s="325">
        <f t="shared" ca="1" si="18"/>
        <v>0</v>
      </c>
      <c r="BH48" s="325">
        <f t="shared" ca="1" si="19"/>
        <v>0</v>
      </c>
      <c r="BI48" s="325">
        <f t="shared" ca="1" si="20"/>
        <v>0</v>
      </c>
      <c r="BJ48" s="325">
        <f t="shared" ca="1" si="21"/>
        <v>0</v>
      </c>
      <c r="BK48" s="325">
        <f t="shared" ca="1" si="22"/>
        <v>0</v>
      </c>
      <c r="BL48" s="329">
        <f t="shared" ca="1" si="23"/>
        <v>0</v>
      </c>
      <c r="BM48" s="330"/>
      <c r="BN48" s="324">
        <f t="shared" ca="1" si="24"/>
        <v>0</v>
      </c>
      <c r="BO48" s="325">
        <f t="shared" ca="1" si="25"/>
        <v>0</v>
      </c>
      <c r="BP48" s="325">
        <f t="shared" ca="1" si="26"/>
        <v>0</v>
      </c>
      <c r="BQ48" s="325">
        <f t="shared" ca="1" si="27"/>
        <v>0</v>
      </c>
      <c r="BR48" s="325">
        <f t="shared" ca="1" si="28"/>
        <v>0</v>
      </c>
      <c r="BS48" s="325">
        <f t="shared" ca="1" si="29"/>
        <v>0</v>
      </c>
      <c r="BT48" s="325">
        <f t="shared" ca="1" si="30"/>
        <v>0</v>
      </c>
      <c r="BU48" s="325">
        <f t="shared" ca="1" si="31"/>
        <v>0</v>
      </c>
      <c r="BV48" s="329">
        <f t="shared" ca="1" si="32"/>
        <v>0</v>
      </c>
      <c r="BW48" s="330"/>
      <c r="BX48" s="325">
        <f t="shared" ca="1" si="33"/>
        <v>0</v>
      </c>
      <c r="BY48" s="325">
        <f t="shared" ca="1" si="34"/>
        <v>0</v>
      </c>
      <c r="BZ48" s="325">
        <f t="shared" ca="1" si="35"/>
        <v>0</v>
      </c>
      <c r="CA48" s="325">
        <f t="shared" ca="1" si="36"/>
        <v>0</v>
      </c>
      <c r="CB48" s="325">
        <f t="shared" ca="1" si="37"/>
        <v>0</v>
      </c>
      <c r="CC48" s="325">
        <f t="shared" ca="1" si="38"/>
        <v>0</v>
      </c>
      <c r="CD48" s="325">
        <f t="shared" ca="1" si="39"/>
        <v>0</v>
      </c>
      <c r="CE48" s="325">
        <f t="shared" ca="1" si="40"/>
        <v>0</v>
      </c>
      <c r="CF48" s="325">
        <f t="shared" ca="1" si="41"/>
        <v>0</v>
      </c>
      <c r="CG48" s="330"/>
      <c r="CH48" s="331">
        <f t="shared" ca="1" si="42"/>
        <v>0</v>
      </c>
      <c r="CI48" s="332">
        <f t="shared" ca="1" si="43"/>
        <v>0</v>
      </c>
      <c r="CJ48" s="332">
        <f t="shared" ca="1" si="44"/>
        <v>0</v>
      </c>
      <c r="CK48" s="332">
        <f t="shared" ca="1" si="45"/>
        <v>0</v>
      </c>
      <c r="CL48" s="332">
        <f t="shared" ca="1" si="46"/>
        <v>0</v>
      </c>
      <c r="CM48" s="332">
        <f t="shared" ca="1" si="47"/>
        <v>0</v>
      </c>
      <c r="CN48" s="332">
        <f t="shared" ca="1" si="48"/>
        <v>0</v>
      </c>
      <c r="CO48" s="332">
        <f t="shared" ca="1" si="49"/>
        <v>0</v>
      </c>
      <c r="CP48" s="333">
        <f t="shared" ca="1" si="50"/>
        <v>0</v>
      </c>
      <c r="CR48" s="334"/>
      <c r="CS48" s="335"/>
      <c r="CT48" s="335"/>
      <c r="CU48" s="336" t="s">
        <v>133</v>
      </c>
      <c r="CV48" s="337">
        <f ca="1">AE72</f>
        <v>-2.771243444540907E-4</v>
      </c>
      <c r="CW48" s="338"/>
      <c r="CX48" s="369">
        <f ca="1">BI26</f>
        <v>0</v>
      </c>
      <c r="CY48" s="370">
        <f ca="1">BJ26</f>
        <v>0</v>
      </c>
      <c r="CZ48" s="371">
        <f ca="1">BL26</f>
        <v>3636694.5948847961</v>
      </c>
      <c r="DA48" s="338"/>
      <c r="DB48" s="342">
        <f ca="1"/>
        <v>-1007.8166055871841</v>
      </c>
      <c r="DC48" s="338"/>
      <c r="DD48" s="343">
        <f ca="1">-AE75*AE48/F69</f>
        <v>0</v>
      </c>
      <c r="DE48" s="344">
        <f ca="1">-AE75*AF48/F69</f>
        <v>0</v>
      </c>
      <c r="DF48" s="344">
        <f ca="1">-AE76*AE48/F70</f>
        <v>0</v>
      </c>
      <c r="DG48" s="344">
        <f ca="1">-AE76*AF48/F70</f>
        <v>0</v>
      </c>
      <c r="DH48" s="344">
        <f ca="1">-AE77*AE48/F69</f>
        <v>0</v>
      </c>
      <c r="DI48" s="345">
        <f ca="1">-AE77*AF48/F69</f>
        <v>0</v>
      </c>
      <c r="DJ48" s="338"/>
      <c r="DK48" s="338"/>
      <c r="DL48" s="338"/>
      <c r="DM48" s="346" t="s">
        <v>133</v>
      </c>
      <c r="DN48" s="347">
        <f ca="1">INDEX(DI16:DI115,MATCH(DJ46,A16:A50,0))</f>
        <v>0</v>
      </c>
      <c r="DO48" s="338"/>
      <c r="DP48" s="338"/>
      <c r="DQ48" s="346" t="s">
        <v>134</v>
      </c>
      <c r="DR48" s="347">
        <f ca="1">INDEX(DH16:DH115,MATCH(DJ46,A16:A50,0))</f>
        <v>-1.0351934395462603E-3</v>
      </c>
      <c r="DS48" s="338"/>
      <c r="DT48" s="369">
        <f t="shared" ca="1" si="243"/>
        <v>0</v>
      </c>
      <c r="DU48" s="370">
        <f t="shared" ca="1" si="102"/>
        <v>0</v>
      </c>
      <c r="DV48" s="371">
        <f t="shared" ca="1" si="103"/>
        <v>3636694.5948847961</v>
      </c>
      <c r="DW48" s="338"/>
      <c r="DX48" s="349">
        <f ca="1"/>
        <v>0</v>
      </c>
      <c r="DY48" s="349"/>
      <c r="DZ48" s="349">
        <f ca="1"/>
        <v>-3764.6823862580859</v>
      </c>
      <c r="EB48" s="350">
        <f t="shared" ca="1" si="52"/>
        <v>0</v>
      </c>
      <c r="EC48" s="351">
        <f t="shared" ca="1" si="53"/>
        <v>0</v>
      </c>
      <c r="ED48" s="352">
        <f t="shared" ca="1" si="54"/>
        <v>0</v>
      </c>
      <c r="EE48" s="350">
        <f t="shared" ca="1" si="55"/>
        <v>0</v>
      </c>
      <c r="EF48" s="351">
        <f t="shared" ca="1" si="56"/>
        <v>0</v>
      </c>
      <c r="EG48" s="351">
        <f t="shared" ca="1" si="57"/>
        <v>0</v>
      </c>
      <c r="EH48" s="351">
        <f t="shared" ca="1" si="58"/>
        <v>0</v>
      </c>
      <c r="EI48" s="351">
        <f t="shared" ca="1" si="59"/>
        <v>0</v>
      </c>
      <c r="EJ48" s="352">
        <f t="shared" ca="1" si="60"/>
        <v>0</v>
      </c>
      <c r="EK48" s="350">
        <f t="shared" ca="1" si="195"/>
        <v>0</v>
      </c>
      <c r="EL48" s="351">
        <f t="shared" ca="1" si="196"/>
        <v>0</v>
      </c>
      <c r="EM48" s="351">
        <f t="shared" ca="1" si="197"/>
        <v>0</v>
      </c>
      <c r="EN48" s="351">
        <f t="shared" ca="1" si="198"/>
        <v>0</v>
      </c>
      <c r="EO48" s="351">
        <f t="shared" ca="1" si="199"/>
        <v>0</v>
      </c>
      <c r="EP48" s="352">
        <f t="shared" ca="1" si="200"/>
        <v>0</v>
      </c>
      <c r="EQ48" s="323">
        <f t="shared" ca="1" si="201"/>
        <v>0</v>
      </c>
      <c r="ER48" s="323">
        <f t="shared" ca="1" si="202"/>
        <v>0</v>
      </c>
      <c r="ES48" s="323">
        <f t="shared" ca="1" si="203"/>
        <v>0</v>
      </c>
      <c r="ET48" s="323">
        <f t="shared" ca="1" si="204"/>
        <v>0</v>
      </c>
      <c r="EU48" s="323">
        <f t="shared" ca="1" si="205"/>
        <v>0</v>
      </c>
      <c r="EV48" s="323">
        <f t="shared" ca="1" si="206"/>
        <v>0</v>
      </c>
      <c r="EW48" s="323">
        <f t="shared" ca="1" si="207"/>
        <v>0</v>
      </c>
      <c r="EX48" s="323">
        <f t="shared" ca="1" si="208"/>
        <v>0</v>
      </c>
      <c r="EY48" s="353" t="e">
        <f t="shared" ca="1" si="209"/>
        <v>#DIV/0!</v>
      </c>
      <c r="EZ48" s="353" t="e">
        <f t="shared" ca="1" si="210"/>
        <v>#DIV/0!</v>
      </c>
      <c r="FA48" s="321" t="e">
        <f t="shared" ca="1" si="211"/>
        <v>#DIV/0!</v>
      </c>
      <c r="FB48" s="354" t="e">
        <f t="shared" ca="1" si="212"/>
        <v>#DIV/0!</v>
      </c>
      <c r="FC48" s="321" t="e">
        <f t="shared" ca="1" si="213"/>
        <v>#DIV/0!</v>
      </c>
      <c r="FD48" s="321" t="e">
        <f t="shared" ca="1" si="214"/>
        <v>#DIV/0!</v>
      </c>
      <c r="FE48" s="355" t="e">
        <f t="shared" ca="1" si="215"/>
        <v>#DIV/0!</v>
      </c>
      <c r="FF48" s="338" t="e">
        <f t="shared" ca="1" si="216"/>
        <v>#DIV/0!</v>
      </c>
      <c r="FG48" s="335" t="e">
        <f t="shared" ca="1" si="217"/>
        <v>#DIV/0!</v>
      </c>
      <c r="FH48" s="356" t="e">
        <f t="shared" ca="1" si="218"/>
        <v>#DIV/0!</v>
      </c>
      <c r="FI48" s="335" t="e">
        <f t="shared" ca="1" si="219"/>
        <v>#DIV/0!</v>
      </c>
      <c r="FJ48" s="357" t="e">
        <f t="shared" ca="1" si="176"/>
        <v>#DIV/0!</v>
      </c>
      <c r="FK48" s="357" t="e">
        <f t="shared" ca="1" si="177"/>
        <v>#DIV/0!</v>
      </c>
      <c r="FL48" s="357" t="e">
        <f t="shared" ca="1" si="178"/>
        <v>#DIV/0!</v>
      </c>
      <c r="FM48" s="357" t="e">
        <f t="shared" ca="1" si="179"/>
        <v>#DIV/0!</v>
      </c>
      <c r="FN48" s="357" t="e">
        <f t="shared" ca="1" si="180"/>
        <v>#DIV/0!</v>
      </c>
      <c r="FO48" s="357" t="e">
        <f t="shared" ca="1" si="220"/>
        <v>#DIV/0!</v>
      </c>
      <c r="FP48" s="357" t="e">
        <f t="shared" ca="1" si="221"/>
        <v>#DIV/0!</v>
      </c>
      <c r="FR48" s="358">
        <f>FR44+1</f>
        <v>9</v>
      </c>
      <c r="FS48" s="326">
        <v>0</v>
      </c>
      <c r="FT48" s="359">
        <f>INDEX(AF16:AF115,MATCH(GF48,A16:A115,0))</f>
        <v>1.7196850393700773E-2</v>
      </c>
      <c r="FU48" s="326">
        <v>0</v>
      </c>
      <c r="FV48" s="359">
        <f>FT48</f>
        <v>1.7196850393700773E-2</v>
      </c>
      <c r="FW48" s="359">
        <v>0</v>
      </c>
      <c r="FX48" s="360">
        <f>FV48</f>
        <v>1.7196850393700773E-2</v>
      </c>
      <c r="FY48" s="358">
        <f>FY44+1</f>
        <v>9</v>
      </c>
      <c r="FZ48" s="326">
        <v>0</v>
      </c>
      <c r="GA48" s="359">
        <f>FT48</f>
        <v>1.7196850393700773E-2</v>
      </c>
      <c r="GB48" s="361">
        <v>0</v>
      </c>
      <c r="GC48" s="362">
        <f t="shared" si="191"/>
        <v>1.7196850393700773E-2</v>
      </c>
      <c r="GD48" s="326">
        <v>0</v>
      </c>
      <c r="GE48" s="363">
        <f>GC48</f>
        <v>1.7196850393700773E-2</v>
      </c>
      <c r="GF48" s="364">
        <f>GF44+1</f>
        <v>9</v>
      </c>
      <c r="GG48" s="365">
        <v>0</v>
      </c>
      <c r="GH48" s="320">
        <f>FT48</f>
        <v>1.7196850393700773E-2</v>
      </c>
      <c r="GI48" s="366">
        <v>0</v>
      </c>
      <c r="GJ48" s="366">
        <f t="shared" si="192"/>
        <v>1.7196850393700773E-2</v>
      </c>
      <c r="GK48" s="366">
        <v>0</v>
      </c>
      <c r="GL48" s="366">
        <f t="shared" si="193"/>
        <v>1.7196850393700773E-2</v>
      </c>
      <c r="GM48" s="372">
        <f>GM44+1</f>
        <v>9</v>
      </c>
      <c r="GN48" s="359">
        <f t="shared" ref="GN48:GN79" si="244">GH48</f>
        <v>1.7196850393700773E-2</v>
      </c>
      <c r="GO48" s="367"/>
      <c r="GP48" s="367"/>
      <c r="GQ48" s="367"/>
      <c r="GR48" s="367"/>
      <c r="GS48" s="367"/>
      <c r="GT48" s="367"/>
      <c r="GU48" s="367"/>
      <c r="HH48" s="321" t="str">
        <f ca="1">IF(D47="","",INDEX(INDIRECT(AE60),MATCH(HH15,Matl!B3:B29,0),MATCH(D47,Matl!D2:K2,0)))</f>
        <v/>
      </c>
      <c r="HI48" s="314" t="str">
        <f ca="1">IF(D47="","",INDEX(INDIRECT(AE60),MATCH(HI15,Matl!B3:B29,0),MATCH(D47,Matl!D2:K2,0)))</f>
        <v/>
      </c>
      <c r="HO48" s="338"/>
      <c r="HP48" s="338"/>
      <c r="HQ48" s="338"/>
      <c r="HR48" s="338"/>
      <c r="HS48" s="338"/>
      <c r="HT48" s="338"/>
      <c r="HU48" s="338"/>
      <c r="HV48" s="338"/>
      <c r="HW48" s="338"/>
      <c r="HX48" s="338"/>
      <c r="HY48" s="338"/>
      <c r="HZ48" s="338"/>
      <c r="IA48" s="338"/>
      <c r="IB48" s="338"/>
      <c r="IC48" s="338"/>
      <c r="ID48" s="338"/>
      <c r="IE48" s="338"/>
      <c r="IF48" s="338"/>
      <c r="IG48" s="338"/>
      <c r="IH48" s="338"/>
      <c r="II48" s="338"/>
      <c r="IJ48" s="338">
        <v>21</v>
      </c>
      <c r="IK48" s="342">
        <f>IK27-(IK27-IK57)*IJ48/(IJ56+1)</f>
        <v>2.1991148575128552</v>
      </c>
      <c r="IL48" s="338">
        <f t="shared" ca="1" si="235"/>
        <v>-2427.0509831248423</v>
      </c>
      <c r="IM48" s="338">
        <f t="shared" ca="1" si="236"/>
        <v>1763.3557568774195</v>
      </c>
      <c r="IN48" s="338"/>
      <c r="IO48" s="338"/>
      <c r="IP48" s="338"/>
    </row>
    <row r="49" spans="1:255" s="314" customFormat="1" ht="12" x14ac:dyDescent="0.25">
      <c r="A49" s="310">
        <v>34</v>
      </c>
      <c r="B49" s="311"/>
      <c r="C49" s="311"/>
      <c r="D49" s="380"/>
      <c r="E49" s="380"/>
      <c r="F49" s="312">
        <f>IF(C49="",INDEX(Matl!$C$15:$K$15,MATCH(D49,Matl!$C$2:$K$2,0)),C49)</f>
        <v>0</v>
      </c>
      <c r="G49" s="313"/>
      <c r="H49" s="313"/>
      <c r="I49" s="313"/>
      <c r="J49" s="313"/>
      <c r="K49" s="313"/>
      <c r="M49" s="315"/>
      <c r="N49" s="315"/>
      <c r="O49" s="315"/>
      <c r="P49" s="316"/>
      <c r="Q49" s="316"/>
      <c r="R49" s="316"/>
      <c r="S49" s="316"/>
      <c r="T49" s="315"/>
      <c r="U49" s="317"/>
      <c r="V49" s="317"/>
      <c r="W49" s="317">
        <f t="shared" si="3"/>
        <v>0</v>
      </c>
      <c r="X49" s="317"/>
      <c r="Y49" s="317"/>
      <c r="Z49" s="318" t="str">
        <f t="shared" si="4"/>
        <v/>
      </c>
      <c r="AA49" s="319" t="str">
        <f t="shared" si="5"/>
        <v/>
      </c>
      <c r="AB49" s="314" t="str">
        <f t="shared" si="6"/>
        <v/>
      </c>
      <c r="AC49" s="320">
        <f t="shared" si="7"/>
        <v>0</v>
      </c>
      <c r="AD49" s="320">
        <f>IF(D49="",0,SUM(F15:F49))</f>
        <v>0</v>
      </c>
      <c r="AE49" s="320">
        <f>IF(D49="",0,SUM(F16:F50)/2-AD49)</f>
        <v>0</v>
      </c>
      <c r="AF49" s="320">
        <f t="shared" si="8"/>
        <v>0</v>
      </c>
      <c r="AG49" s="320">
        <f>IF(D49="",0,(AD49+AD48)/2-SUM(F16:F50)/2)</f>
        <v>0</v>
      </c>
      <c r="AH49" s="321">
        <f ca="1">IF(D49="",0,INDEX(INDIRECT($AE$60),MATCH(AH$14,Matl!$B$3:$B$17,0),MATCH(D49,Matl!$D$2:$K$2,0)))</f>
        <v>0</v>
      </c>
      <c r="AI49" s="321">
        <f ca="1">IF(D49="",0,INDEX(INDIRECT($AE$60),MATCH(AI$14,Matl!$B$3:$B$17,0),MATCH(D49,Matl!$D$2:$K$2,0)))</f>
        <v>0</v>
      </c>
      <c r="AJ49" s="321">
        <f ca="1">IF(D49="",0,INDEX(INDIRECT(AE60),MATCH(AJ14,Matl!B3:B15,0),MATCH(D49,Matl!D2:K2,0)))</f>
        <v>0</v>
      </c>
      <c r="AK49" s="322">
        <f t="shared" si="9"/>
        <v>0</v>
      </c>
      <c r="AL49" s="321">
        <f ca="1">IF(D49="",0,INDEX(INDIRECT(AE60),MATCH(AL14,Matl!B3:B15,0),MATCH(D49,Matl!D2:K2,0)))</f>
        <v>0</v>
      </c>
      <c r="AM49" s="323">
        <f ca="1">IF(D49="",0,INDEX(INDIRECT(AE60),MATCH(AM14,Matl!B3:B15,0),MATCH(D49,Matl!D2:K2,0)))</f>
        <v>0</v>
      </c>
      <c r="AN49" s="323">
        <f ca="1">IF(D49="",0,INDEX(INDIRECT(AE60),MATCH(AN14,Matl!B3:B15,0),MATCH(D49,Matl!D2:K2,0)))</f>
        <v>0</v>
      </c>
      <c r="AO49" s="323">
        <f ca="1">IF(D49="",0,INDEX(INDIRECT(AE60),MATCH(AO14,Matl!B3:B15,0),MATCH(D49,Matl!D2:K2,0)))</f>
        <v>0</v>
      </c>
      <c r="AP49" s="323">
        <f ca="1">IF(D49="",0,INDEX(INDIRECT(AE60),MATCH(AP14,Matl!B3:B15,0),MATCH(D49,Matl!D2:K2,0)))</f>
        <v>0</v>
      </c>
      <c r="AQ49" s="323">
        <f ca="1">IF(D49="",0,INDEX(INDIRECT(AE60),MATCH(AQ14,Matl!B3:B15,0),MATCH(D49,Matl!D2:K2,0)))</f>
        <v>0</v>
      </c>
      <c r="AR49" s="321"/>
      <c r="AS49" s="321"/>
      <c r="AT49" s="324">
        <f t="shared" ca="1" si="10"/>
        <v>0</v>
      </c>
      <c r="AU49" s="325">
        <f t="shared" ca="1" si="11"/>
        <v>0</v>
      </c>
      <c r="AV49" s="325">
        <f t="shared" ca="1" si="12"/>
        <v>0</v>
      </c>
      <c r="AW49" s="325">
        <f t="shared" ca="1" si="13"/>
        <v>0</v>
      </c>
      <c r="AX49" s="326">
        <v>0</v>
      </c>
      <c r="AY49" s="326">
        <v>0</v>
      </c>
      <c r="AZ49" s="326">
        <v>0</v>
      </c>
      <c r="BA49" s="326">
        <v>0</v>
      </c>
      <c r="BB49" s="327">
        <f t="shared" ca="1" si="14"/>
        <v>0</v>
      </c>
      <c r="BC49" s="328"/>
      <c r="BD49" s="324">
        <f t="shared" ca="1" si="15"/>
        <v>0</v>
      </c>
      <c r="BE49" s="325">
        <f t="shared" ca="1" si="16"/>
        <v>0</v>
      </c>
      <c r="BF49" s="325">
        <f t="shared" ca="1" si="17"/>
        <v>0</v>
      </c>
      <c r="BG49" s="325">
        <f t="shared" ca="1" si="18"/>
        <v>0</v>
      </c>
      <c r="BH49" s="325">
        <f t="shared" ca="1" si="19"/>
        <v>0</v>
      </c>
      <c r="BI49" s="325">
        <f t="shared" ca="1" si="20"/>
        <v>0</v>
      </c>
      <c r="BJ49" s="325">
        <f t="shared" ca="1" si="21"/>
        <v>0</v>
      </c>
      <c r="BK49" s="325">
        <f t="shared" ca="1" si="22"/>
        <v>0</v>
      </c>
      <c r="BL49" s="329">
        <f t="shared" ca="1" si="23"/>
        <v>0</v>
      </c>
      <c r="BM49" s="330"/>
      <c r="BN49" s="324">
        <f t="shared" ca="1" si="24"/>
        <v>0</v>
      </c>
      <c r="BO49" s="325">
        <f t="shared" ca="1" si="25"/>
        <v>0</v>
      </c>
      <c r="BP49" s="325">
        <f t="shared" ca="1" si="26"/>
        <v>0</v>
      </c>
      <c r="BQ49" s="325">
        <f t="shared" ca="1" si="27"/>
        <v>0</v>
      </c>
      <c r="BR49" s="325">
        <f t="shared" ca="1" si="28"/>
        <v>0</v>
      </c>
      <c r="BS49" s="325">
        <f t="shared" ca="1" si="29"/>
        <v>0</v>
      </c>
      <c r="BT49" s="325">
        <f t="shared" ca="1" si="30"/>
        <v>0</v>
      </c>
      <c r="BU49" s="325">
        <f t="shared" ca="1" si="31"/>
        <v>0</v>
      </c>
      <c r="BV49" s="329">
        <f t="shared" ca="1" si="32"/>
        <v>0</v>
      </c>
      <c r="BW49" s="330"/>
      <c r="BX49" s="325">
        <f t="shared" ca="1" si="33"/>
        <v>0</v>
      </c>
      <c r="BY49" s="325">
        <f t="shared" ca="1" si="34"/>
        <v>0</v>
      </c>
      <c r="BZ49" s="325">
        <f t="shared" ca="1" si="35"/>
        <v>0</v>
      </c>
      <c r="CA49" s="325">
        <f t="shared" ca="1" si="36"/>
        <v>0</v>
      </c>
      <c r="CB49" s="325">
        <f t="shared" ca="1" si="37"/>
        <v>0</v>
      </c>
      <c r="CC49" s="325">
        <f t="shared" ca="1" si="38"/>
        <v>0</v>
      </c>
      <c r="CD49" s="325">
        <f t="shared" ca="1" si="39"/>
        <v>0</v>
      </c>
      <c r="CE49" s="325">
        <f t="shared" ca="1" si="40"/>
        <v>0</v>
      </c>
      <c r="CF49" s="325">
        <f t="shared" ca="1" si="41"/>
        <v>0</v>
      </c>
      <c r="CG49" s="330"/>
      <c r="CH49" s="331">
        <f t="shared" ca="1" si="42"/>
        <v>0</v>
      </c>
      <c r="CI49" s="332">
        <f t="shared" ca="1" si="43"/>
        <v>0</v>
      </c>
      <c r="CJ49" s="332">
        <f t="shared" ca="1" si="44"/>
        <v>0</v>
      </c>
      <c r="CK49" s="332">
        <f t="shared" ca="1" si="45"/>
        <v>0</v>
      </c>
      <c r="CL49" s="332">
        <f t="shared" ca="1" si="46"/>
        <v>0</v>
      </c>
      <c r="CM49" s="332">
        <f t="shared" ca="1" si="47"/>
        <v>0</v>
      </c>
      <c r="CN49" s="332">
        <f t="shared" ca="1" si="48"/>
        <v>0</v>
      </c>
      <c r="CO49" s="332">
        <f t="shared" ca="1" si="49"/>
        <v>0</v>
      </c>
      <c r="CP49" s="333">
        <f t="shared" ca="1" si="50"/>
        <v>0</v>
      </c>
      <c r="CR49" s="334">
        <f>CR46+1</f>
        <v>12</v>
      </c>
      <c r="CS49" s="335"/>
      <c r="CT49" s="335"/>
      <c r="CU49" s="336" t="s">
        <v>129</v>
      </c>
      <c r="CV49" s="337">
        <f ca="1">AE70</f>
        <v>4.5648610417658959E-4</v>
      </c>
      <c r="CW49" s="338"/>
      <c r="CX49" s="339">
        <f ca="1">BD27</f>
        <v>7729425.2813704489</v>
      </c>
      <c r="CY49" s="340">
        <f ca="1">BF27</f>
        <v>456036.09160085651</v>
      </c>
      <c r="CZ49" s="341">
        <f ca="1">BH27</f>
        <v>0</v>
      </c>
      <c r="DA49" s="338"/>
      <c r="DB49" s="342">
        <f t="array" aca="1" ref="DB49:DB51" ca="1">MMULT(CX49:CZ51,CV49:CV51)</f>
        <v>3546.9813186371889</v>
      </c>
      <c r="DC49" s="338"/>
      <c r="DD49" s="343">
        <f ca="1">-AE75*AE49/F69</f>
        <v>0</v>
      </c>
      <c r="DE49" s="344">
        <f ca="1">-AE75*AF49/F69</f>
        <v>0</v>
      </c>
      <c r="DF49" s="344">
        <f ca="1">-AE76*AE49/F70</f>
        <v>0</v>
      </c>
      <c r="DG49" s="344">
        <f ca="1">-AE76*AF49/F70</f>
        <v>0</v>
      </c>
      <c r="DH49" s="344">
        <f ca="1">-AE77*AE49/F69</f>
        <v>0</v>
      </c>
      <c r="DI49" s="345">
        <f ca="1">-AE77*AF49/F69</f>
        <v>0</v>
      </c>
      <c r="DJ49" s="338">
        <f>DJ46+1</f>
        <v>12</v>
      </c>
      <c r="DK49" s="338"/>
      <c r="DL49" s="338"/>
      <c r="DM49" s="346" t="s">
        <v>129</v>
      </c>
      <c r="DN49" s="347">
        <f ca="1">INDEX(DE16:DE115,MATCH(DJ49,A16:A50,0))</f>
        <v>8.5854113393474165E-4</v>
      </c>
      <c r="DO49" s="338"/>
      <c r="DP49" s="338"/>
      <c r="DQ49" s="346" t="s">
        <v>130</v>
      </c>
      <c r="DR49" s="347">
        <f ca="1">INDEX(DD16:DD115,MATCH(DJ49,A16:A50,0))</f>
        <v>1.7170822678694831E-3</v>
      </c>
      <c r="DS49" s="338"/>
      <c r="DT49" s="339">
        <f ca="1">CX49</f>
        <v>7729425.2813704489</v>
      </c>
      <c r="DU49" s="340">
        <f t="shared" ca="1" si="102"/>
        <v>456036.09160085651</v>
      </c>
      <c r="DV49" s="341">
        <f t="shared" ca="1" si="103"/>
        <v>0</v>
      </c>
      <c r="DW49" s="338"/>
      <c r="DX49" s="349">
        <f t="array" aca="1" ref="DX49:DX51" ca="1">MMULT(DT49:DV51,DN49:DN51)</f>
        <v>6696.6401973744778</v>
      </c>
      <c r="DY49" s="349"/>
      <c r="DZ49" s="349">
        <f t="array" aca="1" ref="DZ49:DZ51" ca="1">MMULT(DT49:DV51,DR49:DR51)</f>
        <v>13393.280394748954</v>
      </c>
      <c r="EB49" s="350">
        <f t="shared" ca="1" si="52"/>
        <v>0</v>
      </c>
      <c r="EC49" s="351">
        <f t="shared" ca="1" si="53"/>
        <v>0</v>
      </c>
      <c r="ED49" s="352">
        <f t="shared" ca="1" si="54"/>
        <v>0</v>
      </c>
      <c r="EE49" s="350">
        <f t="shared" ca="1" si="55"/>
        <v>0</v>
      </c>
      <c r="EF49" s="351">
        <f t="shared" ca="1" si="56"/>
        <v>0</v>
      </c>
      <c r="EG49" s="351">
        <f t="shared" ca="1" si="57"/>
        <v>0</v>
      </c>
      <c r="EH49" s="351">
        <f t="shared" ca="1" si="58"/>
        <v>0</v>
      </c>
      <c r="EI49" s="351">
        <f t="shared" ca="1" si="59"/>
        <v>0</v>
      </c>
      <c r="EJ49" s="352">
        <f t="shared" ca="1" si="60"/>
        <v>0</v>
      </c>
      <c r="EK49" s="350">
        <f t="shared" ca="1" si="195"/>
        <v>0</v>
      </c>
      <c r="EL49" s="351">
        <f t="shared" ca="1" si="196"/>
        <v>0</v>
      </c>
      <c r="EM49" s="351">
        <f t="shared" ca="1" si="197"/>
        <v>0</v>
      </c>
      <c r="EN49" s="351">
        <f t="shared" ca="1" si="198"/>
        <v>0</v>
      </c>
      <c r="EO49" s="351">
        <f t="shared" ca="1" si="199"/>
        <v>0</v>
      </c>
      <c r="EP49" s="352">
        <f t="shared" ca="1" si="200"/>
        <v>0</v>
      </c>
      <c r="EQ49" s="323">
        <f t="shared" ca="1" si="201"/>
        <v>0</v>
      </c>
      <c r="ER49" s="323">
        <f t="shared" ca="1" si="202"/>
        <v>0</v>
      </c>
      <c r="ES49" s="323">
        <f t="shared" ca="1" si="203"/>
        <v>0</v>
      </c>
      <c r="ET49" s="323">
        <f t="shared" ca="1" si="204"/>
        <v>0</v>
      </c>
      <c r="EU49" s="323">
        <f t="shared" ca="1" si="205"/>
        <v>0</v>
      </c>
      <c r="EV49" s="323">
        <f t="shared" ca="1" si="206"/>
        <v>0</v>
      </c>
      <c r="EW49" s="323">
        <f t="shared" ca="1" si="207"/>
        <v>0</v>
      </c>
      <c r="EX49" s="323">
        <f t="shared" ca="1" si="208"/>
        <v>0</v>
      </c>
      <c r="EY49" s="353" t="e">
        <f t="shared" ca="1" si="209"/>
        <v>#DIV/0!</v>
      </c>
      <c r="EZ49" s="353" t="e">
        <f t="shared" ca="1" si="210"/>
        <v>#DIV/0!</v>
      </c>
      <c r="FA49" s="321" t="e">
        <f t="shared" ca="1" si="211"/>
        <v>#DIV/0!</v>
      </c>
      <c r="FB49" s="354" t="e">
        <f t="shared" ca="1" si="212"/>
        <v>#DIV/0!</v>
      </c>
      <c r="FC49" s="321" t="e">
        <f t="shared" ca="1" si="213"/>
        <v>#DIV/0!</v>
      </c>
      <c r="FD49" s="321" t="e">
        <f t="shared" ca="1" si="214"/>
        <v>#DIV/0!</v>
      </c>
      <c r="FE49" s="355" t="e">
        <f t="shared" ca="1" si="215"/>
        <v>#DIV/0!</v>
      </c>
      <c r="FF49" s="338" t="e">
        <f t="shared" ca="1" si="216"/>
        <v>#DIV/0!</v>
      </c>
      <c r="FG49" s="335" t="e">
        <f t="shared" ca="1" si="217"/>
        <v>#DIV/0!</v>
      </c>
      <c r="FH49" s="356" t="e">
        <f t="shared" ca="1" si="218"/>
        <v>#DIV/0!</v>
      </c>
      <c r="FI49" s="335" t="e">
        <f t="shared" ca="1" si="219"/>
        <v>#DIV/0!</v>
      </c>
      <c r="FJ49" s="357" t="e">
        <f t="shared" ca="1" si="176"/>
        <v>#DIV/0!</v>
      </c>
      <c r="FK49" s="357" t="e">
        <f t="shared" ca="1" si="177"/>
        <v>#DIV/0!</v>
      </c>
      <c r="FL49" s="357" t="e">
        <f t="shared" ca="1" si="178"/>
        <v>#DIV/0!</v>
      </c>
      <c r="FM49" s="357" t="e">
        <f t="shared" ca="1" si="179"/>
        <v>#DIV/0!</v>
      </c>
      <c r="FN49" s="357" t="e">
        <f t="shared" ca="1" si="180"/>
        <v>#DIV/0!</v>
      </c>
      <c r="FO49" s="357" t="e">
        <f t="shared" ca="1" si="220"/>
        <v>#DIV/0!</v>
      </c>
      <c r="FP49" s="357" t="e">
        <f t="shared" ca="1" si="221"/>
        <v>#DIV/0!</v>
      </c>
      <c r="FR49" s="358"/>
      <c r="FS49" s="359">
        <f ca="1">INDEX(EB16:EB115,MATCH(GF48,A16:A115,0))</f>
        <v>3546.9813186371889</v>
      </c>
      <c r="FT49" s="359">
        <f>FT48</f>
        <v>1.7196850393700773E-2</v>
      </c>
      <c r="FU49" s="359">
        <f ca="1">INDEX(EC16:EC115,MATCH(GF48,A16:A115,0))</f>
        <v>523.53150187562358</v>
      </c>
      <c r="FV49" s="359">
        <f t="shared" ref="FV49:FV51" si="245">FT49</f>
        <v>1.7196850393700773E-2</v>
      </c>
      <c r="FW49" s="359">
        <f ca="1">INDEX(ED16:ED115,MATCH(GF48,A16:A115,0))</f>
        <v>-155.18705741647139</v>
      </c>
      <c r="FX49" s="360">
        <f t="shared" ref="FX49:FX51" si="246">FV49</f>
        <v>1.7196850393700773E-2</v>
      </c>
      <c r="FY49" s="358"/>
      <c r="FZ49" s="351">
        <f ca="1">INDEX(EE16:EE115,MATCH(GF48,A16:A115,0))</f>
        <v>-13393.280394748934</v>
      </c>
      <c r="GA49" s="359">
        <f>GA48</f>
        <v>1.7196850393700773E-2</v>
      </c>
      <c r="GB49" s="326">
        <f ca="1">INDEX(EG16:EG115,MATCH(GF48,A16:A115,0))</f>
        <v>-2837.6498471703039</v>
      </c>
      <c r="GC49" s="362">
        <f t="shared" si="191"/>
        <v>1.7196850393700773E-2</v>
      </c>
      <c r="GD49" s="359">
        <f ca="1">INDEX(EI16:EI115,MATCH(GF48,A16:A115,0))</f>
        <v>1159.3974109815763</v>
      </c>
      <c r="GE49" s="363">
        <f t="shared" ref="GE49:GE51" si="247">GC49</f>
        <v>1.7196850393700773E-2</v>
      </c>
      <c r="GF49" s="364"/>
      <c r="GG49" s="365">
        <f ca="1">FS49+FZ49</f>
        <v>-9846.2990761117453</v>
      </c>
      <c r="GH49" s="320">
        <f>GH48</f>
        <v>1.7196850393700773E-2</v>
      </c>
      <c r="GI49" s="365">
        <f ca="1">FU49+GB49</f>
        <v>-2314.1183452946802</v>
      </c>
      <c r="GJ49" s="366">
        <f t="shared" si="192"/>
        <v>1.7196850393700773E-2</v>
      </c>
      <c r="GK49" s="365">
        <f ca="1">FW49+GD49</f>
        <v>1004.2103535651049</v>
      </c>
      <c r="GL49" s="366">
        <f t="shared" si="193"/>
        <v>1.7196850393700773E-2</v>
      </c>
      <c r="GN49" s="359">
        <f t="shared" si="244"/>
        <v>1.7196850393700773E-2</v>
      </c>
      <c r="GO49" s="367">
        <f ca="1">INDEX(FJ16:FJ115,MATCH(GM48,A16:A115,0))</f>
        <v>4.14776417444416</v>
      </c>
      <c r="GP49" s="367">
        <f ca="1">INDEX(FK16:FK115,MATCH(GM48,A16:A115,0))</f>
        <v>4.1931136536222287</v>
      </c>
      <c r="GQ49" s="367">
        <f ca="1">INDEX(FL16:FL115,MATCH(GM48,A16:A115,0))</f>
        <v>5.3274669427897434</v>
      </c>
      <c r="GR49" s="367">
        <f ca="1">INDEX(FM16:FM115,MATCH(GM48,A16:A115,0))</f>
        <v>5.4290519413967147</v>
      </c>
      <c r="GS49" s="367">
        <f ca="1">INDEX(FN16:FN115,MATCH(GM48,A16:A115,0))</f>
        <v>4.2881339008200845</v>
      </c>
      <c r="GT49" s="367">
        <f ca="1">INDEX(FO16:FO115,MATCH(GM48,A16:A115,0))</f>
        <v>19.870828344714486</v>
      </c>
      <c r="GU49" s="367">
        <f ca="1">INDEX(FP16:FP115,MATCH(GM48,A16:A115,0))</f>
        <v>10.121082138171722</v>
      </c>
      <c r="HH49" s="321" t="str">
        <f ca="1">IF(D48="","",INDEX(INDIRECT(AE60),MATCH(HH15,Matl!B3:B29,0),MATCH(D48,Matl!D2:K2,0)))</f>
        <v/>
      </c>
      <c r="HI49" s="314" t="str">
        <f ca="1">IF(D48="","",INDEX(INDIRECT(AE60),MATCH(HI15,Matl!B3:B29,0),MATCH(D48,Matl!D2:K2,0)))</f>
        <v/>
      </c>
      <c r="HO49" s="338"/>
      <c r="HP49" s="338"/>
      <c r="HQ49" s="338"/>
      <c r="HR49" s="338"/>
      <c r="HS49" s="338"/>
      <c r="HT49" s="338"/>
      <c r="HU49" s="338"/>
      <c r="HV49" s="338"/>
      <c r="HW49" s="338"/>
      <c r="HX49" s="338"/>
      <c r="HY49" s="338"/>
      <c r="HZ49" s="338"/>
      <c r="IA49" s="338"/>
      <c r="IB49" s="338"/>
      <c r="IC49" s="338"/>
      <c r="ID49" s="338"/>
      <c r="IE49" s="338"/>
      <c r="IF49" s="338"/>
      <c r="IG49" s="338"/>
      <c r="IH49" s="338"/>
      <c r="II49" s="338"/>
      <c r="IJ49" s="338">
        <v>22</v>
      </c>
      <c r="IK49" s="342">
        <f>IK27-(IK27-IK57)*IJ49/(IJ56+1)</f>
        <v>2.3038346126325147</v>
      </c>
      <c r="IL49" s="338">
        <f t="shared" ca="1" si="235"/>
        <v>-2229.4344764321836</v>
      </c>
      <c r="IM49" s="338">
        <f t="shared" ca="1" si="236"/>
        <v>2007.3918190765746</v>
      </c>
      <c r="IN49" s="338"/>
      <c r="IO49" s="338"/>
      <c r="IP49" s="338"/>
    </row>
    <row r="50" spans="1:255" s="314" customFormat="1" ht="12" x14ac:dyDescent="0.25">
      <c r="A50" s="310">
        <v>35</v>
      </c>
      <c r="B50" s="311"/>
      <c r="C50" s="374"/>
      <c r="D50" s="380"/>
      <c r="E50" s="380"/>
      <c r="F50" s="312">
        <f>IF(C50="",INDEX(Matl!$C$15:$K$15,MATCH(D50,Matl!$C$2:$K$2,0)),C50)</f>
        <v>0</v>
      </c>
      <c r="G50" s="313"/>
      <c r="H50" s="313"/>
      <c r="I50" s="313"/>
      <c r="J50" s="313"/>
      <c r="K50" s="313"/>
      <c r="M50" s="315"/>
      <c r="N50" s="315"/>
      <c r="O50" s="315"/>
      <c r="P50" s="316"/>
      <c r="Q50" s="316"/>
      <c r="R50" s="316"/>
      <c r="S50" s="316"/>
      <c r="T50" s="315"/>
      <c r="U50" s="317"/>
      <c r="V50" s="317"/>
      <c r="W50" s="317">
        <f t="shared" si="3"/>
        <v>0</v>
      </c>
      <c r="X50" s="317"/>
      <c r="Y50" s="317"/>
      <c r="Z50" s="318" t="str">
        <f t="shared" si="4"/>
        <v/>
      </c>
      <c r="AA50" s="319" t="str">
        <f t="shared" si="5"/>
        <v/>
      </c>
      <c r="AB50" s="314" t="str">
        <f t="shared" si="6"/>
        <v/>
      </c>
      <c r="AC50" s="320">
        <f t="shared" si="7"/>
        <v>0</v>
      </c>
      <c r="AD50" s="320">
        <f>IF(D50="",0,SUM(F15:F50))</f>
        <v>0</v>
      </c>
      <c r="AE50" s="320">
        <f>IF(D50="",0,SUM(F16:F50)/2-AD50)</f>
        <v>0</v>
      </c>
      <c r="AF50" s="320">
        <f t="shared" si="8"/>
        <v>0</v>
      </c>
      <c r="AG50" s="320">
        <f>IF(D50="",0,(AD50+AD49)/2-SUM(F16:F50)/2)</f>
        <v>0</v>
      </c>
      <c r="AH50" s="321">
        <f ca="1">IF(D50="",0,INDEX(INDIRECT($AE$60),MATCH(AH$14,Matl!$B$3:$B$17,0),MATCH(D50,Matl!$D$2:$K$2,0)))</f>
        <v>0</v>
      </c>
      <c r="AI50" s="321">
        <f ca="1">IF(D50="",0,INDEX(INDIRECT($AE$60),MATCH(AI$14,Matl!$B$3:$B$17,0),MATCH(D50,Matl!$D$2:$K$2,0)))</f>
        <v>0</v>
      </c>
      <c r="AJ50" s="321">
        <f ca="1">IF(D50="",0,INDEX(INDIRECT(AE60),MATCH(AJ14,Matl!B3:B15,0),MATCH(D50,Matl!D2:K2,0)))</f>
        <v>0</v>
      </c>
      <c r="AK50" s="322">
        <f t="shared" si="9"/>
        <v>0</v>
      </c>
      <c r="AL50" s="321">
        <f ca="1">IF(D50="",0,INDEX(INDIRECT(AE60),MATCH(AL14,Matl!B3:B15,0),MATCH(D50,Matl!D2:K2,0)))</f>
        <v>0</v>
      </c>
      <c r="AM50" s="323">
        <f ca="1">IF(D50="",0,INDEX(INDIRECT(AE60),MATCH(AM14,Matl!B3:B15,0),MATCH(D50,Matl!D2:K2,0)))</f>
        <v>0</v>
      </c>
      <c r="AN50" s="323">
        <f ca="1">IF(D50="",0,INDEX(INDIRECT(AE60),MATCH(AN14,Matl!B3:B15,0),MATCH(D50,Matl!D2:K2,0)))</f>
        <v>0</v>
      </c>
      <c r="AO50" s="323">
        <f ca="1">IF(D50="",0,INDEX(INDIRECT(AE60),MATCH(AO14,Matl!B3:B15,0),MATCH(D50,Matl!D2:K2,0)))</f>
        <v>0</v>
      </c>
      <c r="AP50" s="323">
        <f ca="1">IF(D50="",0,INDEX(INDIRECT(AE60),MATCH(AP14,Matl!B3:B15,0),MATCH(D50,Matl!D2:K2,0)))</f>
        <v>0</v>
      </c>
      <c r="AQ50" s="323">
        <f ca="1">IF(D50="",0,INDEX(INDIRECT(AE60),MATCH(AQ14,Matl!B3:B15,0),MATCH(D50,Matl!D2:K2,0)))</f>
        <v>0</v>
      </c>
      <c r="AR50" s="321"/>
      <c r="AS50" s="321"/>
      <c r="AT50" s="324">
        <f t="shared" ca="1" si="10"/>
        <v>0</v>
      </c>
      <c r="AU50" s="325">
        <f t="shared" ca="1" si="11"/>
        <v>0</v>
      </c>
      <c r="AV50" s="325">
        <f t="shared" ca="1" si="12"/>
        <v>0</v>
      </c>
      <c r="AW50" s="325">
        <f t="shared" ca="1" si="13"/>
        <v>0</v>
      </c>
      <c r="AX50" s="326">
        <v>0</v>
      </c>
      <c r="AY50" s="326">
        <v>0</v>
      </c>
      <c r="AZ50" s="326">
        <v>0</v>
      </c>
      <c r="BA50" s="326">
        <v>0</v>
      </c>
      <c r="BB50" s="327">
        <f t="shared" ca="1" si="14"/>
        <v>0</v>
      </c>
      <c r="BC50" s="328"/>
      <c r="BD50" s="324">
        <f t="shared" ca="1" si="15"/>
        <v>0</v>
      </c>
      <c r="BE50" s="325">
        <f t="shared" ca="1" si="16"/>
        <v>0</v>
      </c>
      <c r="BF50" s="325">
        <f t="shared" ca="1" si="17"/>
        <v>0</v>
      </c>
      <c r="BG50" s="325">
        <f t="shared" ca="1" si="18"/>
        <v>0</v>
      </c>
      <c r="BH50" s="325">
        <f t="shared" ca="1" si="19"/>
        <v>0</v>
      </c>
      <c r="BI50" s="325">
        <f t="shared" ca="1" si="20"/>
        <v>0</v>
      </c>
      <c r="BJ50" s="325">
        <f t="shared" ca="1" si="21"/>
        <v>0</v>
      </c>
      <c r="BK50" s="325">
        <f t="shared" ca="1" si="22"/>
        <v>0</v>
      </c>
      <c r="BL50" s="329">
        <f t="shared" ca="1" si="23"/>
        <v>0</v>
      </c>
      <c r="BM50" s="330"/>
      <c r="BN50" s="324">
        <f t="shared" ca="1" si="24"/>
        <v>0</v>
      </c>
      <c r="BO50" s="325">
        <f t="shared" ca="1" si="25"/>
        <v>0</v>
      </c>
      <c r="BP50" s="325">
        <f t="shared" ca="1" si="26"/>
        <v>0</v>
      </c>
      <c r="BQ50" s="325">
        <f t="shared" ca="1" si="27"/>
        <v>0</v>
      </c>
      <c r="BR50" s="325">
        <f t="shared" ca="1" si="28"/>
        <v>0</v>
      </c>
      <c r="BS50" s="325">
        <f t="shared" ca="1" si="29"/>
        <v>0</v>
      </c>
      <c r="BT50" s="325">
        <f t="shared" ca="1" si="30"/>
        <v>0</v>
      </c>
      <c r="BU50" s="325">
        <f t="shared" ca="1" si="31"/>
        <v>0</v>
      </c>
      <c r="BV50" s="329">
        <f t="shared" ca="1" si="32"/>
        <v>0</v>
      </c>
      <c r="BW50" s="330"/>
      <c r="BX50" s="325">
        <f t="shared" ca="1" si="33"/>
        <v>0</v>
      </c>
      <c r="BY50" s="325">
        <f t="shared" ca="1" si="34"/>
        <v>0</v>
      </c>
      <c r="BZ50" s="325">
        <f t="shared" ca="1" si="35"/>
        <v>0</v>
      </c>
      <c r="CA50" s="325">
        <f t="shared" ca="1" si="36"/>
        <v>0</v>
      </c>
      <c r="CB50" s="325">
        <f t="shared" ca="1" si="37"/>
        <v>0</v>
      </c>
      <c r="CC50" s="325">
        <f t="shared" ca="1" si="38"/>
        <v>0</v>
      </c>
      <c r="CD50" s="325">
        <f t="shared" ca="1" si="39"/>
        <v>0</v>
      </c>
      <c r="CE50" s="325">
        <f t="shared" ca="1" si="40"/>
        <v>0</v>
      </c>
      <c r="CF50" s="325">
        <f t="shared" ca="1" si="41"/>
        <v>0</v>
      </c>
      <c r="CG50" s="330"/>
      <c r="CH50" s="331">
        <f t="shared" ca="1" si="42"/>
        <v>0</v>
      </c>
      <c r="CI50" s="332">
        <f t="shared" ca="1" si="43"/>
        <v>0</v>
      </c>
      <c r="CJ50" s="332">
        <f t="shared" ca="1" si="44"/>
        <v>0</v>
      </c>
      <c r="CK50" s="332">
        <f t="shared" ca="1" si="45"/>
        <v>0</v>
      </c>
      <c r="CL50" s="332">
        <f t="shared" ca="1" si="46"/>
        <v>0</v>
      </c>
      <c r="CM50" s="332">
        <f t="shared" ca="1" si="47"/>
        <v>0</v>
      </c>
      <c r="CN50" s="332">
        <f t="shared" ca="1" si="48"/>
        <v>0</v>
      </c>
      <c r="CO50" s="332">
        <f t="shared" ca="1" si="49"/>
        <v>0</v>
      </c>
      <c r="CP50" s="333">
        <f t="shared" ca="1" si="50"/>
        <v>0</v>
      </c>
      <c r="CR50" s="334"/>
      <c r="CS50" s="335"/>
      <c r="CT50" s="335"/>
      <c r="CU50" s="336" t="s">
        <v>131</v>
      </c>
      <c r="CV50" s="337">
        <f ca="1">AE71</f>
        <v>4.0799587495451728E-5</v>
      </c>
      <c r="CW50" s="338"/>
      <c r="CX50" s="324">
        <f ca="1">BG27</f>
        <v>456036.09160085651</v>
      </c>
      <c r="CY50" s="325">
        <f ca="1">BE27</f>
        <v>7729425.2813704489</v>
      </c>
      <c r="CZ50" s="329">
        <f ca="1">BK27</f>
        <v>0</v>
      </c>
      <c r="DA50" s="338"/>
      <c r="DB50" s="342">
        <f ca="1"/>
        <v>523.53150187562358</v>
      </c>
      <c r="DC50" s="338"/>
      <c r="DD50" s="343">
        <f ca="1">-AE75*AE50/F69</f>
        <v>0</v>
      </c>
      <c r="DE50" s="344">
        <f ca="1">-AE75*AF50/F69</f>
        <v>0</v>
      </c>
      <c r="DF50" s="344">
        <f ca="1">-AE76*AE50/F70</f>
        <v>0</v>
      </c>
      <c r="DG50" s="344">
        <f ca="1">-AE76*AF50/F70</f>
        <v>0</v>
      </c>
      <c r="DH50" s="344">
        <f ca="1">-AE77*AE50/F69</f>
        <v>0</v>
      </c>
      <c r="DI50" s="345">
        <f ca="1">-AE77*AF50/F69</f>
        <v>0</v>
      </c>
      <c r="DJ50" s="338"/>
      <c r="DK50" s="338"/>
      <c r="DL50" s="338"/>
      <c r="DM50" s="346" t="s">
        <v>131</v>
      </c>
      <c r="DN50" s="347">
        <f ca="1">INDEX(DG16:DG115,MATCH(DJ49,A16:A50,0))</f>
        <v>1.3290757630622229E-4</v>
      </c>
      <c r="DO50" s="338"/>
      <c r="DP50" s="338"/>
      <c r="DQ50" s="346" t="s">
        <v>132</v>
      </c>
      <c r="DR50" s="347">
        <f ca="1">INDEX(DF16:DF115,MATCH(DJ49,A16:A50,0))</f>
        <v>2.6581515261244452E-4</v>
      </c>
      <c r="DS50" s="338"/>
      <c r="DT50" s="324">
        <f t="shared" ref="DT50:DT51" ca="1" si="248">CX50</f>
        <v>456036.09160085651</v>
      </c>
      <c r="DU50" s="325">
        <f t="shared" ca="1" si="102"/>
        <v>7729425.2813704489</v>
      </c>
      <c r="DV50" s="329">
        <f t="shared" ca="1" si="103"/>
        <v>0</v>
      </c>
      <c r="DW50" s="338"/>
      <c r="DX50" s="349">
        <f ca="1"/>
        <v>1418.8249235851536</v>
      </c>
      <c r="DY50" s="349"/>
      <c r="DZ50" s="349">
        <f ca="1"/>
        <v>2837.6498471703067</v>
      </c>
      <c r="EB50" s="350">
        <f t="shared" ca="1" si="52"/>
        <v>0</v>
      </c>
      <c r="EC50" s="351">
        <f t="shared" ca="1" si="53"/>
        <v>0</v>
      </c>
      <c r="ED50" s="352">
        <f t="shared" ca="1" si="54"/>
        <v>0</v>
      </c>
      <c r="EE50" s="350">
        <f t="shared" ca="1" si="55"/>
        <v>0</v>
      </c>
      <c r="EF50" s="351">
        <f t="shared" ca="1" si="56"/>
        <v>0</v>
      </c>
      <c r="EG50" s="351">
        <f t="shared" ca="1" si="57"/>
        <v>0</v>
      </c>
      <c r="EH50" s="351">
        <f t="shared" ca="1" si="58"/>
        <v>0</v>
      </c>
      <c r="EI50" s="351">
        <f t="shared" ca="1" si="59"/>
        <v>0</v>
      </c>
      <c r="EJ50" s="352">
        <f t="shared" ca="1" si="60"/>
        <v>0</v>
      </c>
      <c r="EK50" s="350">
        <f t="shared" ca="1" si="195"/>
        <v>0</v>
      </c>
      <c r="EL50" s="351">
        <f t="shared" ca="1" si="196"/>
        <v>0</v>
      </c>
      <c r="EM50" s="351">
        <f t="shared" ca="1" si="197"/>
        <v>0</v>
      </c>
      <c r="EN50" s="351">
        <f t="shared" ca="1" si="198"/>
        <v>0</v>
      </c>
      <c r="EO50" s="351">
        <f t="shared" ca="1" si="199"/>
        <v>0</v>
      </c>
      <c r="EP50" s="352">
        <f t="shared" ca="1" si="200"/>
        <v>0</v>
      </c>
      <c r="EQ50" s="323">
        <f t="shared" ca="1" si="201"/>
        <v>0</v>
      </c>
      <c r="ER50" s="323">
        <f t="shared" ca="1" si="202"/>
        <v>0</v>
      </c>
      <c r="ES50" s="323">
        <f t="shared" ca="1" si="203"/>
        <v>0</v>
      </c>
      <c r="ET50" s="323">
        <f t="shared" ca="1" si="204"/>
        <v>0</v>
      </c>
      <c r="EU50" s="323">
        <f t="shared" ca="1" si="205"/>
        <v>0</v>
      </c>
      <c r="EV50" s="323">
        <f t="shared" ca="1" si="206"/>
        <v>0</v>
      </c>
      <c r="EW50" s="323">
        <f t="shared" ca="1" si="207"/>
        <v>0</v>
      </c>
      <c r="EX50" s="323">
        <f t="shared" ca="1" si="208"/>
        <v>0</v>
      </c>
      <c r="EY50" s="353" t="e">
        <f t="shared" ca="1" si="209"/>
        <v>#DIV/0!</v>
      </c>
      <c r="EZ50" s="353" t="e">
        <f t="shared" ca="1" si="210"/>
        <v>#DIV/0!</v>
      </c>
      <c r="FA50" s="321" t="e">
        <f t="shared" ca="1" si="211"/>
        <v>#DIV/0!</v>
      </c>
      <c r="FB50" s="354" t="e">
        <f t="shared" ca="1" si="212"/>
        <v>#DIV/0!</v>
      </c>
      <c r="FC50" s="321" t="e">
        <f t="shared" ca="1" si="213"/>
        <v>#DIV/0!</v>
      </c>
      <c r="FD50" s="321" t="e">
        <f t="shared" ca="1" si="214"/>
        <v>#DIV/0!</v>
      </c>
      <c r="FE50" s="355" t="e">
        <f t="shared" ca="1" si="215"/>
        <v>#DIV/0!</v>
      </c>
      <c r="FF50" s="338" t="e">
        <f t="shared" ca="1" si="216"/>
        <v>#DIV/0!</v>
      </c>
      <c r="FG50" s="335" t="e">
        <f t="shared" ca="1" si="217"/>
        <v>#DIV/0!</v>
      </c>
      <c r="FH50" s="356" t="e">
        <f t="shared" ca="1" si="218"/>
        <v>#DIV/0!</v>
      </c>
      <c r="FI50" s="335" t="e">
        <f t="shared" ca="1" si="219"/>
        <v>#DIV/0!</v>
      </c>
      <c r="FJ50" s="357" t="e">
        <f t="shared" ca="1" si="176"/>
        <v>#DIV/0!</v>
      </c>
      <c r="FK50" s="357" t="e">
        <f t="shared" ca="1" si="177"/>
        <v>#DIV/0!</v>
      </c>
      <c r="FL50" s="357" t="e">
        <f t="shared" ca="1" si="178"/>
        <v>#DIV/0!</v>
      </c>
      <c r="FM50" s="357" t="e">
        <f t="shared" ca="1" si="179"/>
        <v>#DIV/0!</v>
      </c>
      <c r="FN50" s="357" t="e">
        <f t="shared" ca="1" si="180"/>
        <v>#DIV/0!</v>
      </c>
      <c r="FO50" s="357" t="e">
        <f t="shared" ca="1" si="220"/>
        <v>#DIV/0!</v>
      </c>
      <c r="FP50" s="357" t="e">
        <f t="shared" ca="1" si="221"/>
        <v>#DIV/0!</v>
      </c>
      <c r="FR50" s="358"/>
      <c r="FS50" s="359">
        <f ca="1">FS49</f>
        <v>3546.9813186371889</v>
      </c>
      <c r="FT50" s="359">
        <f>INDEX(AE16:AE115,MATCH(GF48,A16:A115,0))</f>
        <v>8.5984251968503761E-3</v>
      </c>
      <c r="FU50" s="359">
        <f ca="1">FU49</f>
        <v>523.53150187562358</v>
      </c>
      <c r="FV50" s="359">
        <f t="shared" si="245"/>
        <v>8.5984251968503761E-3</v>
      </c>
      <c r="FW50" s="359">
        <f ca="1">FW49</f>
        <v>-155.18705741647139</v>
      </c>
      <c r="FX50" s="360">
        <f t="shared" si="246"/>
        <v>8.5984251968503761E-3</v>
      </c>
      <c r="FY50" s="358"/>
      <c r="FZ50" s="351">
        <f ca="1">INDEX(EF16:EF115,MATCH(GF48,A16:A115,0))</f>
        <v>-6696.6401973744596</v>
      </c>
      <c r="GA50" s="359">
        <f>FT50</f>
        <v>8.5984251968503761E-3</v>
      </c>
      <c r="GB50" s="326">
        <f ca="1">INDEX(EH16:EH115,MATCH(GF48,A16:A115,0))</f>
        <v>-1418.8249235851501</v>
      </c>
      <c r="GC50" s="362">
        <f t="shared" si="191"/>
        <v>8.5984251968503761E-3</v>
      </c>
      <c r="GD50" s="359">
        <f ca="1">INDEX(EJ16:EJ115,MATCH(GF48,A16:A115,0))</f>
        <v>579.69870549078746</v>
      </c>
      <c r="GE50" s="363">
        <f t="shared" si="247"/>
        <v>8.5984251968503761E-3</v>
      </c>
      <c r="GF50" s="364"/>
      <c r="GG50" s="365">
        <f ca="1">FS50+FZ50</f>
        <v>-3149.6588787372707</v>
      </c>
      <c r="GH50" s="320">
        <f>FT50</f>
        <v>8.5984251968503761E-3</v>
      </c>
      <c r="GI50" s="365">
        <f ca="1">FU50+GB50</f>
        <v>-895.29342170952657</v>
      </c>
      <c r="GJ50" s="366">
        <f t="shared" si="192"/>
        <v>8.5984251968503761E-3</v>
      </c>
      <c r="GK50" s="365">
        <f ca="1">FW50+GD50</f>
        <v>424.5116480743161</v>
      </c>
      <c r="GL50" s="366">
        <f t="shared" si="193"/>
        <v>8.5984251968503761E-3</v>
      </c>
      <c r="GN50" s="359">
        <f t="shared" si="244"/>
        <v>8.5984251968503761E-3</v>
      </c>
      <c r="GO50" s="367">
        <f ca="1">GO49</f>
        <v>4.14776417444416</v>
      </c>
      <c r="GP50" s="367">
        <f t="shared" ref="GP50" ca="1" si="249">GP49</f>
        <v>4.1931136536222287</v>
      </c>
      <c r="GQ50" s="367">
        <f t="shared" ref="GQ50" ca="1" si="250">GQ49</f>
        <v>5.3274669427897434</v>
      </c>
      <c r="GR50" s="367">
        <f t="shared" ref="GR50" ca="1" si="251">GR49</f>
        <v>5.4290519413967147</v>
      </c>
      <c r="GS50" s="367">
        <f t="shared" ref="GS50" ca="1" si="252">GS49</f>
        <v>4.2881339008200845</v>
      </c>
      <c r="GT50" s="367">
        <f t="shared" ref="GT50" ca="1" si="253">GT49</f>
        <v>19.870828344714486</v>
      </c>
      <c r="GU50" s="367">
        <f t="shared" ref="GU50" ca="1" si="254">GU49</f>
        <v>10.121082138171722</v>
      </c>
      <c r="HH50" s="321" t="str">
        <f ca="1">IF(D49="","",INDEX(INDIRECT(AE60),MATCH(HH15,Matl!B3:B29,0),MATCH(D49,Matl!D2:K2,0)))</f>
        <v/>
      </c>
      <c r="HI50" s="314" t="str">
        <f ca="1">IF(D49="","",INDEX(INDIRECT(AE60),MATCH(HI15,Matl!B3:B29,0),MATCH(D49,Matl!D2:K2,0)))</f>
        <v/>
      </c>
      <c r="HO50" s="338"/>
      <c r="HP50" s="338"/>
      <c r="HQ50" s="338"/>
      <c r="HR50" s="338"/>
      <c r="HS50" s="338"/>
      <c r="HT50" s="338"/>
      <c r="HU50" s="338"/>
      <c r="HV50" s="338"/>
      <c r="HW50" s="338"/>
      <c r="HX50" s="338"/>
      <c r="HY50" s="338"/>
      <c r="HZ50" s="338"/>
      <c r="IA50" s="338"/>
      <c r="IB50" s="338"/>
      <c r="IC50" s="338"/>
      <c r="ID50" s="338"/>
      <c r="IE50" s="338"/>
      <c r="IF50" s="338"/>
      <c r="IG50" s="338"/>
      <c r="IH50" s="338"/>
      <c r="II50" s="338"/>
      <c r="IJ50" s="338">
        <v>23</v>
      </c>
      <c r="IK50" s="342">
        <f>IK27-(IK27-IK57)*IJ50/(IJ56+1)</f>
        <v>2.4085543677521746</v>
      </c>
      <c r="IL50" s="338">
        <f t="shared" ca="1" si="235"/>
        <v>-2007.3918190765751</v>
      </c>
      <c r="IM50" s="338">
        <f t="shared" ca="1" si="236"/>
        <v>2229.4344764321822</v>
      </c>
      <c r="IN50" s="338"/>
      <c r="IO50" s="338"/>
      <c r="IP50" s="338"/>
    </row>
    <row r="51" spans="1:255" x14ac:dyDescent="0.3">
      <c r="A51" s="170"/>
      <c r="B51" s="170"/>
      <c r="C51" s="170"/>
      <c r="D51" s="86"/>
      <c r="E51" s="73" t="s">
        <v>22</v>
      </c>
      <c r="F51" s="119">
        <f>SUM(F16:F50)</f>
        <v>0.17196850393700785</v>
      </c>
      <c r="G51" s="119"/>
      <c r="H51" s="119"/>
      <c r="I51" s="119"/>
      <c r="J51" s="119"/>
      <c r="K51" s="170"/>
      <c r="L51" s="39"/>
      <c r="W51" s="39">
        <f>SUM(W16:W50)</f>
        <v>8.5984251968503941E-2</v>
      </c>
      <c r="Z51" s="203"/>
      <c r="AA51" s="204"/>
      <c r="AB51" s="39">
        <f>SUM(AB16:AB50)</f>
        <v>8.5984251968503941E-2</v>
      </c>
      <c r="CR51" s="77"/>
      <c r="CS51" s="44"/>
      <c r="CT51" s="44"/>
      <c r="CU51" s="48" t="s">
        <v>133</v>
      </c>
      <c r="CV51" s="92">
        <f ca="1">AE72</f>
        <v>-2.771243444540907E-4</v>
      </c>
      <c r="CW51" s="57"/>
      <c r="CX51" s="114">
        <f ca="1">BI27</f>
        <v>0</v>
      </c>
      <c r="CY51" s="115">
        <f ca="1">BJ27</f>
        <v>0</v>
      </c>
      <c r="CZ51" s="116">
        <f ca="1">BL27</f>
        <v>559990.70641799993</v>
      </c>
      <c r="DA51" s="57"/>
      <c r="DB51" s="78">
        <f ca="1"/>
        <v>-155.18705741647139</v>
      </c>
      <c r="DC51" s="57"/>
      <c r="DD51" s="96">
        <f ca="1">-AE75*AE51/F69</f>
        <v>0</v>
      </c>
      <c r="DE51" s="97">
        <f ca="1">-AE75*AF51/F69</f>
        <v>0</v>
      </c>
      <c r="DF51" s="97">
        <f ca="1">-AE76*AE51/F70</f>
        <v>0</v>
      </c>
      <c r="DG51" s="97">
        <f ca="1">-AE76*AF51/F70</f>
        <v>0</v>
      </c>
      <c r="DH51" s="97">
        <f ca="1">-AE77*AE51/F69</f>
        <v>0</v>
      </c>
      <c r="DI51" s="98">
        <f ca="1">-AE77*AF51/F69</f>
        <v>0</v>
      </c>
      <c r="DJ51" s="57"/>
      <c r="DK51" s="57"/>
      <c r="DL51" s="57"/>
      <c r="DM51" s="87" t="s">
        <v>133</v>
      </c>
      <c r="DN51" s="99">
        <f ca="1">INDEX(DI16:DI115,MATCH(DJ49,A16:A50,0))</f>
        <v>-1.0351934395462596E-3</v>
      </c>
      <c r="DO51" s="57"/>
      <c r="DP51" s="57"/>
      <c r="DQ51" s="87" t="s">
        <v>134</v>
      </c>
      <c r="DR51" s="99">
        <f ca="1">INDEX(DH16:DH115,MATCH(DJ49,A16:A50,0))</f>
        <v>-2.0703868790925188E-3</v>
      </c>
      <c r="DS51" s="57"/>
      <c r="DT51" s="114">
        <f t="shared" ca="1" si="248"/>
        <v>0</v>
      </c>
      <c r="DU51" s="115">
        <f t="shared" ca="1" si="102"/>
        <v>0</v>
      </c>
      <c r="DV51" s="116">
        <f t="shared" ca="1" si="103"/>
        <v>559990.70641799993</v>
      </c>
      <c r="DW51" s="57"/>
      <c r="DX51" s="80">
        <f ca="1"/>
        <v>-579.69870549078905</v>
      </c>
      <c r="DY51" s="80"/>
      <c r="DZ51" s="80">
        <f ca="1"/>
        <v>-1159.3974109815779</v>
      </c>
      <c r="EB51" s="100"/>
      <c r="EC51" s="101"/>
      <c r="ED51" s="102"/>
      <c r="EE51" s="100"/>
      <c r="EF51" s="101"/>
      <c r="EG51" s="101"/>
      <c r="EH51" s="101"/>
      <c r="EI51" s="101"/>
      <c r="EJ51" s="102"/>
      <c r="EK51" s="100"/>
      <c r="EL51" s="101"/>
      <c r="EM51" s="101"/>
      <c r="EN51" s="101"/>
      <c r="EO51" s="101"/>
      <c r="EP51" s="102"/>
      <c r="EQ51" s="89"/>
      <c r="ER51" s="89"/>
      <c r="ES51" s="89"/>
      <c r="ET51" s="89"/>
      <c r="EU51" s="89"/>
      <c r="EV51" s="89"/>
      <c r="EW51" s="89"/>
      <c r="EX51" s="89"/>
      <c r="EY51" s="103"/>
      <c r="EZ51" s="103"/>
      <c r="FA51" s="58"/>
      <c r="FB51" s="104"/>
      <c r="FC51" s="58"/>
      <c r="FD51" s="58"/>
      <c r="FE51" s="105"/>
      <c r="FF51" s="57"/>
      <c r="FG51" s="44"/>
      <c r="FH51" s="106"/>
      <c r="FI51" s="44"/>
      <c r="FJ51" s="107"/>
      <c r="FK51" s="107"/>
      <c r="FL51" s="107"/>
      <c r="FM51" s="107"/>
      <c r="FN51" s="107"/>
      <c r="FO51" s="107"/>
      <c r="FP51" s="107"/>
      <c r="FR51" s="82"/>
      <c r="FS51" s="61">
        <v>0</v>
      </c>
      <c r="FT51" s="69">
        <f>FT50</f>
        <v>8.5984251968503761E-3</v>
      </c>
      <c r="FU51" s="61">
        <v>0</v>
      </c>
      <c r="FV51" s="69">
        <f t="shared" si="245"/>
        <v>8.5984251968503761E-3</v>
      </c>
      <c r="FW51" s="69">
        <v>0</v>
      </c>
      <c r="FX51" s="70">
        <f t="shared" si="246"/>
        <v>8.5984251968503761E-3</v>
      </c>
      <c r="FY51" s="82"/>
      <c r="FZ51" s="61">
        <v>0</v>
      </c>
      <c r="GA51" s="69">
        <f>GA50</f>
        <v>8.5984251968503761E-3</v>
      </c>
      <c r="GB51" s="61">
        <v>0</v>
      </c>
      <c r="GC51" s="109">
        <f t="shared" si="191"/>
        <v>8.5984251968503761E-3</v>
      </c>
      <c r="GD51" s="61">
        <v>0</v>
      </c>
      <c r="GE51" s="110">
        <f t="shared" si="247"/>
        <v>8.5984251968503761E-3</v>
      </c>
      <c r="GF51" s="84"/>
      <c r="GG51" s="111">
        <v>0</v>
      </c>
      <c r="GH51" s="85">
        <f>GH50</f>
        <v>8.5984251968503761E-3</v>
      </c>
      <c r="GI51" s="112">
        <v>0</v>
      </c>
      <c r="GJ51" s="112">
        <f t="shared" si="192"/>
        <v>8.5984251968503761E-3</v>
      </c>
      <c r="GK51" s="112">
        <v>0</v>
      </c>
      <c r="GL51" s="112">
        <f t="shared" si="193"/>
        <v>8.5984251968503761E-3</v>
      </c>
      <c r="GN51" s="69">
        <f t="shared" si="244"/>
        <v>8.5984251968503761E-3</v>
      </c>
      <c r="GO51" s="113"/>
      <c r="GP51" s="113"/>
      <c r="GQ51" s="113"/>
      <c r="GR51" s="113"/>
      <c r="GS51" s="113"/>
      <c r="GT51" s="113"/>
      <c r="GU51" s="113"/>
      <c r="HH51" s="58" t="str">
        <f ca="1">IF(D50="","",INDEX(INDIRECT(AE60),MATCH(HH15,Matl!B3:B29,0),MATCH(D50,Matl!D2:K2,0)))</f>
        <v/>
      </c>
      <c r="HI51" s="39" t="str">
        <f ca="1">IF(D50="","",INDEX(INDIRECT(AE60),MATCH(HI15,Matl!B3:B29,0),MATCH(D50,Matl!D2:K2,0)))</f>
        <v/>
      </c>
      <c r="HO51" s="57"/>
      <c r="HP51" s="57"/>
      <c r="HQ51" s="57"/>
      <c r="HR51" s="57"/>
      <c r="HS51" s="57"/>
      <c r="HT51" s="57"/>
      <c r="HU51" s="57"/>
      <c r="HV51" s="57"/>
      <c r="HW51" s="57"/>
      <c r="HX51" s="57"/>
      <c r="HY51" s="57"/>
      <c r="HZ51" s="57"/>
      <c r="IA51" s="57"/>
      <c r="IB51" s="57"/>
      <c r="IC51" s="57"/>
      <c r="IJ51" s="57">
        <v>24</v>
      </c>
      <c r="IK51" s="78">
        <f>IK27-(IK27-IK57)*IJ51/(IJ56+1)</f>
        <v>2.5132741228718345</v>
      </c>
      <c r="IL51" s="57">
        <f t="shared" ca="1" si="235"/>
        <v>-1763.3557568774197</v>
      </c>
      <c r="IM51" s="57">
        <f t="shared" ca="1" si="236"/>
        <v>2427.0509831248423</v>
      </c>
      <c r="IN51" s="57"/>
      <c r="IO51" s="57"/>
      <c r="IP51" s="57"/>
    </row>
    <row r="52" spans="1:255" x14ac:dyDescent="0.3">
      <c r="A52" s="170"/>
      <c r="B52" s="210" t="str">
        <f>INT(Y57)&amp;"/"&amp;INT(Y58)&amp;"/"&amp;INT(Y59)</f>
        <v>50/50/0</v>
      </c>
      <c r="C52" s="170"/>
      <c r="D52" s="86"/>
      <c r="E52" s="73" t="s">
        <v>21</v>
      </c>
      <c r="F52" s="202" t="s">
        <v>33</v>
      </c>
      <c r="G52" s="202"/>
      <c r="H52" s="202"/>
      <c r="I52" s="202"/>
      <c r="J52" s="202"/>
      <c r="K52" s="202"/>
      <c r="V52" s="206"/>
      <c r="W52" s="207"/>
      <c r="X52" s="207"/>
      <c r="Y52" s="207"/>
      <c r="AB52" s="120">
        <f>AB51/F51</f>
        <v>0.50000000000000011</v>
      </c>
      <c r="CR52" s="77">
        <f>CR49+1</f>
        <v>13</v>
      </c>
      <c r="CS52" s="44"/>
      <c r="CT52" s="44"/>
      <c r="CU52" s="48" t="s">
        <v>129</v>
      </c>
      <c r="CV52" s="92">
        <f ca="1">AE70</f>
        <v>4.5648610417658959E-4</v>
      </c>
      <c r="CW52" s="57"/>
      <c r="CX52" s="93">
        <f ca="1">BD28</f>
        <v>4652721.392903653</v>
      </c>
      <c r="CY52" s="94">
        <f ca="1">BF28</f>
        <v>3532739.9800676531</v>
      </c>
      <c r="CZ52" s="95">
        <f ca="1">BH28</f>
        <v>0</v>
      </c>
      <c r="DA52" s="57"/>
      <c r="DB52" s="78">
        <f t="array" aca="1" ref="DB52:DB54" ca="1">MMULT(CX52:CZ54,CV52:CV54)</f>
        <v>2268.0369963811145</v>
      </c>
      <c r="DC52" s="57"/>
      <c r="DD52" s="96"/>
      <c r="DE52" s="97"/>
      <c r="DF52" s="97"/>
      <c r="DG52" s="97"/>
      <c r="DH52" s="97"/>
      <c r="DI52" s="98"/>
      <c r="DJ52" s="57">
        <f>DJ49+1</f>
        <v>13</v>
      </c>
      <c r="DK52" s="57"/>
      <c r="DL52" s="57"/>
      <c r="DM52" s="87" t="s">
        <v>129</v>
      </c>
      <c r="DN52" s="99">
        <f ca="1">INDEX(DE16:DE115,MATCH(DJ52,A16:A50,0))</f>
        <v>1.7170822678694824E-3</v>
      </c>
      <c r="DO52" s="57"/>
      <c r="DP52" s="57"/>
      <c r="DQ52" s="87" t="s">
        <v>130</v>
      </c>
      <c r="DR52" s="99">
        <f ca="1">INDEX(DD16:DD115,MATCH(DJ52,A16:A50,0))</f>
        <v>2.575623401804224E-3</v>
      </c>
      <c r="DS52" s="57"/>
      <c r="DT52" s="93">
        <f ca="1">CX52</f>
        <v>4652721.392903653</v>
      </c>
      <c r="DU52" s="94">
        <f t="shared" ca="1" si="102"/>
        <v>3532739.9800676531</v>
      </c>
      <c r="DV52" s="95">
        <f t="shared" ca="1" si="103"/>
        <v>0</v>
      </c>
      <c r="DW52" s="57"/>
      <c r="DX52" s="80">
        <f t="array" aca="1" ref="DX52:DX54" ca="1">MMULT(DT52:DV54,DN52:DN54)</f>
        <v>8928.1612180336288</v>
      </c>
      <c r="DY52" s="80"/>
      <c r="DZ52" s="80">
        <f t="array" aca="1" ref="DZ52:DZ54" ca="1">MMULT(DT52:DV54,DR52:DR54)</f>
        <v>13392.241827050446</v>
      </c>
      <c r="EB52" s="100"/>
      <c r="EC52" s="101"/>
      <c r="ED52" s="102"/>
      <c r="EE52" s="100"/>
      <c r="EF52" s="101"/>
      <c r="EG52" s="101"/>
      <c r="EH52" s="101"/>
      <c r="EI52" s="101"/>
      <c r="EJ52" s="102"/>
      <c r="EK52" s="100"/>
      <c r="EL52" s="101"/>
      <c r="EM52" s="101"/>
      <c r="EN52" s="101"/>
      <c r="EO52" s="101"/>
      <c r="EP52" s="102"/>
      <c r="EQ52" s="89"/>
      <c r="ER52" s="89"/>
      <c r="ES52" s="89"/>
      <c r="ET52" s="89"/>
      <c r="EU52" s="89"/>
      <c r="EV52" s="89"/>
      <c r="EW52" s="89"/>
      <c r="EX52" s="89"/>
      <c r="EY52" s="103"/>
      <c r="EZ52" s="103"/>
      <c r="FA52" s="58"/>
      <c r="FB52" s="104"/>
      <c r="FC52" s="58"/>
      <c r="FD52" s="58"/>
      <c r="FE52" s="105"/>
      <c r="FF52" s="57"/>
      <c r="FG52" s="44"/>
      <c r="FH52" s="106"/>
      <c r="FI52" s="44"/>
      <c r="FJ52" s="107">
        <f ca="1">IFERROR(FJ16,"")</f>
        <v>-0.70381945832433135</v>
      </c>
      <c r="FK52" s="107">
        <f t="shared" ref="FK52:FP52" ca="1" si="255">IFERROR(FK16,"")</f>
        <v>-0.70326764939975339</v>
      </c>
      <c r="FL52" s="107">
        <f t="shared" ca="1" si="255"/>
        <v>-1.24908333922005</v>
      </c>
      <c r="FM52" s="107">
        <f t="shared" ca="1" si="255"/>
        <v>-1.248423721014928</v>
      </c>
      <c r="FN52" s="107">
        <f t="shared" ca="1" si="255"/>
        <v>0.22882098705308929</v>
      </c>
      <c r="FO52" s="107">
        <f t="shared" ca="1" si="255"/>
        <v>0.39140482598433746</v>
      </c>
      <c r="FP52" s="107">
        <f t="shared" ca="1" si="255"/>
        <v>-0.6951908181445533</v>
      </c>
      <c r="FR52" s="82">
        <f>FR48+1</f>
        <v>10</v>
      </c>
      <c r="FS52" s="61">
        <v>0</v>
      </c>
      <c r="FT52" s="69">
        <f>INDEX(AF16:AF115,MATCH(GF52,A16:A115,0))</f>
        <v>8.5984251968503813E-3</v>
      </c>
      <c r="FU52" s="61">
        <v>0</v>
      </c>
      <c r="FV52" s="69">
        <f>FT52</f>
        <v>8.5984251968503813E-3</v>
      </c>
      <c r="FW52" s="69">
        <v>0</v>
      </c>
      <c r="FX52" s="70">
        <f>FV52</f>
        <v>8.5984251968503813E-3</v>
      </c>
      <c r="FY52" s="82">
        <f>FY48+1</f>
        <v>10</v>
      </c>
      <c r="FZ52" s="61">
        <v>0</v>
      </c>
      <c r="GA52" s="69">
        <f>FT52</f>
        <v>8.5984251968503813E-3</v>
      </c>
      <c r="GB52" s="108">
        <v>0</v>
      </c>
      <c r="GC52" s="109">
        <f t="shared" si="191"/>
        <v>8.5984251968503813E-3</v>
      </c>
      <c r="GD52" s="61">
        <v>0</v>
      </c>
      <c r="GE52" s="110">
        <f>GC52</f>
        <v>8.5984251968503813E-3</v>
      </c>
      <c r="GF52" s="84">
        <f>GF48+1</f>
        <v>10</v>
      </c>
      <c r="GG52" s="111">
        <v>0</v>
      </c>
      <c r="GH52" s="85">
        <f>FT52</f>
        <v>8.5984251968503813E-3</v>
      </c>
      <c r="GI52" s="112">
        <v>0</v>
      </c>
      <c r="GJ52" s="112">
        <f t="shared" si="192"/>
        <v>8.5984251968503813E-3</v>
      </c>
      <c r="GK52" s="112">
        <v>0</v>
      </c>
      <c r="GL52" s="112">
        <f t="shared" si="193"/>
        <v>8.5984251968503813E-3</v>
      </c>
      <c r="GM52" s="117">
        <f>GM48+1</f>
        <v>10</v>
      </c>
      <c r="GN52" s="69">
        <f t="shared" si="244"/>
        <v>8.5984251968503813E-3</v>
      </c>
      <c r="GO52" s="113"/>
      <c r="GP52" s="113"/>
      <c r="GQ52" s="113"/>
      <c r="GR52" s="113"/>
      <c r="GS52" s="113"/>
      <c r="GT52" s="113"/>
      <c r="GU52" s="113"/>
      <c r="HO52" s="57"/>
      <c r="HP52" s="57"/>
      <c r="HQ52" s="57"/>
      <c r="HR52" s="57"/>
      <c r="HS52" s="57"/>
      <c r="HT52" s="57"/>
      <c r="HU52" s="57"/>
      <c r="HV52" s="57"/>
      <c r="HW52" s="57"/>
      <c r="HX52" s="57"/>
      <c r="HY52" s="57"/>
      <c r="HZ52" s="57"/>
      <c r="IA52" s="57"/>
      <c r="IB52" s="57"/>
      <c r="IC52" s="57"/>
      <c r="IJ52" s="57">
        <v>25</v>
      </c>
      <c r="IK52" s="78">
        <f>IK27-(IK27-IK57)*IJ52/(IJ56+1)</f>
        <v>2.6179938779914944</v>
      </c>
      <c r="IL52" s="57">
        <f t="shared" ca="1" si="235"/>
        <v>-1499.9999999999998</v>
      </c>
      <c r="IM52" s="57">
        <f t="shared" ca="1" si="236"/>
        <v>2598.076211353316</v>
      </c>
      <c r="IN52" s="57"/>
      <c r="IO52" s="57"/>
      <c r="IP52" s="57"/>
    </row>
    <row r="53" spans="1:255" x14ac:dyDescent="0.3">
      <c r="A53" s="195" t="s">
        <v>69</v>
      </c>
      <c r="D53" s="86"/>
      <c r="E53" s="86"/>
      <c r="F53" s="86"/>
      <c r="G53" s="86"/>
      <c r="H53" s="86"/>
      <c r="I53" s="86"/>
      <c r="J53" s="86"/>
      <c r="K53" s="86"/>
      <c r="V53" s="206"/>
      <c r="W53" s="207"/>
      <c r="X53" s="207"/>
      <c r="Y53" s="207"/>
      <c r="AB53" s="120">
        <f>W51/F51</f>
        <v>0.50000000000000011</v>
      </c>
      <c r="AD53" s="121" t="str">
        <f>Matl!B1</f>
        <v>HOT WET (160F, 95%RH)</v>
      </c>
      <c r="AE53" s="118" t="s">
        <v>100</v>
      </c>
      <c r="AF53" s="118" t="s">
        <v>73</v>
      </c>
      <c r="CR53" s="77"/>
      <c r="CS53" s="44"/>
      <c r="CT53" s="44"/>
      <c r="CU53" s="48" t="s">
        <v>131</v>
      </c>
      <c r="CV53" s="92">
        <f ca="1">AE71</f>
        <v>4.0799587495451728E-5</v>
      </c>
      <c r="CW53" s="57"/>
      <c r="CX53" s="90">
        <f ca="1">BG28</f>
        <v>3532739.9800676531</v>
      </c>
      <c r="CY53" s="83">
        <f ca="1">BE28</f>
        <v>4652721.392903653</v>
      </c>
      <c r="CZ53" s="91">
        <f ca="1">BK28</f>
        <v>0</v>
      </c>
      <c r="DA53" s="57"/>
      <c r="DB53" s="78">
        <f ca="1"/>
        <v>1802.4758241316983</v>
      </c>
      <c r="DC53" s="57"/>
      <c r="DD53" s="96"/>
      <c r="DE53" s="97"/>
      <c r="DF53" s="97"/>
      <c r="DG53" s="97"/>
      <c r="DH53" s="97"/>
      <c r="DI53" s="98"/>
      <c r="DJ53" s="57"/>
      <c r="DK53" s="57"/>
      <c r="DL53" s="57"/>
      <c r="DM53" s="87" t="s">
        <v>131</v>
      </c>
      <c r="DN53" s="99">
        <f ca="1">INDEX(DG16:DG115,MATCH(DJ52,A16:A50,0))</f>
        <v>2.6581515261244441E-4</v>
      </c>
      <c r="DO53" s="57"/>
      <c r="DP53" s="57"/>
      <c r="DQ53" s="87" t="s">
        <v>132</v>
      </c>
      <c r="DR53" s="99">
        <f ca="1">INDEX(DF16:DF115,MATCH(DJ52,A16:A50,0))</f>
        <v>3.987227289186667E-4</v>
      </c>
      <c r="DS53" s="57"/>
      <c r="DT53" s="90">
        <f t="shared" ref="DT53:DT54" ca="1" si="256">CX53</f>
        <v>3532739.9800676531</v>
      </c>
      <c r="DU53" s="83">
        <f t="shared" ca="1" si="102"/>
        <v>4652721.392903653</v>
      </c>
      <c r="DV53" s="91">
        <f t="shared" ca="1" si="103"/>
        <v>0</v>
      </c>
      <c r="DW53" s="57"/>
      <c r="DX53" s="80">
        <f ca="1"/>
        <v>7302.7690238856258</v>
      </c>
      <c r="DY53" s="80"/>
      <c r="DZ53" s="80">
        <f ca="1"/>
        <v>10954.15353582844</v>
      </c>
      <c r="EB53" s="100"/>
      <c r="EC53" s="101"/>
      <c r="ED53" s="102"/>
      <c r="EE53" s="100"/>
      <c r="EF53" s="101"/>
      <c r="EG53" s="101"/>
      <c r="EH53" s="101"/>
      <c r="EI53" s="101"/>
      <c r="EJ53" s="102"/>
      <c r="EK53" s="100"/>
      <c r="EL53" s="101"/>
      <c r="EM53" s="101"/>
      <c r="EN53" s="101"/>
      <c r="EO53" s="101"/>
      <c r="EP53" s="102"/>
      <c r="EQ53" s="89"/>
      <c r="ER53" s="89"/>
      <c r="ES53" s="89"/>
      <c r="ET53" s="89"/>
      <c r="EU53" s="89"/>
      <c r="EV53" s="89"/>
      <c r="EW53" s="89"/>
      <c r="EX53" s="89"/>
      <c r="EY53" s="103"/>
      <c r="EZ53" s="103"/>
      <c r="FA53" s="58"/>
      <c r="FB53" s="104"/>
      <c r="FC53" s="58"/>
      <c r="FD53" s="58"/>
      <c r="FE53" s="105"/>
      <c r="FF53" s="57"/>
      <c r="FG53" s="44"/>
      <c r="FH53" s="106"/>
      <c r="FI53" s="44"/>
      <c r="FJ53" s="107">
        <f t="shared" ref="FJ53:FP86" ca="1" si="257">IFERROR(FJ17,"")</f>
        <v>-8.724180854414354E-2</v>
      </c>
      <c r="FK53" s="107">
        <f t="shared" ca="1" si="257"/>
        <v>-7.9539271028438052E-2</v>
      </c>
      <c r="FL53" s="107">
        <f t="shared" ca="1" si="257"/>
        <v>-0.35748118098019621</v>
      </c>
      <c r="FM53" s="107">
        <f t="shared" ca="1" si="257"/>
        <v>-0.33946799722541854</v>
      </c>
      <c r="FN53" s="107">
        <f t="shared" ca="1" si="257"/>
        <v>-8.2052263273679871E-2</v>
      </c>
      <c r="FO53" s="107">
        <f t="shared" ca="1" si="257"/>
        <v>2.9439808515242829</v>
      </c>
      <c r="FP53" s="107">
        <f t="shared" ca="1" si="257"/>
        <v>1.2061798414915277</v>
      </c>
      <c r="FR53" s="82"/>
      <c r="FS53" s="69">
        <f ca="1">INDEX(EB16:EB115,MATCH(GF52,A16:A115,0))</f>
        <v>2268.0369963811145</v>
      </c>
      <c r="FT53" s="69">
        <f>FT52</f>
        <v>8.5984251968503813E-3</v>
      </c>
      <c r="FU53" s="69">
        <f ca="1">INDEX(EC16:EC115,MATCH(GF52,A16:A115,0))</f>
        <v>1802.4758241316983</v>
      </c>
      <c r="FV53" s="69">
        <f t="shared" ref="FV53:FV55" si="258">FT53</f>
        <v>8.5984251968503813E-3</v>
      </c>
      <c r="FW53" s="69">
        <f ca="1">INDEX(ED16:ED115,MATCH(GF52,A16:A115,0))</f>
        <v>-1007.8166055871841</v>
      </c>
      <c r="FX53" s="70">
        <f t="shared" ref="FX53:FX55" si="259">FV53</f>
        <v>8.5984251968503813E-3</v>
      </c>
      <c r="FY53" s="82"/>
      <c r="FZ53" s="101">
        <f ca="1">INDEX(EE16:EE115,MATCH(GF52,A16:A115,0))</f>
        <v>-4464.080609016808</v>
      </c>
      <c r="GA53" s="69">
        <f>GA52</f>
        <v>8.5984251968503813E-3</v>
      </c>
      <c r="GB53" s="61">
        <f ca="1">INDEX(EG16:EG115,MATCH(GF52,A16:A115,0))</f>
        <v>-3651.3845119428079</v>
      </c>
      <c r="GC53" s="109">
        <f t="shared" si="191"/>
        <v>8.5984251968503813E-3</v>
      </c>
      <c r="GD53" s="69">
        <f ca="1">INDEX(EI16:EI115,MATCH(GF52,A16:A115,0))</f>
        <v>3764.6823862580754</v>
      </c>
      <c r="GE53" s="110">
        <f t="shared" ref="GE53:GE55" si="260">GC53</f>
        <v>8.5984251968503813E-3</v>
      </c>
      <c r="GF53" s="84"/>
      <c r="GG53" s="111">
        <f ca="1">FS53+FZ53</f>
        <v>-2196.0436126356935</v>
      </c>
      <c r="GH53" s="85">
        <f>GH52</f>
        <v>8.5984251968503813E-3</v>
      </c>
      <c r="GI53" s="111">
        <f ca="1">FU53+GB53</f>
        <v>-1848.9086878111095</v>
      </c>
      <c r="GJ53" s="112">
        <f t="shared" si="192"/>
        <v>8.5984251968503813E-3</v>
      </c>
      <c r="GK53" s="111">
        <f ca="1">FW53+GD53</f>
        <v>2756.8657806708916</v>
      </c>
      <c r="GL53" s="112">
        <f t="shared" si="193"/>
        <v>8.5984251968503813E-3</v>
      </c>
      <c r="GN53" s="69">
        <f t="shared" si="244"/>
        <v>8.5984251968503813E-3</v>
      </c>
      <c r="GO53" s="113">
        <f ca="1">INDEX(FJ16:FJ115,MATCH(GM52,A16:A115,0))</f>
        <v>2.8969992664450368</v>
      </c>
      <c r="GP53" s="113">
        <f ca="1">INDEX(FK16:FK115,MATCH(GM52,A16:A115,0))</f>
        <v>2.9497549215654626</v>
      </c>
      <c r="GQ53" s="113">
        <f ca="1">INDEX(FL16:FL115,MATCH(GM52,A16:A115,0))</f>
        <v>2.9576627898211361</v>
      </c>
      <c r="GR53" s="113">
        <f ca="1">INDEX(FM16:FM115,MATCH(GM52,A16:A115,0))</f>
        <v>2.9533810898524964</v>
      </c>
      <c r="GS53" s="113">
        <f ca="1">INDEX(FN16:FN115,MATCH(GM52,A16:A115,0))</f>
        <v>37.049403183323797</v>
      </c>
      <c r="GT53" s="113">
        <f ca="1">INDEX(FO16:FO115,MATCH(GM52,A16:A115,0))</f>
        <v>25.122202287436185</v>
      </c>
      <c r="GU53" s="113">
        <f ca="1">INDEX(FP16:FP115,MATCH(GM52,A16:A115,0))</f>
        <v>3.0509428874996791</v>
      </c>
      <c r="HO53" s="57"/>
      <c r="HP53" s="57"/>
      <c r="HQ53" s="57"/>
      <c r="HR53" s="57"/>
      <c r="HS53" s="57"/>
      <c r="HT53" s="57"/>
      <c r="HU53" s="57"/>
      <c r="HV53" s="57"/>
      <c r="HW53" s="57"/>
      <c r="HX53" s="57"/>
      <c r="HY53" s="57"/>
      <c r="HZ53" s="57"/>
      <c r="IA53" s="57"/>
      <c r="IB53" s="57"/>
      <c r="IC53" s="57"/>
      <c r="IJ53" s="57">
        <v>26</v>
      </c>
      <c r="IK53" s="78">
        <f>IK27-(IK27-IK57)*IJ53/(IJ56+1)</f>
        <v>2.7227136331111543</v>
      </c>
      <c r="IL53" s="57">
        <f t="shared" ca="1" si="235"/>
        <v>-1220.2099292274002</v>
      </c>
      <c r="IM53" s="57">
        <f t="shared" ca="1" si="236"/>
        <v>2740.6363729278028</v>
      </c>
      <c r="IN53" s="57"/>
      <c r="IO53" s="57"/>
      <c r="IP53" s="57"/>
    </row>
    <row r="54" spans="1:255" x14ac:dyDescent="0.3">
      <c r="A54" s="139" t="s">
        <v>0</v>
      </c>
      <c r="B54" s="139"/>
      <c r="C54" s="139"/>
      <c r="D54" s="36"/>
      <c r="E54" s="36"/>
      <c r="F54" s="36"/>
      <c r="G54" s="36"/>
      <c r="H54" s="36"/>
      <c r="I54" s="36"/>
      <c r="J54" s="36"/>
      <c r="K54" s="171"/>
      <c r="V54" s="206"/>
      <c r="W54" s="207"/>
      <c r="X54" s="207"/>
      <c r="Y54" s="207"/>
      <c r="AD54" s="121" t="str">
        <f>Matl!B30</f>
        <v>HOT (160F)</v>
      </c>
      <c r="AE54" s="118" t="s">
        <v>101</v>
      </c>
      <c r="AF54" s="118" t="s">
        <v>74</v>
      </c>
      <c r="CR54" s="77"/>
      <c r="CS54" s="44"/>
      <c r="CT54" s="44"/>
      <c r="CU54" s="48" t="s">
        <v>133</v>
      </c>
      <c r="CV54" s="92">
        <f ca="1">AE72</f>
        <v>-2.771243444540907E-4</v>
      </c>
      <c r="CW54" s="57"/>
      <c r="CX54" s="114">
        <f ca="1">BI28</f>
        <v>0</v>
      </c>
      <c r="CY54" s="115">
        <f ca="1">BJ28</f>
        <v>0</v>
      </c>
      <c r="CZ54" s="116">
        <f ca="1">BL28</f>
        <v>3636694.5948847961</v>
      </c>
      <c r="DA54" s="57"/>
      <c r="DB54" s="78">
        <f ca="1"/>
        <v>-1007.8166055871841</v>
      </c>
      <c r="DC54" s="57"/>
      <c r="DD54" s="96"/>
      <c r="DE54" s="97"/>
      <c r="DF54" s="97"/>
      <c r="DG54" s="97"/>
      <c r="DH54" s="97"/>
      <c r="DI54" s="98"/>
      <c r="DJ54" s="57"/>
      <c r="DK54" s="57"/>
      <c r="DL54" s="57"/>
      <c r="DM54" s="87" t="s">
        <v>133</v>
      </c>
      <c r="DN54" s="99">
        <f ca="1">INDEX(DI16:DI115,MATCH(DJ52,A16:A50,0))</f>
        <v>-2.070386879092518E-3</v>
      </c>
      <c r="DO54" s="57"/>
      <c r="DP54" s="57"/>
      <c r="DQ54" s="87" t="s">
        <v>134</v>
      </c>
      <c r="DR54" s="99">
        <f ca="1">INDEX(DH16:DH115,MATCH(DJ52,A16:A50,0))</f>
        <v>-3.1055803186387774E-3</v>
      </c>
      <c r="DS54" s="57"/>
      <c r="DT54" s="114">
        <f t="shared" ca="1" si="256"/>
        <v>0</v>
      </c>
      <c r="DU54" s="115">
        <f t="shared" ca="1" si="102"/>
        <v>0</v>
      </c>
      <c r="DV54" s="116">
        <f t="shared" ca="1" si="103"/>
        <v>3636694.5948847961</v>
      </c>
      <c r="DW54" s="57"/>
      <c r="DX54" s="80">
        <f ca="1"/>
        <v>-7529.3647725161618</v>
      </c>
      <c r="DY54" s="80"/>
      <c r="DZ54" s="80">
        <f ca="1"/>
        <v>-11294.047158774245</v>
      </c>
      <c r="EB54" s="100"/>
      <c r="EC54" s="101"/>
      <c r="ED54" s="102"/>
      <c r="EE54" s="100"/>
      <c r="EF54" s="101"/>
      <c r="EG54" s="101"/>
      <c r="EH54" s="101"/>
      <c r="EI54" s="101"/>
      <c r="EJ54" s="102"/>
      <c r="EK54" s="100"/>
      <c r="EL54" s="101"/>
      <c r="EM54" s="101"/>
      <c r="EN54" s="101"/>
      <c r="EO54" s="101"/>
      <c r="EP54" s="102"/>
      <c r="EQ54" s="89"/>
      <c r="ER54" s="89"/>
      <c r="ES54" s="89"/>
      <c r="ET54" s="89"/>
      <c r="EU54" s="89"/>
      <c r="EV54" s="89"/>
      <c r="EW54" s="89"/>
      <c r="EX54" s="89"/>
      <c r="EY54" s="103"/>
      <c r="EZ54" s="103"/>
      <c r="FA54" s="58"/>
      <c r="FB54" s="104"/>
      <c r="FC54" s="58"/>
      <c r="FD54" s="58"/>
      <c r="FE54" s="105"/>
      <c r="FF54" s="57"/>
      <c r="FG54" s="44"/>
      <c r="FH54" s="106"/>
      <c r="FI54" s="44"/>
      <c r="FJ54" s="107">
        <f t="shared" ca="1" si="257"/>
        <v>3.43671758300792E-2</v>
      </c>
      <c r="FK54" s="107">
        <f t="shared" ca="1" si="257"/>
        <v>4.3108118703523157E-2</v>
      </c>
      <c r="FL54" s="107">
        <f t="shared" ca="1" si="257"/>
        <v>-0.14393561934953203</v>
      </c>
      <c r="FM54" s="107">
        <f t="shared" ca="1" si="257"/>
        <v>-0.12351837458304504</v>
      </c>
      <c r="FN54" s="107">
        <f t="shared" ca="1" si="257"/>
        <v>4.0826809164405065E-2</v>
      </c>
      <c r="FO54" s="107">
        <f t="shared" ca="1" si="257"/>
        <v>3.4608168396965358</v>
      </c>
      <c r="FP54" s="107">
        <f t="shared" ca="1" si="257"/>
        <v>1.4914999513008356</v>
      </c>
      <c r="FR54" s="82"/>
      <c r="FS54" s="69">
        <f ca="1">FS53</f>
        <v>2268.0369963811145</v>
      </c>
      <c r="FT54" s="69">
        <f>INDEX(AE16:AE115,MATCH(GF52,A16:A115,0))</f>
        <v>-1.3877787807814457E-17</v>
      </c>
      <c r="FU54" s="69">
        <f ca="1">FU53</f>
        <v>1802.4758241316983</v>
      </c>
      <c r="FV54" s="69">
        <f t="shared" si="258"/>
        <v>-1.3877787807814457E-17</v>
      </c>
      <c r="FW54" s="69">
        <f ca="1">FW53</f>
        <v>-1007.8166055871841</v>
      </c>
      <c r="FX54" s="70">
        <f t="shared" si="259"/>
        <v>-1.3877787807814457E-17</v>
      </c>
      <c r="FY54" s="82"/>
      <c r="FZ54" s="101">
        <f ca="1">INDEX(EF16:EF115,MATCH(GF52,A16:A115,0))</f>
        <v>7.2049895219891382E-12</v>
      </c>
      <c r="GA54" s="69">
        <f>FT54</f>
        <v>-1.3877787807814457E-17</v>
      </c>
      <c r="GB54" s="61">
        <f ca="1">INDEX(EH16:EH115,MATCH(GF52,A16:A115,0))</f>
        <v>5.8933046809599621E-12</v>
      </c>
      <c r="GC54" s="109">
        <f t="shared" si="191"/>
        <v>-1.3877787807814457E-17</v>
      </c>
      <c r="GD54" s="69">
        <f ca="1">INDEX(EJ16:EJ115,MATCH(GF52,A16:A115,0))</f>
        <v>-6.0761665216839666E-12</v>
      </c>
      <c r="GE54" s="110">
        <f t="shared" si="260"/>
        <v>-1.3877787807814457E-17</v>
      </c>
      <c r="GF54" s="84"/>
      <c r="GG54" s="111">
        <f ca="1">FS54+FZ54</f>
        <v>2268.0369963811218</v>
      </c>
      <c r="GH54" s="85">
        <f>FT54</f>
        <v>-1.3877787807814457E-17</v>
      </c>
      <c r="GI54" s="111">
        <f ca="1">FU54+GB54</f>
        <v>1802.4758241317043</v>
      </c>
      <c r="GJ54" s="112">
        <f t="shared" si="192"/>
        <v>-1.3877787807814457E-17</v>
      </c>
      <c r="GK54" s="111">
        <f ca="1">FW54+GD54</f>
        <v>-1007.8166055871901</v>
      </c>
      <c r="GL54" s="112">
        <f t="shared" si="193"/>
        <v>-1.3877787807814457E-17</v>
      </c>
      <c r="GN54" s="69">
        <f t="shared" si="244"/>
        <v>-1.3877787807814457E-17</v>
      </c>
      <c r="GO54" s="113">
        <f ca="1">GO53</f>
        <v>2.8969992664450368</v>
      </c>
      <c r="GP54" s="113">
        <f t="shared" ref="GP54" ca="1" si="261">GP53</f>
        <v>2.9497549215654626</v>
      </c>
      <c r="GQ54" s="113">
        <f t="shared" ref="GQ54" ca="1" si="262">GQ53</f>
        <v>2.9576627898211361</v>
      </c>
      <c r="GR54" s="113">
        <f t="shared" ref="GR54" ca="1" si="263">GR53</f>
        <v>2.9533810898524964</v>
      </c>
      <c r="GS54" s="113">
        <f t="shared" ref="GS54" ca="1" si="264">GS53</f>
        <v>37.049403183323797</v>
      </c>
      <c r="GT54" s="113">
        <f t="shared" ref="GT54" ca="1" si="265">GT53</f>
        <v>25.122202287436185</v>
      </c>
      <c r="GU54" s="113">
        <f t="shared" ref="GU54" ca="1" si="266">GU53</f>
        <v>3.0509428874996791</v>
      </c>
      <c r="HO54" s="57"/>
      <c r="HP54" s="57"/>
      <c r="HQ54" s="57"/>
      <c r="HR54" s="57"/>
      <c r="HS54" s="57"/>
      <c r="HT54" s="57"/>
      <c r="HU54" s="57"/>
      <c r="HV54" s="57"/>
      <c r="HW54" s="57"/>
      <c r="HX54" s="57"/>
      <c r="HY54" s="57"/>
      <c r="HZ54" s="57"/>
      <c r="IA54" s="57"/>
      <c r="IB54" s="57"/>
      <c r="IC54" s="57"/>
      <c r="IJ54" s="57">
        <v>27</v>
      </c>
      <c r="IK54" s="78">
        <f>IK27-(IK27-IK57)*IJ54/(IJ56+1)</f>
        <v>2.8274333882308138</v>
      </c>
      <c r="IL54" s="57">
        <f t="shared" ca="1" si="235"/>
        <v>-927.05098312484256</v>
      </c>
      <c r="IM54" s="57">
        <f t="shared" ca="1" si="236"/>
        <v>2853.1695488854607</v>
      </c>
      <c r="IN54" s="57"/>
      <c r="IO54" s="57"/>
      <c r="IP54" s="57"/>
    </row>
    <row r="55" spans="1:255" ht="15" x14ac:dyDescent="0.35">
      <c r="A55" s="145" t="s">
        <v>184</v>
      </c>
      <c r="B55" s="172">
        <f ca="1">(F55*G56-G55^2)/(F51*G56)</f>
        <v>5548602.5698115621</v>
      </c>
      <c r="C55" s="139" t="s">
        <v>1</v>
      </c>
      <c r="D55" s="194"/>
      <c r="E55" s="194"/>
      <c r="F55" s="174">
        <f ca="1">BN14</f>
        <v>1064669.6195517574</v>
      </c>
      <c r="G55" s="175">
        <f ca="1">BP14</f>
        <v>342971.92679228442</v>
      </c>
      <c r="H55" s="176">
        <f ca="1">BR14</f>
        <v>0</v>
      </c>
      <c r="I55" s="174">
        <f ca="1">BX14</f>
        <v>1.0913936421275139E-11</v>
      </c>
      <c r="J55" s="175">
        <f ca="1">BZ14</f>
        <v>2.7284841053187847E-12</v>
      </c>
      <c r="K55" s="176">
        <f ca="1">CB14</f>
        <v>0</v>
      </c>
      <c r="V55" s="206"/>
      <c r="W55" s="207"/>
      <c r="X55" s="207"/>
      <c r="Y55" s="207"/>
      <c r="AD55" s="121" t="str">
        <f>Matl!B59</f>
        <v>ROOM TEMP (75F)</v>
      </c>
      <c r="AE55" s="118" t="s">
        <v>102</v>
      </c>
      <c r="AF55" s="118" t="s">
        <v>75</v>
      </c>
      <c r="CR55" s="77">
        <f>CR52+1</f>
        <v>14</v>
      </c>
      <c r="CS55" s="44"/>
      <c r="CT55" s="44"/>
      <c r="CU55" s="48" t="s">
        <v>129</v>
      </c>
      <c r="CV55" s="92">
        <f ca="1">AE70</f>
        <v>4.5648610417658959E-4</v>
      </c>
      <c r="CW55" s="57"/>
      <c r="CX55" s="93">
        <f ca="1">BD29</f>
        <v>4652721.392903653</v>
      </c>
      <c r="CY55" s="94">
        <f ca="1">BF29</f>
        <v>3532739.9800676531</v>
      </c>
      <c r="CZ55" s="95">
        <f ca="1">BH29</f>
        <v>0</v>
      </c>
      <c r="DA55" s="57"/>
      <c r="DB55" s="78">
        <f t="array" aca="1" ref="DB55:DB57" ca="1">MMULT(CX55:CZ57,CV55:CV57)</f>
        <v>2268.0369963811145</v>
      </c>
      <c r="DC55" s="57"/>
      <c r="DD55" s="96"/>
      <c r="DE55" s="97"/>
      <c r="DF55" s="97"/>
      <c r="DG55" s="97"/>
      <c r="DH55" s="97"/>
      <c r="DI55" s="98"/>
      <c r="DJ55" s="57">
        <f>DJ52+1</f>
        <v>14</v>
      </c>
      <c r="DK55" s="57"/>
      <c r="DL55" s="57"/>
      <c r="DM55" s="87" t="s">
        <v>129</v>
      </c>
      <c r="DN55" s="99">
        <f ca="1">INDEX(DE16:DE115,MATCH(DJ55,A16:A50,0))</f>
        <v>2.5756234018042231E-3</v>
      </c>
      <c r="DO55" s="57"/>
      <c r="DP55" s="57"/>
      <c r="DQ55" s="87" t="s">
        <v>130</v>
      </c>
      <c r="DR55" s="99">
        <f ca="1">INDEX(DD16:DD115,MATCH(DJ55,A16:A50,0))</f>
        <v>3.4341645357389649E-3</v>
      </c>
      <c r="DS55" s="57"/>
      <c r="DT55" s="93">
        <f ca="1">CX55</f>
        <v>4652721.392903653</v>
      </c>
      <c r="DU55" s="94">
        <f t="shared" ca="1" si="102"/>
        <v>3532739.9800676531</v>
      </c>
      <c r="DV55" s="95">
        <f t="shared" ca="1" si="103"/>
        <v>0</v>
      </c>
      <c r="DW55" s="57"/>
      <c r="DX55" s="80">
        <f t="array" aca="1" ref="DX55:DX57" ca="1">MMULT(DT55:DV57,DN55:DN57)</f>
        <v>13392.24182705044</v>
      </c>
      <c r="DY55" s="80"/>
      <c r="DZ55" s="80">
        <f t="array" aca="1" ref="DZ55:DZ57" ca="1">MMULT(DT55:DV57,DR55:DR57)</f>
        <v>17856.322436067258</v>
      </c>
      <c r="EB55" s="100"/>
      <c r="EC55" s="101"/>
      <c r="ED55" s="102"/>
      <c r="EE55" s="100"/>
      <c r="EF55" s="101"/>
      <c r="EG55" s="101"/>
      <c r="EH55" s="101"/>
      <c r="EI55" s="101"/>
      <c r="EJ55" s="102"/>
      <c r="EK55" s="100"/>
      <c r="EL55" s="101"/>
      <c r="EM55" s="101"/>
      <c r="EN55" s="101"/>
      <c r="EO55" s="101"/>
      <c r="EP55" s="102"/>
      <c r="EQ55" s="89"/>
      <c r="ER55" s="89"/>
      <c r="ES55" s="89"/>
      <c r="ET55" s="89"/>
      <c r="EU55" s="89"/>
      <c r="EV55" s="89"/>
      <c r="EW55" s="89"/>
      <c r="EX55" s="89"/>
      <c r="EY55" s="103"/>
      <c r="EZ55" s="103"/>
      <c r="FA55" s="58"/>
      <c r="FB55" s="104"/>
      <c r="FC55" s="58"/>
      <c r="FD55" s="58"/>
      <c r="FE55" s="105"/>
      <c r="FF55" s="57"/>
      <c r="FG55" s="44"/>
      <c r="FH55" s="106"/>
      <c r="FI55" s="44"/>
      <c r="FJ55" s="107">
        <f t="shared" ca="1" si="257"/>
        <v>-0.57157544998894472</v>
      </c>
      <c r="FK55" s="107">
        <f t="shared" ca="1" si="257"/>
        <v>-0.57079371335286244</v>
      </c>
      <c r="FL55" s="107">
        <f t="shared" ca="1" si="257"/>
        <v>-0.94185160041784055</v>
      </c>
      <c r="FM55" s="107">
        <f t="shared" ca="1" si="257"/>
        <v>-0.94091788886010996</v>
      </c>
      <c r="FN55" s="107">
        <f t="shared" ca="1" si="257"/>
        <v>0.79667358922635989</v>
      </c>
      <c r="FO55" s="107">
        <f t="shared" ca="1" si="257"/>
        <v>1.0329640999599006</v>
      </c>
      <c r="FP55" s="107">
        <f t="shared" ca="1" si="257"/>
        <v>-0.55936384264481021</v>
      </c>
      <c r="FR55" s="82"/>
      <c r="FS55" s="61">
        <v>0</v>
      </c>
      <c r="FT55" s="69">
        <f>FT54</f>
        <v>-1.3877787807814457E-17</v>
      </c>
      <c r="FU55" s="61">
        <v>0</v>
      </c>
      <c r="FV55" s="69">
        <f t="shared" si="258"/>
        <v>-1.3877787807814457E-17</v>
      </c>
      <c r="FW55" s="69">
        <v>0</v>
      </c>
      <c r="FX55" s="70">
        <f t="shared" si="259"/>
        <v>-1.3877787807814457E-17</v>
      </c>
      <c r="FY55" s="82"/>
      <c r="FZ55" s="61">
        <v>0</v>
      </c>
      <c r="GA55" s="69">
        <f>GA54</f>
        <v>-1.3877787807814457E-17</v>
      </c>
      <c r="GB55" s="61">
        <v>0</v>
      </c>
      <c r="GC55" s="109">
        <f t="shared" si="191"/>
        <v>-1.3877787807814457E-17</v>
      </c>
      <c r="GD55" s="61">
        <v>0</v>
      </c>
      <c r="GE55" s="110">
        <f t="shared" si="260"/>
        <v>-1.3877787807814457E-17</v>
      </c>
      <c r="GF55" s="84"/>
      <c r="GG55" s="111">
        <v>0</v>
      </c>
      <c r="GH55" s="85">
        <f>GH54</f>
        <v>-1.3877787807814457E-17</v>
      </c>
      <c r="GI55" s="112">
        <v>0</v>
      </c>
      <c r="GJ55" s="112">
        <f t="shared" si="192"/>
        <v>-1.3877787807814457E-17</v>
      </c>
      <c r="GK55" s="112">
        <v>0</v>
      </c>
      <c r="GL55" s="112">
        <f t="shared" si="193"/>
        <v>-1.3877787807814457E-17</v>
      </c>
      <c r="GN55" s="69">
        <f t="shared" si="244"/>
        <v>-1.3877787807814457E-17</v>
      </c>
      <c r="GO55" s="113"/>
      <c r="GP55" s="113"/>
      <c r="GQ55" s="113"/>
      <c r="GR55" s="113"/>
      <c r="GS55" s="113"/>
      <c r="GT55" s="113"/>
      <c r="GU55" s="113"/>
      <c r="HO55" s="57"/>
      <c r="HP55" s="57"/>
      <c r="HQ55" s="57"/>
      <c r="HR55" s="57"/>
      <c r="HS55" s="57"/>
      <c r="HT55" s="57"/>
      <c r="HU55" s="57"/>
      <c r="HV55" s="57"/>
      <c r="HW55" s="57"/>
      <c r="HX55" s="57"/>
      <c r="HY55" s="57"/>
      <c r="HZ55" s="57"/>
      <c r="IA55" s="57"/>
      <c r="IB55" s="57"/>
      <c r="IC55" s="57"/>
      <c r="IJ55" s="57">
        <v>28</v>
      </c>
      <c r="IK55" s="78">
        <f>IK27-(IK27-IK57)*IJ55/(IJ56+1)</f>
        <v>2.9321531433504737</v>
      </c>
      <c r="IL55" s="57">
        <f t="shared" ca="1" si="235"/>
        <v>-623.73507245327789</v>
      </c>
      <c r="IM55" s="57">
        <f t="shared" ca="1" si="236"/>
        <v>2934.4428022014172</v>
      </c>
      <c r="IN55" s="57"/>
      <c r="IO55" s="57"/>
      <c r="IP55" s="57"/>
    </row>
    <row r="56" spans="1:255" ht="15" x14ac:dyDescent="0.35">
      <c r="A56" s="145" t="s">
        <v>185</v>
      </c>
      <c r="B56" s="172">
        <f ca="1">(F55*G56-G55^2)/(F51*F55)</f>
        <v>5548602.5698115621</v>
      </c>
      <c r="C56" s="139" t="s">
        <v>1</v>
      </c>
      <c r="F56" s="178">
        <f ca="1">BQ14</f>
        <v>342971.92679228442</v>
      </c>
      <c r="G56" s="179">
        <f ca="1">BO14</f>
        <v>1064669.6195517574</v>
      </c>
      <c r="H56" s="180">
        <f ca="1">BU14</f>
        <v>0</v>
      </c>
      <c r="I56" s="178">
        <f ca="1">CA14</f>
        <v>2.7284841053187847E-12</v>
      </c>
      <c r="J56" s="179">
        <f ca="1">BY14</f>
        <v>1.0913936421275139E-11</v>
      </c>
      <c r="K56" s="180">
        <f ca="1">CE14</f>
        <v>0</v>
      </c>
      <c r="V56" s="206"/>
      <c r="W56" s="208" t="s">
        <v>197</v>
      </c>
      <c r="X56" s="207">
        <f>COUNTA(B16:B50)</f>
        <v>20</v>
      </c>
      <c r="Y56" s="207"/>
      <c r="AD56" s="57" t="str">
        <f>Matl!B88</f>
        <v>COLD (-65F)</v>
      </c>
      <c r="AE56" s="118" t="s">
        <v>103</v>
      </c>
      <c r="AF56" s="118" t="s">
        <v>76</v>
      </c>
      <c r="CR56" s="77"/>
      <c r="CS56" s="44"/>
      <c r="CT56" s="44"/>
      <c r="CU56" s="48" t="s">
        <v>131</v>
      </c>
      <c r="CV56" s="92">
        <f ca="1">AE71</f>
        <v>4.0799587495451728E-5</v>
      </c>
      <c r="CW56" s="57"/>
      <c r="CX56" s="90">
        <f ca="1">BG29</f>
        <v>3532739.9800676531</v>
      </c>
      <c r="CY56" s="83">
        <f ca="1">BE29</f>
        <v>4652721.392903653</v>
      </c>
      <c r="CZ56" s="91">
        <f ca="1">BK29</f>
        <v>0</v>
      </c>
      <c r="DA56" s="57"/>
      <c r="DB56" s="78">
        <f ca="1"/>
        <v>1802.4758241316983</v>
      </c>
      <c r="DC56" s="57"/>
      <c r="DD56" s="96"/>
      <c r="DE56" s="97"/>
      <c r="DF56" s="97"/>
      <c r="DG56" s="97"/>
      <c r="DH56" s="97"/>
      <c r="DI56" s="98"/>
      <c r="DJ56" s="57"/>
      <c r="DK56" s="57"/>
      <c r="DL56" s="57"/>
      <c r="DM56" s="87" t="s">
        <v>131</v>
      </c>
      <c r="DN56" s="99">
        <f ca="1">INDEX(DG16:DG115,MATCH(DJ55,A16:A50,0))</f>
        <v>3.9872272891866659E-4</v>
      </c>
      <c r="DO56" s="57"/>
      <c r="DP56" s="57"/>
      <c r="DQ56" s="87" t="s">
        <v>132</v>
      </c>
      <c r="DR56" s="99">
        <f ca="1">INDEX(DF16:DF115,MATCH(DJ55,A16:A50,0))</f>
        <v>5.3163030522488882E-4</v>
      </c>
      <c r="DS56" s="57"/>
      <c r="DT56" s="90">
        <f t="shared" ref="DT56:DT57" ca="1" si="267">CX56</f>
        <v>3532739.9800676531</v>
      </c>
      <c r="DU56" s="83">
        <f t="shared" ca="1" si="102"/>
        <v>4652721.392903653</v>
      </c>
      <c r="DV56" s="91">
        <f t="shared" ca="1" si="103"/>
        <v>0</v>
      </c>
      <c r="DW56" s="57"/>
      <c r="DX56" s="80">
        <f ca="1"/>
        <v>10954.153535828435</v>
      </c>
      <c r="DY56" s="80"/>
      <c r="DZ56" s="80">
        <f ca="1"/>
        <v>14605.538047771252</v>
      </c>
      <c r="FJ56" s="107">
        <f t="shared" ca="1" si="257"/>
        <v>0.41008782698486135</v>
      </c>
      <c r="FK56" s="107">
        <f t="shared" ca="1" si="257"/>
        <v>0.42205451288795293</v>
      </c>
      <c r="FL56" s="107">
        <f t="shared" ca="1" si="257"/>
        <v>0.44938628075589016</v>
      </c>
      <c r="FM56" s="107">
        <f t="shared" ca="1" si="257"/>
        <v>0.47723500675528152</v>
      </c>
      <c r="FN56" s="107">
        <f t="shared" ca="1" si="257"/>
        <v>0.42136180830591252</v>
      </c>
      <c r="FO56" s="107">
        <f t="shared" ca="1" si="257"/>
        <v>5.0451920921395095</v>
      </c>
      <c r="FP56" s="107">
        <f t="shared" ca="1" si="257"/>
        <v>2.3607849630341398</v>
      </c>
      <c r="FR56" s="82">
        <f>FR52+1</f>
        <v>11</v>
      </c>
      <c r="FS56" s="61">
        <v>0</v>
      </c>
      <c r="FT56" s="69">
        <f>INDEX(AF16:AF115,MATCH(GF56,A16:A115,0))</f>
        <v>0</v>
      </c>
      <c r="FU56" s="61">
        <v>0</v>
      </c>
      <c r="FV56" s="69">
        <f>FT56</f>
        <v>0</v>
      </c>
      <c r="FW56" s="69">
        <v>0</v>
      </c>
      <c r="FX56" s="70">
        <f>FV56</f>
        <v>0</v>
      </c>
      <c r="FY56" s="82">
        <f>FY52+1</f>
        <v>11</v>
      </c>
      <c r="FZ56" s="61">
        <v>0</v>
      </c>
      <c r="GA56" s="69">
        <f>FT56</f>
        <v>0</v>
      </c>
      <c r="GB56" s="108">
        <v>0</v>
      </c>
      <c r="GC56" s="109">
        <f t="shared" si="191"/>
        <v>0</v>
      </c>
      <c r="GD56" s="61">
        <v>0</v>
      </c>
      <c r="GE56" s="110">
        <f>GC56</f>
        <v>0</v>
      </c>
      <c r="GF56" s="84">
        <f>GF52+1</f>
        <v>11</v>
      </c>
      <c r="GG56" s="111">
        <v>0</v>
      </c>
      <c r="GH56" s="85">
        <f>FT56</f>
        <v>0</v>
      </c>
      <c r="GI56" s="112">
        <v>0</v>
      </c>
      <c r="GJ56" s="112">
        <f t="shared" si="192"/>
        <v>0</v>
      </c>
      <c r="GK56" s="112">
        <v>0</v>
      </c>
      <c r="GL56" s="112">
        <f t="shared" si="193"/>
        <v>0</v>
      </c>
      <c r="GM56" s="117">
        <f>GM52+1</f>
        <v>11</v>
      </c>
      <c r="GN56" s="69">
        <f t="shared" si="244"/>
        <v>0</v>
      </c>
      <c r="GO56" s="113"/>
      <c r="GP56" s="113"/>
      <c r="GQ56" s="113"/>
      <c r="GR56" s="113"/>
      <c r="GS56" s="113"/>
      <c r="GT56" s="113"/>
      <c r="GU56" s="113"/>
      <c r="HO56" s="57"/>
      <c r="HP56" s="57"/>
      <c r="HQ56" s="57"/>
      <c r="HR56" s="57"/>
      <c r="HS56" s="57"/>
      <c r="HT56" s="57"/>
      <c r="HU56" s="57"/>
      <c r="HV56" s="57"/>
      <c r="HW56" s="57"/>
      <c r="HX56" s="57"/>
      <c r="HY56" s="57"/>
      <c r="HZ56" s="57"/>
      <c r="IA56" s="57"/>
      <c r="IB56" s="57"/>
      <c r="IC56" s="57"/>
      <c r="IJ56" s="57">
        <v>29</v>
      </c>
      <c r="IK56" s="78">
        <f>IK27-(IK27-IK57)*IJ56/(IJ56+1)</f>
        <v>3.0368728984701336</v>
      </c>
      <c r="IL56" s="57">
        <f t="shared" ca="1" si="235"/>
        <v>-313.58538980295987</v>
      </c>
      <c r="IM56" s="57">
        <f t="shared" ca="1" si="236"/>
        <v>2983.5656861048201</v>
      </c>
      <c r="IN56" s="57"/>
      <c r="IO56" s="57"/>
      <c r="IP56" s="57"/>
    </row>
    <row r="57" spans="1:255" s="53" customFormat="1" ht="15" x14ac:dyDescent="0.35">
      <c r="A57" s="145" t="s">
        <v>186</v>
      </c>
      <c r="B57" s="172">
        <f ca="1">H57/F51</f>
        <v>2098342.650651399</v>
      </c>
      <c r="C57" s="139" t="s">
        <v>1</v>
      </c>
      <c r="D57" s="196" t="s">
        <v>14</v>
      </c>
      <c r="E57" s="197" t="s">
        <v>122</v>
      </c>
      <c r="F57" s="182">
        <f ca="1">BS14</f>
        <v>0</v>
      </c>
      <c r="G57" s="183">
        <f ca="1">BT14</f>
        <v>0</v>
      </c>
      <c r="H57" s="184">
        <f ca="1">BV14</f>
        <v>360848.84637973661</v>
      </c>
      <c r="I57" s="182">
        <f ca="1">CC14</f>
        <v>0</v>
      </c>
      <c r="J57" s="183">
        <f ca="1">CD14</f>
        <v>0</v>
      </c>
      <c r="K57" s="184">
        <f ca="1">CF14</f>
        <v>5.0022208597511053E-12</v>
      </c>
      <c r="L57" s="50"/>
      <c r="M57" s="40"/>
      <c r="N57" s="40"/>
      <c r="O57" s="40"/>
      <c r="P57" s="41"/>
      <c r="Q57" s="41"/>
      <c r="R57" s="41"/>
      <c r="S57" s="41"/>
      <c r="T57" s="40"/>
      <c r="U57" s="50"/>
      <c r="V57" s="206"/>
      <c r="W57" s="208" t="s">
        <v>198</v>
      </c>
      <c r="X57" s="209">
        <f>COUNTIF(B16:B50,0)</f>
        <v>10</v>
      </c>
      <c r="Y57" s="207">
        <f>X57/X56*100</f>
        <v>50</v>
      </c>
      <c r="Z57" s="50"/>
      <c r="AA57" s="50"/>
      <c r="AD57" s="57" t="str">
        <f>Matl!B117</f>
        <v>MINIMUM</v>
      </c>
      <c r="AE57" s="118" t="s">
        <v>104</v>
      </c>
      <c r="AF57" s="118" t="s">
        <v>77</v>
      </c>
      <c r="CR57" s="77"/>
      <c r="CS57" s="44"/>
      <c r="CT57" s="44"/>
      <c r="CU57" s="48" t="s">
        <v>133</v>
      </c>
      <c r="CV57" s="92">
        <f ca="1">AE72</f>
        <v>-2.771243444540907E-4</v>
      </c>
      <c r="CW57" s="57"/>
      <c r="CX57" s="114">
        <f ca="1">BI29</f>
        <v>0</v>
      </c>
      <c r="CY57" s="115">
        <f ca="1">BJ29</f>
        <v>0</v>
      </c>
      <c r="CZ57" s="116">
        <f ca="1">BL29</f>
        <v>3636694.5948847961</v>
      </c>
      <c r="DA57" s="57"/>
      <c r="DB57" s="78">
        <f ca="1"/>
        <v>-1007.8166055871841</v>
      </c>
      <c r="DC57" s="57"/>
      <c r="DD57" s="96"/>
      <c r="DE57" s="97"/>
      <c r="DF57" s="97"/>
      <c r="DG57" s="97"/>
      <c r="DH57" s="97"/>
      <c r="DI57" s="98"/>
      <c r="DJ57" s="57"/>
      <c r="DK57" s="57"/>
      <c r="DL57" s="57"/>
      <c r="DM57" s="87" t="s">
        <v>133</v>
      </c>
      <c r="DN57" s="99">
        <f ca="1">INDEX(DI16:DI115,MATCH(DJ55,A16:A50,0))</f>
        <v>-3.1055803186387765E-3</v>
      </c>
      <c r="DO57" s="57"/>
      <c r="DP57" s="57"/>
      <c r="DQ57" s="87" t="s">
        <v>134</v>
      </c>
      <c r="DR57" s="99">
        <f ca="1">INDEX(DH16:DH115,MATCH(DJ55,A16:A50,0))</f>
        <v>-4.140773758185036E-3</v>
      </c>
      <c r="DS57" s="57"/>
      <c r="DT57" s="114">
        <f t="shared" ca="1" si="267"/>
        <v>0</v>
      </c>
      <c r="DU57" s="115">
        <f t="shared" ca="1" si="102"/>
        <v>0</v>
      </c>
      <c r="DV57" s="116">
        <f t="shared" ca="1" si="103"/>
        <v>3636694.5948847961</v>
      </c>
      <c r="DW57" s="57"/>
      <c r="DX57" s="80">
        <f ca="1"/>
        <v>-11294.047158774241</v>
      </c>
      <c r="DY57" s="80"/>
      <c r="DZ57" s="80">
        <f ca="1"/>
        <v>-15058.729545032324</v>
      </c>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107">
        <f t="shared" ca="1" si="257"/>
        <v>0.7229854621844698</v>
      </c>
      <c r="FK57" s="107">
        <f t="shared" ca="1" si="257"/>
        <v>0.73765832342631743</v>
      </c>
      <c r="FL57" s="107">
        <f t="shared" ca="1" si="257"/>
        <v>0.90248132679729709</v>
      </c>
      <c r="FM57" s="107">
        <f t="shared" ca="1" si="257"/>
        <v>0.93652206279884753</v>
      </c>
      <c r="FN57" s="107">
        <f t="shared" ca="1" si="257"/>
        <v>0.73931606993280741</v>
      </c>
      <c r="FO57" s="107">
        <f t="shared" ca="1" si="257"/>
        <v>6.3505642338470834</v>
      </c>
      <c r="FP57" s="107">
        <f t="shared" ca="1" si="257"/>
        <v>3.0709654382317177</v>
      </c>
      <c r="FQ57" s="39"/>
      <c r="FR57" s="82"/>
      <c r="FS57" s="69">
        <f ca="1">INDEX(EB16:EB115,MATCH(GF56,A16:A115,0))</f>
        <v>2268.0369963811145</v>
      </c>
      <c r="FT57" s="69">
        <f>FT56</f>
        <v>0</v>
      </c>
      <c r="FU57" s="69">
        <f ca="1">INDEX(EC16:EC115,MATCH(GF56,A16:A115,0))</f>
        <v>1802.4758241316983</v>
      </c>
      <c r="FV57" s="69">
        <f t="shared" ref="FV57:FV59" si="268">FT57</f>
        <v>0</v>
      </c>
      <c r="FW57" s="69">
        <f ca="1">INDEX(ED16:ED115,MATCH(GF56,A16:A115,0))</f>
        <v>-1007.8166055871841</v>
      </c>
      <c r="FX57" s="70">
        <f t="shared" ref="FX57:FX59" si="269">FV57</f>
        <v>0</v>
      </c>
      <c r="FY57" s="82"/>
      <c r="FZ57" s="101">
        <f ca="1">INDEX(EE16:EE115,MATCH(GF56,A16:A115,0))</f>
        <v>0</v>
      </c>
      <c r="GA57" s="69">
        <f>GA56</f>
        <v>0</v>
      </c>
      <c r="GB57" s="61">
        <f ca="1">INDEX(EG16:EG115,MATCH(GF56,A16:A115,0))</f>
        <v>0</v>
      </c>
      <c r="GC57" s="109">
        <f t="shared" si="191"/>
        <v>0</v>
      </c>
      <c r="GD57" s="69">
        <f ca="1">INDEX(EI16:EI115,MATCH(GF56,A16:A115,0))</f>
        <v>0</v>
      </c>
      <c r="GE57" s="110">
        <f t="shared" ref="GE57:GE59" si="270">GC57</f>
        <v>0</v>
      </c>
      <c r="GF57" s="84"/>
      <c r="GG57" s="111">
        <f ca="1">FS57+FZ57</f>
        <v>2268.0369963811145</v>
      </c>
      <c r="GH57" s="85">
        <f>GH56</f>
        <v>0</v>
      </c>
      <c r="GI57" s="111">
        <f ca="1">FU57+GB57</f>
        <v>1802.4758241316983</v>
      </c>
      <c r="GJ57" s="112">
        <f t="shared" si="192"/>
        <v>0</v>
      </c>
      <c r="GK57" s="111">
        <f ca="1">FW57+GD57</f>
        <v>-1007.8166055871841</v>
      </c>
      <c r="GL57" s="112">
        <f t="shared" si="193"/>
        <v>0</v>
      </c>
      <c r="GM57" s="39"/>
      <c r="GN57" s="69">
        <f t="shared" si="244"/>
        <v>0</v>
      </c>
      <c r="GO57" s="113">
        <f ca="1">INDEX(FJ16:FJ115,MATCH(GM56,A16:A115,0))</f>
        <v>1.2442439401993912</v>
      </c>
      <c r="GP57" s="113">
        <f ca="1">INDEX(FK16:FK115,MATCH(GM56,A16:A115,0))</f>
        <v>1.3023133187141864</v>
      </c>
      <c r="GQ57" s="113">
        <f ca="1">INDEX(FL16:FL115,MATCH(GM56,A16:A115,0))</f>
        <v>1.3725517938673111</v>
      </c>
      <c r="GR57" s="113">
        <f ca="1">INDEX(FM16:FM115,MATCH(GM56,A16:A115,0))</f>
        <v>1.3798484060160434</v>
      </c>
      <c r="GS57" s="113">
        <f ca="1">INDEX(FN16:FN115,MATCH(GM56,A16:A115,0))</f>
        <v>11.818768056102456</v>
      </c>
      <c r="GT57" s="113">
        <f ca="1">INDEX(FO16:FO115,MATCH(GM56,A16:A115,0))</f>
        <v>11.924485836528564</v>
      </c>
      <c r="GU57" s="113">
        <f ca="1">INDEX(FP16:FP115,MATCH(GM56,A16:A115,0))</f>
        <v>1.3400540985095035</v>
      </c>
      <c r="GV57" s="39"/>
      <c r="GW57" s="39"/>
      <c r="GX57" s="39"/>
      <c r="GY57" s="39"/>
      <c r="GZ57" s="39"/>
      <c r="HA57" s="39"/>
      <c r="HB57" s="39"/>
      <c r="HC57" s="39"/>
      <c r="HD57" s="39"/>
      <c r="HE57" s="39"/>
      <c r="HF57" s="39"/>
      <c r="HG57" s="39"/>
      <c r="HH57" s="39"/>
      <c r="HI57" s="39"/>
      <c r="HJ57" s="39"/>
      <c r="HK57" s="39"/>
      <c r="HL57" s="39"/>
      <c r="HM57" s="39"/>
      <c r="HN57" s="39"/>
      <c r="HO57" s="57"/>
      <c r="HP57" s="57"/>
      <c r="HQ57" s="57"/>
      <c r="HR57" s="57"/>
      <c r="HS57" s="57"/>
      <c r="HT57" s="57"/>
      <c r="HU57" s="57"/>
      <c r="HV57" s="57"/>
      <c r="HW57" s="57"/>
      <c r="HX57" s="57"/>
      <c r="HY57" s="57"/>
      <c r="HZ57" s="57"/>
      <c r="IA57" s="57"/>
      <c r="IB57" s="57"/>
      <c r="IC57" s="57"/>
      <c r="ID57" s="39"/>
      <c r="IE57" s="39"/>
      <c r="IF57" s="39"/>
      <c r="IG57" s="39"/>
      <c r="IH57" s="39"/>
      <c r="II57" s="39"/>
      <c r="IJ57" s="57"/>
      <c r="IK57" s="78">
        <f>PI()</f>
        <v>3.1415926535897931</v>
      </c>
      <c r="IL57" s="57">
        <f t="shared" ca="1" si="235"/>
        <v>-3.67544536472586E-13</v>
      </c>
      <c r="IM57" s="57">
        <f t="shared" ca="1" si="236"/>
        <v>3000</v>
      </c>
      <c r="IN57" s="57"/>
      <c r="IO57" s="57"/>
      <c r="IP57" s="57"/>
      <c r="IQ57" s="39"/>
      <c r="IR57" s="39"/>
      <c r="IS57" s="39"/>
      <c r="IT57" s="39"/>
      <c r="IU57" s="39"/>
    </row>
    <row r="58" spans="1:255" ht="15" x14ac:dyDescent="0.35">
      <c r="A58" s="145" t="s">
        <v>187</v>
      </c>
      <c r="B58" s="173">
        <f ca="1">G55/G56</f>
        <v>0.32213930076889108</v>
      </c>
      <c r="C58" s="139"/>
      <c r="D58" s="196" t="s">
        <v>122</v>
      </c>
      <c r="E58" s="197" t="s">
        <v>189</v>
      </c>
      <c r="F58" s="174">
        <f t="shared" ref="F58:H60" ca="1" si="271">I55</f>
        <v>1.0913936421275139E-11</v>
      </c>
      <c r="G58" s="175">
        <f t="shared" ca="1" si="271"/>
        <v>2.7284841053187847E-12</v>
      </c>
      <c r="H58" s="176">
        <f t="shared" ca="1" si="271"/>
        <v>0</v>
      </c>
      <c r="I58" s="174">
        <f ca="1">CH14</f>
        <v>2682.4807469250877</v>
      </c>
      <c r="J58" s="175">
        <f ca="1">CJ14</f>
        <v>786.55405357835616</v>
      </c>
      <c r="K58" s="176">
        <f ca="1">CL14</f>
        <v>0</v>
      </c>
      <c r="V58" s="206"/>
      <c r="W58" s="206"/>
      <c r="X58" s="206">
        <f>COUNTIF(B16:B50,45)</f>
        <v>10</v>
      </c>
      <c r="Y58" s="206">
        <f>X58/X56*100</f>
        <v>50</v>
      </c>
      <c r="AD58" s="57"/>
      <c r="AE58" s="57"/>
      <c r="AF58" s="57"/>
      <c r="CR58" s="77">
        <f>CR55+1</f>
        <v>15</v>
      </c>
      <c r="CS58" s="44"/>
      <c r="CT58" s="44"/>
      <c r="CU58" s="48" t="s">
        <v>129</v>
      </c>
      <c r="CV58" s="92">
        <f ca="1">AE70</f>
        <v>4.5648610417658959E-4</v>
      </c>
      <c r="CW58" s="57"/>
      <c r="CX58" s="93">
        <f ca="1">BD30</f>
        <v>7729425.2813704489</v>
      </c>
      <c r="CY58" s="94">
        <f ca="1">BF30</f>
        <v>456036.09160085651</v>
      </c>
      <c r="CZ58" s="95">
        <f ca="1">BH30</f>
        <v>0</v>
      </c>
      <c r="DA58" s="57"/>
      <c r="DB58" s="78">
        <f t="array" aca="1" ref="DB58:DB60" ca="1">MMULT(CX58:CZ60,CV58:CV60)</f>
        <v>3546.9813186371889</v>
      </c>
      <c r="DC58" s="57"/>
      <c r="DD58" s="96"/>
      <c r="DE58" s="97"/>
      <c r="DF58" s="97"/>
      <c r="DG58" s="97"/>
      <c r="DH58" s="97"/>
      <c r="DI58" s="98"/>
      <c r="DJ58" s="57">
        <f>DJ55+1</f>
        <v>15</v>
      </c>
      <c r="DK58" s="57"/>
      <c r="DL58" s="57"/>
      <c r="DM58" s="87" t="s">
        <v>129</v>
      </c>
      <c r="DN58" s="99">
        <f ca="1">INDEX(DE16:DE115,MATCH(DJ58,A16:A50,0))</f>
        <v>3.4341645357389653E-3</v>
      </c>
      <c r="DO58" s="57"/>
      <c r="DP58" s="57"/>
      <c r="DQ58" s="87" t="s">
        <v>130</v>
      </c>
      <c r="DR58" s="99">
        <f ca="1">INDEX(DD16:DD115,MATCH(DJ58,A16:A50,0))</f>
        <v>4.2927056696737071E-3</v>
      </c>
      <c r="DS58" s="57"/>
      <c r="DT58" s="93">
        <f ca="1">CX58</f>
        <v>7729425.2813704489</v>
      </c>
      <c r="DU58" s="94">
        <f t="shared" ca="1" si="102"/>
        <v>456036.09160085651</v>
      </c>
      <c r="DV58" s="95">
        <f t="shared" ca="1" si="103"/>
        <v>0</v>
      </c>
      <c r="DW58" s="57"/>
      <c r="DX58" s="80">
        <f t="array" aca="1" ref="DX58:DX60" ca="1">MMULT(DT58:DV60,DN58:DN60)</f>
        <v>26786.5607894979</v>
      </c>
      <c r="DY58" s="80"/>
      <c r="DZ58" s="80">
        <f t="array" aca="1" ref="DZ58:DZ60" ca="1">MMULT(DT58:DV60,DR58:DR60)</f>
        <v>33483.200986872376</v>
      </c>
      <c r="EA58" s="53"/>
      <c r="EB58" s="53"/>
      <c r="EC58" s="53"/>
      <c r="ED58" s="53"/>
      <c r="EE58" s="53"/>
      <c r="EF58" s="53"/>
      <c r="EG58" s="53"/>
      <c r="EH58" s="53"/>
      <c r="EI58" s="53"/>
      <c r="EJ58" s="53"/>
      <c r="EK58" s="53"/>
      <c r="EL58" s="53"/>
      <c r="EM58" s="53"/>
      <c r="EN58" s="53"/>
      <c r="EO58" s="53"/>
      <c r="EP58" s="53"/>
      <c r="EQ58" s="53"/>
      <c r="ER58" s="53"/>
      <c r="ES58" s="53"/>
      <c r="ET58" s="53"/>
      <c r="EU58" s="53"/>
      <c r="EV58" s="53"/>
      <c r="EW58" s="53"/>
      <c r="EX58" s="53"/>
      <c r="EY58" s="53"/>
      <c r="EZ58" s="53"/>
      <c r="FA58" s="53"/>
      <c r="FB58" s="53"/>
      <c r="FC58" s="53"/>
      <c r="FD58" s="53"/>
      <c r="FE58" s="53"/>
      <c r="FF58" s="53"/>
      <c r="FG58" s="53"/>
      <c r="FH58" s="53"/>
      <c r="FI58" s="53"/>
      <c r="FJ58" s="107">
        <f t="shared" ca="1" si="257"/>
        <v>-0.22599822385431556</v>
      </c>
      <c r="FK58" s="107">
        <f t="shared" ca="1" si="257"/>
        <v>-0.22466221421805432</v>
      </c>
      <c r="FL58" s="107">
        <f t="shared" ca="1" si="257"/>
        <v>-0.41908212576393478</v>
      </c>
      <c r="FM58" s="107">
        <f t="shared" ca="1" si="257"/>
        <v>-0.41748969613692943</v>
      </c>
      <c r="FN58" s="107">
        <f t="shared" ca="1" si="257"/>
        <v>2.3402357265949827</v>
      </c>
      <c r="FO58" s="107">
        <f t="shared" ca="1" si="257"/>
        <v>2.7723449211098483</v>
      </c>
      <c r="FP58" s="107">
        <f t="shared" ca="1" si="257"/>
        <v>-0.20518290347893808</v>
      </c>
      <c r="FQ58" s="53"/>
      <c r="FR58" s="82"/>
      <c r="FS58" s="69">
        <f ca="1">FS57</f>
        <v>2268.0369963811145</v>
      </c>
      <c r="FT58" s="69">
        <f>INDEX(AE16:AE115,MATCH(GF56,A16:A115,0))</f>
        <v>-8.5984251968504039E-3</v>
      </c>
      <c r="FU58" s="69">
        <f ca="1">FU57</f>
        <v>1802.4758241316983</v>
      </c>
      <c r="FV58" s="69">
        <f t="shared" si="268"/>
        <v>-8.5984251968504039E-3</v>
      </c>
      <c r="FW58" s="69">
        <f ca="1">FW57</f>
        <v>-1007.8166055871841</v>
      </c>
      <c r="FX58" s="70">
        <f t="shared" si="269"/>
        <v>-8.5984251968504039E-3</v>
      </c>
      <c r="FY58" s="82"/>
      <c r="FZ58" s="101">
        <f ca="1">INDEX(EF16:EF115,MATCH(GF56,A16:A115,0))</f>
        <v>4464.0806090168189</v>
      </c>
      <c r="GA58" s="69">
        <f>FT58</f>
        <v>-8.5984251968504039E-3</v>
      </c>
      <c r="GB58" s="61">
        <f ca="1">INDEX(EH16:EH115,MATCH(GF56,A16:A115,0))</f>
        <v>3651.384511942817</v>
      </c>
      <c r="GC58" s="109">
        <f t="shared" si="191"/>
        <v>-8.5984251968504039E-3</v>
      </c>
      <c r="GD58" s="69">
        <f ca="1">INDEX(EJ16:EJ115,MATCH(GF56,A16:A115,0))</f>
        <v>-3764.6823862580859</v>
      </c>
      <c r="GE58" s="110">
        <f t="shared" si="270"/>
        <v>-8.5984251968504039E-3</v>
      </c>
      <c r="GF58" s="84"/>
      <c r="GG58" s="111">
        <f ca="1">FS58+FZ58</f>
        <v>6732.1176053979334</v>
      </c>
      <c r="GH58" s="85">
        <f>FT58</f>
        <v>-8.5984251968504039E-3</v>
      </c>
      <c r="GI58" s="111">
        <f ca="1">FU58+GB58</f>
        <v>5453.8603360745155</v>
      </c>
      <c r="GJ58" s="112">
        <f t="shared" si="192"/>
        <v>-8.5984251968504039E-3</v>
      </c>
      <c r="GK58" s="111">
        <f ca="1">FW58+GD58</f>
        <v>-4772.4989918452702</v>
      </c>
      <c r="GL58" s="112">
        <f t="shared" si="193"/>
        <v>-8.5984251968504039E-3</v>
      </c>
      <c r="GN58" s="69">
        <f t="shared" si="244"/>
        <v>-8.5984251968504039E-3</v>
      </c>
      <c r="GO58" s="113">
        <f ca="1">GO57</f>
        <v>1.2442439401993912</v>
      </c>
      <c r="GP58" s="113">
        <f t="shared" ref="GP58" ca="1" si="272">GP57</f>
        <v>1.3023133187141864</v>
      </c>
      <c r="GQ58" s="113">
        <f t="shared" ref="GQ58" ca="1" si="273">GQ57</f>
        <v>1.3725517938673111</v>
      </c>
      <c r="GR58" s="113">
        <f t="shared" ref="GR58" ca="1" si="274">GR57</f>
        <v>1.3798484060160434</v>
      </c>
      <c r="GS58" s="113">
        <f t="shared" ref="GS58" ca="1" si="275">GS57</f>
        <v>11.818768056102456</v>
      </c>
      <c r="GT58" s="113">
        <f t="shared" ref="GT58" ca="1" si="276">GT57</f>
        <v>11.924485836528564</v>
      </c>
      <c r="GU58" s="113">
        <f t="shared" ref="GU58" ca="1" si="277">GU57</f>
        <v>1.3400540985095035</v>
      </c>
      <c r="GV58" s="53"/>
      <c r="GW58" s="53"/>
      <c r="GX58" s="53"/>
      <c r="GY58" s="53"/>
      <c r="GZ58" s="53"/>
      <c r="HA58" s="53"/>
      <c r="HB58" s="53"/>
      <c r="HC58" s="53"/>
      <c r="HD58" s="53"/>
      <c r="HE58" s="53"/>
      <c r="HF58" s="53"/>
      <c r="HG58" s="53"/>
      <c r="HH58" s="53"/>
      <c r="HI58" s="53"/>
      <c r="HJ58" s="53"/>
      <c r="HK58" s="53"/>
      <c r="HL58" s="53"/>
      <c r="HM58" s="53"/>
      <c r="HN58" s="53"/>
      <c r="HO58" s="57"/>
      <c r="HP58" s="57"/>
      <c r="HQ58" s="57"/>
      <c r="HR58" s="57"/>
      <c r="HS58" s="57"/>
      <c r="HT58" s="57"/>
      <c r="HU58" s="57"/>
      <c r="HV58" s="57"/>
      <c r="HW58" s="57"/>
      <c r="HX58" s="57"/>
      <c r="HY58" s="57"/>
      <c r="HZ58" s="57"/>
      <c r="IA58" s="57"/>
      <c r="IB58" s="57"/>
      <c r="IC58" s="57"/>
      <c r="ID58" s="53"/>
      <c r="IE58" s="53"/>
      <c r="IF58" s="53"/>
      <c r="IG58" s="53"/>
      <c r="IH58" s="53"/>
      <c r="II58" s="53"/>
      <c r="IJ58" s="57"/>
      <c r="IK58" s="57"/>
      <c r="IL58" s="57"/>
      <c r="IM58" s="57"/>
      <c r="IN58" s="57"/>
      <c r="IO58" s="57"/>
      <c r="IP58" s="57"/>
      <c r="IQ58" s="53"/>
      <c r="IR58" s="53"/>
      <c r="IS58" s="53"/>
      <c r="IT58" s="53"/>
      <c r="IU58" s="53"/>
    </row>
    <row r="59" spans="1:255" ht="15" x14ac:dyDescent="0.35">
      <c r="A59" s="145" t="s">
        <v>188</v>
      </c>
      <c r="B59" s="173">
        <f ca="1">F56/F55</f>
        <v>0.32213930076889108</v>
      </c>
      <c r="C59" s="139"/>
      <c r="F59" s="178">
        <f t="shared" ca="1" si="271"/>
        <v>2.7284841053187847E-12</v>
      </c>
      <c r="G59" s="179">
        <f t="shared" ca="1" si="271"/>
        <v>1.0913936421275139E-11</v>
      </c>
      <c r="H59" s="180">
        <f t="shared" ca="1" si="271"/>
        <v>0</v>
      </c>
      <c r="I59" s="178">
        <f ca="1">CK14</f>
        <v>786.55405357835616</v>
      </c>
      <c r="J59" s="179">
        <f ca="1">CI14</f>
        <v>2682.4807469250877</v>
      </c>
      <c r="K59" s="180">
        <f ca="1">CN14</f>
        <v>0</v>
      </c>
      <c r="V59" s="206"/>
      <c r="W59" s="206"/>
      <c r="X59" s="206">
        <f>COUNTIF(B16:B50,90)</f>
        <v>0</v>
      </c>
      <c r="Y59" s="206">
        <f>X59/X56*100</f>
        <v>0</v>
      </c>
      <c r="AD59" s="57"/>
      <c r="AE59" s="57"/>
      <c r="AF59" s="57"/>
      <c r="CR59" s="77"/>
      <c r="CS59" s="44"/>
      <c r="CT59" s="44"/>
      <c r="CU59" s="48" t="s">
        <v>131</v>
      </c>
      <c r="CV59" s="92">
        <f ca="1">AE71</f>
        <v>4.0799587495451728E-5</v>
      </c>
      <c r="CW59" s="57"/>
      <c r="CX59" s="90">
        <f ca="1">BG30</f>
        <v>456036.09160085651</v>
      </c>
      <c r="CY59" s="83">
        <f ca="1">BE30</f>
        <v>7729425.2813704489</v>
      </c>
      <c r="CZ59" s="91">
        <f ca="1">BK30</f>
        <v>0</v>
      </c>
      <c r="DA59" s="57"/>
      <c r="DB59" s="78">
        <f ca="1"/>
        <v>523.53150187562358</v>
      </c>
      <c r="DC59" s="57"/>
      <c r="DD59" s="96"/>
      <c r="DE59" s="97"/>
      <c r="DF59" s="97"/>
      <c r="DG59" s="97"/>
      <c r="DH59" s="97"/>
      <c r="DI59" s="98"/>
      <c r="DJ59" s="57"/>
      <c r="DK59" s="57"/>
      <c r="DL59" s="57"/>
      <c r="DM59" s="87" t="s">
        <v>131</v>
      </c>
      <c r="DN59" s="99">
        <f ca="1">INDEX(DG16:DG115,MATCH(DJ58,A16:A50,0))</f>
        <v>5.3163030522488893E-4</v>
      </c>
      <c r="DO59" s="57"/>
      <c r="DP59" s="57"/>
      <c r="DQ59" s="87" t="s">
        <v>132</v>
      </c>
      <c r="DR59" s="99">
        <f ca="1">INDEX(DF16:DF115,MATCH(DJ58,A16:A50,0))</f>
        <v>6.6453788153111122E-4</v>
      </c>
      <c r="DS59" s="57"/>
      <c r="DT59" s="90">
        <f t="shared" ref="DT59:DT60" ca="1" si="278">CX59</f>
        <v>456036.09160085651</v>
      </c>
      <c r="DU59" s="83">
        <f t="shared" ca="1" si="102"/>
        <v>7729425.2813704489</v>
      </c>
      <c r="DV59" s="91">
        <f t="shared" ca="1" si="103"/>
        <v>0</v>
      </c>
      <c r="DW59" s="57"/>
      <c r="DX59" s="80">
        <f ca="1"/>
        <v>5675.2996943406124</v>
      </c>
      <c r="DY59" s="80"/>
      <c r="DZ59" s="80">
        <f ca="1"/>
        <v>7094.1246179257669</v>
      </c>
      <c r="FJ59" s="107">
        <f t="shared" ca="1" si="257"/>
        <v>5.8609244707396035E-2</v>
      </c>
      <c r="FK59" s="107">
        <f t="shared" ca="1" si="257"/>
        <v>6.0352643504010484E-2</v>
      </c>
      <c r="FL59" s="107">
        <f t="shared" ca="1" si="257"/>
        <v>-7.3904043218292248E-2</v>
      </c>
      <c r="FM59" s="107">
        <f t="shared" ca="1" si="257"/>
        <v>-7.182949436670838E-2</v>
      </c>
      <c r="FN59" s="107">
        <f t="shared" ca="1" si="257"/>
        <v>3.6806534700302844</v>
      </c>
      <c r="FO59" s="107">
        <f t="shared" ca="1" si="257"/>
        <v>4.2774549405592612</v>
      </c>
      <c r="FP59" s="107">
        <f t="shared" ca="1" si="257"/>
        <v>8.5714127080281255E-2</v>
      </c>
      <c r="FR59" s="82"/>
      <c r="FS59" s="61">
        <v>0</v>
      </c>
      <c r="FT59" s="69">
        <f>FT58</f>
        <v>-8.5984251968504039E-3</v>
      </c>
      <c r="FU59" s="61">
        <v>0</v>
      </c>
      <c r="FV59" s="69">
        <f t="shared" si="268"/>
        <v>-8.5984251968504039E-3</v>
      </c>
      <c r="FW59" s="69">
        <v>0</v>
      </c>
      <c r="FX59" s="70">
        <f t="shared" si="269"/>
        <v>-8.5984251968504039E-3</v>
      </c>
      <c r="FY59" s="82"/>
      <c r="FZ59" s="61">
        <v>0</v>
      </c>
      <c r="GA59" s="69">
        <f>GA58</f>
        <v>-8.5984251968504039E-3</v>
      </c>
      <c r="GB59" s="61">
        <v>0</v>
      </c>
      <c r="GC59" s="109">
        <f t="shared" si="191"/>
        <v>-8.5984251968504039E-3</v>
      </c>
      <c r="GD59" s="61">
        <v>0</v>
      </c>
      <c r="GE59" s="110">
        <f t="shared" si="270"/>
        <v>-8.5984251968504039E-3</v>
      </c>
      <c r="GF59" s="84"/>
      <c r="GG59" s="111">
        <v>0</v>
      </c>
      <c r="GH59" s="85">
        <f>GH58</f>
        <v>-8.5984251968504039E-3</v>
      </c>
      <c r="GI59" s="112">
        <v>0</v>
      </c>
      <c r="GJ59" s="112">
        <f t="shared" si="192"/>
        <v>-8.5984251968504039E-3</v>
      </c>
      <c r="GK59" s="112">
        <v>0</v>
      </c>
      <c r="GL59" s="112">
        <f t="shared" si="193"/>
        <v>-8.5984251968504039E-3</v>
      </c>
      <c r="GN59" s="69">
        <f t="shared" si="244"/>
        <v>-8.5984251968504039E-3</v>
      </c>
      <c r="GO59" s="113"/>
      <c r="GP59" s="113"/>
      <c r="GQ59" s="113"/>
      <c r="GR59" s="113"/>
      <c r="GS59" s="113"/>
      <c r="GT59" s="113"/>
      <c r="GU59" s="113"/>
      <c r="HO59" s="57"/>
      <c r="HP59" s="57"/>
      <c r="HQ59" s="57"/>
      <c r="HR59" s="57"/>
      <c r="HS59" s="57"/>
      <c r="HT59" s="57"/>
      <c r="HU59" s="57"/>
      <c r="HV59" s="57"/>
      <c r="HW59" s="57"/>
      <c r="HX59" s="57"/>
      <c r="HY59" s="57"/>
      <c r="HZ59" s="57"/>
      <c r="IA59" s="57"/>
      <c r="IB59" s="57"/>
      <c r="IC59" s="57"/>
      <c r="IJ59" s="57"/>
      <c r="IK59" s="57"/>
      <c r="IL59" s="57"/>
      <c r="IM59" s="57"/>
      <c r="IN59" s="57"/>
      <c r="IO59" s="57"/>
      <c r="IP59" s="57"/>
    </row>
    <row r="60" spans="1:255" x14ac:dyDescent="0.3">
      <c r="A60" s="137"/>
      <c r="B60" s="168"/>
      <c r="C60" s="169"/>
      <c r="D60" s="169"/>
      <c r="E60" s="169"/>
      <c r="F60" s="182">
        <f t="shared" ca="1" si="271"/>
        <v>0</v>
      </c>
      <c r="G60" s="183">
        <f t="shared" ca="1" si="271"/>
        <v>0</v>
      </c>
      <c r="H60" s="184">
        <f t="shared" ca="1" si="271"/>
        <v>5.0022208597511053E-12</v>
      </c>
      <c r="I60" s="182">
        <f ca="1">CM14</f>
        <v>0</v>
      </c>
      <c r="J60" s="183">
        <f ca="1">CN14</f>
        <v>0</v>
      </c>
      <c r="K60" s="184">
        <f ca="1">CP14</f>
        <v>830.61047997166725</v>
      </c>
      <c r="V60" s="39"/>
      <c r="W60" s="39"/>
      <c r="X60" s="39"/>
      <c r="Y60" s="39"/>
      <c r="AD60" s="57"/>
      <c r="AE60" s="57" t="str">
        <f>INDEX(AE53:AE58,MATCH(F52,AD53:AD58,0))</f>
        <v>Matl!D3:K29</v>
      </c>
      <c r="AF60" s="57"/>
      <c r="CR60" s="77"/>
      <c r="CS60" s="44"/>
      <c r="CT60" s="44"/>
      <c r="CU60" s="48" t="s">
        <v>133</v>
      </c>
      <c r="CV60" s="92">
        <f ca="1">AE72</f>
        <v>-2.771243444540907E-4</v>
      </c>
      <c r="CW60" s="57"/>
      <c r="CX60" s="114">
        <f ca="1">BI30</f>
        <v>0</v>
      </c>
      <c r="CY60" s="115">
        <f ca="1">BJ30</f>
        <v>0</v>
      </c>
      <c r="CZ60" s="116">
        <f ca="1">BL30</f>
        <v>559990.70641799993</v>
      </c>
      <c r="DA60" s="57"/>
      <c r="DB60" s="78">
        <f ca="1"/>
        <v>-155.18705741647139</v>
      </c>
      <c r="DC60" s="57"/>
      <c r="DD60" s="96"/>
      <c r="DE60" s="97"/>
      <c r="DF60" s="97"/>
      <c r="DG60" s="97"/>
      <c r="DH60" s="97"/>
      <c r="DI60" s="98"/>
      <c r="DJ60" s="57"/>
      <c r="DK60" s="57"/>
      <c r="DL60" s="57"/>
      <c r="DM60" s="87" t="s">
        <v>133</v>
      </c>
      <c r="DN60" s="99">
        <f ca="1">INDEX(DI16:DI115,MATCH(DJ58,A16:A50,0))</f>
        <v>-4.1407737581850368E-3</v>
      </c>
      <c r="DO60" s="57"/>
      <c r="DP60" s="57"/>
      <c r="DQ60" s="87" t="s">
        <v>134</v>
      </c>
      <c r="DR60" s="99">
        <f ca="1">INDEX(DH16:DH115,MATCH(DJ58,A16:A50,0))</f>
        <v>-5.1759671977312958E-3</v>
      </c>
      <c r="DS60" s="57"/>
      <c r="DT60" s="114">
        <f t="shared" ca="1" si="278"/>
        <v>0</v>
      </c>
      <c r="DU60" s="115">
        <f t="shared" ca="1" si="102"/>
        <v>0</v>
      </c>
      <c r="DV60" s="116">
        <f t="shared" ca="1" si="103"/>
        <v>559990.70641799993</v>
      </c>
      <c r="DW60" s="57"/>
      <c r="DX60" s="80">
        <f ca="1"/>
        <v>-2318.7948219631553</v>
      </c>
      <c r="DY60" s="80"/>
      <c r="DZ60" s="80">
        <f ca="1"/>
        <v>-2898.4935274539439</v>
      </c>
      <c r="FJ60" s="107">
        <f t="shared" ca="1" si="257"/>
        <v>4.14776417444416</v>
      </c>
      <c r="FK60" s="107">
        <f t="shared" ca="1" si="257"/>
        <v>4.1931136536222287</v>
      </c>
      <c r="FL60" s="107">
        <f t="shared" ca="1" si="257"/>
        <v>5.3274669427897434</v>
      </c>
      <c r="FM60" s="107">
        <f t="shared" ca="1" si="257"/>
        <v>5.4290519413967147</v>
      </c>
      <c r="FN60" s="107">
        <f t="shared" ca="1" si="257"/>
        <v>4.2881339008200845</v>
      </c>
      <c r="FO60" s="107">
        <f t="shared" ca="1" si="257"/>
        <v>19.870828344714486</v>
      </c>
      <c r="FP60" s="107">
        <f t="shared" ca="1" si="257"/>
        <v>10.121082138171722</v>
      </c>
      <c r="FR60" s="82">
        <f>FR56+1</f>
        <v>12</v>
      </c>
      <c r="FS60" s="61">
        <v>0</v>
      </c>
      <c r="FT60" s="69">
        <f>INDEX(AF16:AF115,MATCH(GF60,A16:A115,0))</f>
        <v>-8.5984251968503986E-3</v>
      </c>
      <c r="FU60" s="61">
        <v>0</v>
      </c>
      <c r="FV60" s="69">
        <f>FT60</f>
        <v>-8.5984251968503986E-3</v>
      </c>
      <c r="FW60" s="69">
        <v>0</v>
      </c>
      <c r="FX60" s="70">
        <f>FV60</f>
        <v>-8.5984251968503986E-3</v>
      </c>
      <c r="FY60" s="82">
        <f>FY56+1</f>
        <v>12</v>
      </c>
      <c r="FZ60" s="61">
        <v>0</v>
      </c>
      <c r="GA60" s="69">
        <f>FT60</f>
        <v>-8.5984251968503986E-3</v>
      </c>
      <c r="GB60" s="108">
        <v>0</v>
      </c>
      <c r="GC60" s="109">
        <f t="shared" si="191"/>
        <v>-8.5984251968503986E-3</v>
      </c>
      <c r="GD60" s="61">
        <v>0</v>
      </c>
      <c r="GE60" s="110">
        <f>GC60</f>
        <v>-8.5984251968503986E-3</v>
      </c>
      <c r="GF60" s="84">
        <f>GF56+1</f>
        <v>12</v>
      </c>
      <c r="GG60" s="111">
        <v>0</v>
      </c>
      <c r="GH60" s="85">
        <f>FT60</f>
        <v>-8.5984251968503986E-3</v>
      </c>
      <c r="GI60" s="112">
        <v>0</v>
      </c>
      <c r="GJ60" s="112">
        <f t="shared" si="192"/>
        <v>-8.5984251968503986E-3</v>
      </c>
      <c r="GK60" s="112">
        <v>0</v>
      </c>
      <c r="GL60" s="112">
        <f t="shared" si="193"/>
        <v>-8.5984251968503986E-3</v>
      </c>
      <c r="GM60" s="117">
        <f>GM56+1</f>
        <v>12</v>
      </c>
      <c r="GN60" s="69">
        <f t="shared" si="244"/>
        <v>-8.5984251968503986E-3</v>
      </c>
      <c r="GO60" s="113"/>
      <c r="GP60" s="113"/>
      <c r="GQ60" s="113"/>
      <c r="GR60" s="113"/>
      <c r="GS60" s="113"/>
      <c r="GT60" s="113"/>
      <c r="GU60" s="113"/>
      <c r="HO60" s="57"/>
      <c r="HP60" s="57"/>
      <c r="HQ60" s="57"/>
      <c r="HR60" s="57"/>
      <c r="HS60" s="57"/>
      <c r="HT60" s="57"/>
      <c r="HU60" s="57"/>
      <c r="HV60" s="57"/>
      <c r="HW60" s="57"/>
      <c r="HX60" s="57"/>
      <c r="HY60" s="57"/>
      <c r="HZ60" s="57"/>
      <c r="IA60" s="57"/>
      <c r="IB60" s="57"/>
      <c r="IC60" s="57"/>
      <c r="IJ60" s="57"/>
      <c r="IK60" s="57"/>
      <c r="IL60" s="57"/>
      <c r="IM60" s="57"/>
      <c r="IN60" s="57"/>
      <c r="IO60" s="57"/>
      <c r="IP60" s="57"/>
    </row>
    <row r="61" spans="1:255" x14ac:dyDescent="0.3">
      <c r="C61" s="239"/>
      <c r="D61" s="211"/>
      <c r="E61" s="211"/>
      <c r="F61" s="240" t="s">
        <v>218</v>
      </c>
      <c r="G61" s="239"/>
      <c r="H61" s="211"/>
      <c r="I61" s="211"/>
      <c r="CR61" s="77">
        <f>CR58+1</f>
        <v>16</v>
      </c>
      <c r="CS61" s="44"/>
      <c r="CT61" s="44"/>
      <c r="CU61" s="48" t="s">
        <v>129</v>
      </c>
      <c r="CV61" s="92">
        <f ca="1">AE70</f>
        <v>4.5648610417658959E-4</v>
      </c>
      <c r="CW61" s="57"/>
      <c r="CX61" s="93">
        <f ca="1">BD31</f>
        <v>7729425.2813704489</v>
      </c>
      <c r="CY61" s="94">
        <f ca="1">BF31</f>
        <v>456036.09160085651</v>
      </c>
      <c r="CZ61" s="95">
        <f ca="1">BH31</f>
        <v>0</v>
      </c>
      <c r="DA61" s="57"/>
      <c r="DB61" s="78">
        <f t="array" aca="1" ref="DB61:DB63" ca="1">MMULT(CX61:CZ63,CV61:CV63)</f>
        <v>3546.9813186371889</v>
      </c>
      <c r="DC61" s="57"/>
      <c r="DD61" s="96"/>
      <c r="DE61" s="97"/>
      <c r="DF61" s="97"/>
      <c r="DG61" s="97"/>
      <c r="DH61" s="97"/>
      <c r="DI61" s="98"/>
      <c r="DJ61" s="57">
        <f>DJ58+1</f>
        <v>16</v>
      </c>
      <c r="DK61" s="57"/>
      <c r="DL61" s="57"/>
      <c r="DM61" s="87" t="s">
        <v>129</v>
      </c>
      <c r="DN61" s="99">
        <f ca="1">INDEX(DE16:DE115,MATCH(DJ61,A16:A50,0))</f>
        <v>4.2927056696737062E-3</v>
      </c>
      <c r="DO61" s="57"/>
      <c r="DP61" s="57"/>
      <c r="DQ61" s="87" t="s">
        <v>130</v>
      </c>
      <c r="DR61" s="99">
        <f ca="1">INDEX(DD16:DD115,MATCH(DJ61,A16:A50,0))</f>
        <v>5.151246803608448E-3</v>
      </c>
      <c r="DS61" s="57"/>
      <c r="DT61" s="93">
        <f ca="1">CX61</f>
        <v>7729425.2813704489</v>
      </c>
      <c r="DU61" s="94">
        <f t="shared" ca="1" si="102"/>
        <v>456036.09160085651</v>
      </c>
      <c r="DV61" s="95">
        <f t="shared" ca="1" si="103"/>
        <v>0</v>
      </c>
      <c r="DW61" s="57"/>
      <c r="DX61" s="80">
        <f t="array" aca="1" ref="DX61:DX63" ca="1">MMULT(DT61:DV63,DN61:DN63)</f>
        <v>33483.200986872369</v>
      </c>
      <c r="DY61" s="80"/>
      <c r="DZ61" s="80">
        <f t="array" aca="1" ref="DZ61:DZ63" ca="1">MMULT(DT61:DV63,DR61:DR63)</f>
        <v>40179.841184246849</v>
      </c>
      <c r="FJ61" s="107">
        <f t="shared" ca="1" si="257"/>
        <v>2.8969992664450368</v>
      </c>
      <c r="FK61" s="107">
        <f t="shared" ca="1" si="257"/>
        <v>2.9497549215654626</v>
      </c>
      <c r="FL61" s="107">
        <f t="shared" ca="1" si="257"/>
        <v>2.9576627898211361</v>
      </c>
      <c r="FM61" s="107">
        <f t="shared" ca="1" si="257"/>
        <v>2.9533810898524964</v>
      </c>
      <c r="FN61" s="107">
        <f t="shared" ca="1" si="257"/>
        <v>37.049403183323797</v>
      </c>
      <c r="FO61" s="107">
        <f t="shared" ca="1" si="257"/>
        <v>25.122202287436185</v>
      </c>
      <c r="FP61" s="107">
        <f t="shared" ca="1" si="257"/>
        <v>3.0509428874996791</v>
      </c>
      <c r="FR61" s="82"/>
      <c r="FS61" s="69">
        <f ca="1">INDEX(EB16:EB115,MATCH(GF60,A16:A115,0))</f>
        <v>3546.9813186371889</v>
      </c>
      <c r="FT61" s="69">
        <f>FT60</f>
        <v>-8.5984251968503986E-3</v>
      </c>
      <c r="FU61" s="69">
        <f ca="1">INDEX(EC16:EC115,MATCH(GF60,A16:A115,0))</f>
        <v>523.53150187562358</v>
      </c>
      <c r="FV61" s="69">
        <f t="shared" ref="FV61:FV63" si="279">FT61</f>
        <v>-8.5984251968503986E-3</v>
      </c>
      <c r="FW61" s="69">
        <f ca="1">INDEX(ED16:ED115,MATCH(GF60,A16:A115,0))</f>
        <v>-155.18705741647139</v>
      </c>
      <c r="FX61" s="70">
        <f t="shared" ref="FX61:FX63" si="280">FV61</f>
        <v>-8.5984251968503986E-3</v>
      </c>
      <c r="FY61" s="82"/>
      <c r="FZ61" s="101">
        <f ca="1">INDEX(EE16:EE115,MATCH(GF60,A16:A115,0))</f>
        <v>6696.6401973744778</v>
      </c>
      <c r="GA61" s="69">
        <f>GA60</f>
        <v>-8.5984251968503986E-3</v>
      </c>
      <c r="GB61" s="61">
        <f ca="1">INDEX(EG16:EG115,MATCH(GF60,A16:A115,0))</f>
        <v>1418.8249235851536</v>
      </c>
      <c r="GC61" s="109">
        <f t="shared" si="191"/>
        <v>-8.5984251968503986E-3</v>
      </c>
      <c r="GD61" s="69">
        <f ca="1">INDEX(EI16:EI115,MATCH(GF60,A16:A115,0))</f>
        <v>-579.69870549078905</v>
      </c>
      <c r="GE61" s="110">
        <f t="shared" ref="GE61:GE63" si="281">GC61</f>
        <v>-8.5984251968503986E-3</v>
      </c>
      <c r="GF61" s="84"/>
      <c r="GG61" s="111">
        <f ca="1">FS61+FZ61</f>
        <v>10243.621516011666</v>
      </c>
      <c r="GH61" s="85">
        <f>GH60</f>
        <v>-8.5984251968503986E-3</v>
      </c>
      <c r="GI61" s="111">
        <f ca="1">FU61+GB61</f>
        <v>1942.3564254607772</v>
      </c>
      <c r="GJ61" s="112">
        <f t="shared" si="192"/>
        <v>-8.5984251968503986E-3</v>
      </c>
      <c r="GK61" s="111">
        <f ca="1">FW61+GD61</f>
        <v>-734.88576290726041</v>
      </c>
      <c r="GL61" s="112">
        <f t="shared" si="193"/>
        <v>-8.5984251968503986E-3</v>
      </c>
      <c r="GN61" s="69">
        <f t="shared" si="244"/>
        <v>-8.5984251968503986E-3</v>
      </c>
      <c r="GO61" s="113">
        <f ca="1">INDEX(FJ16:FJ115,MATCH(GM60,A16:A115,0))</f>
        <v>2.1076488301756413</v>
      </c>
      <c r="GP61" s="113">
        <f ca="1">INDEX(FK16:FK115,MATCH(GM60,A16:A115,0))</f>
        <v>3.6982434481351882</v>
      </c>
      <c r="GQ61" s="113">
        <f ca="1">INDEX(FL16:FL115,MATCH(GM60,A16:A115,0))</f>
        <v>3.131589653707529</v>
      </c>
      <c r="GR61" s="113">
        <f ca="1">INDEX(FM16:FM115,MATCH(GM60,A16:A115,0))</f>
        <v>3.1920676588169172</v>
      </c>
      <c r="GS61" s="113">
        <f ca="1">INDEX(FN16:FN115,MATCH(GM60,A16:A115,0))</f>
        <v>4.0942220120370401</v>
      </c>
      <c r="GT61" s="113">
        <f ca="1">INDEX(FO16:FO115,MATCH(GM60,A16:A115,0))</f>
        <v>19.971299477193657</v>
      </c>
      <c r="GU61" s="113">
        <f ca="1">INDEX(FP16:FP115,MATCH(GM60,A16:A115,0))</f>
        <v>7.4953885387138275</v>
      </c>
      <c r="HO61" s="57"/>
      <c r="HP61" s="57"/>
      <c r="HQ61" s="57"/>
      <c r="HR61" s="57"/>
      <c r="HS61" s="57"/>
      <c r="HT61" s="57"/>
      <c r="HU61" s="57"/>
      <c r="HV61" s="57"/>
      <c r="HW61" s="57"/>
      <c r="HX61" s="57"/>
      <c r="HY61" s="57"/>
      <c r="HZ61" s="57"/>
      <c r="IA61" s="57"/>
      <c r="IB61" s="57"/>
      <c r="IC61" s="57"/>
      <c r="IJ61" s="57"/>
      <c r="IK61" s="57"/>
      <c r="IL61" s="57"/>
      <c r="IM61" s="57"/>
      <c r="IN61" s="57"/>
      <c r="IO61" s="57"/>
      <c r="IP61" s="57"/>
    </row>
    <row r="62" spans="1:255" x14ac:dyDescent="0.3">
      <c r="A62" s="145"/>
      <c r="B62" s="169"/>
      <c r="C62" s="211"/>
      <c r="D62" s="211"/>
      <c r="E62" s="211"/>
      <c r="F62" s="241" t="s">
        <v>219</v>
      </c>
      <c r="G62" s="211"/>
      <c r="H62" s="211"/>
      <c r="I62" s="211"/>
      <c r="J62" s="169"/>
      <c r="K62" s="169"/>
      <c r="CR62" s="77"/>
      <c r="CS62" s="44"/>
      <c r="CT62" s="44"/>
      <c r="CU62" s="48" t="s">
        <v>131</v>
      </c>
      <c r="CV62" s="92">
        <f ca="1">AE71</f>
        <v>4.0799587495451728E-5</v>
      </c>
      <c r="CW62" s="57"/>
      <c r="CX62" s="90">
        <f ca="1">BG31</f>
        <v>456036.09160085651</v>
      </c>
      <c r="CY62" s="83">
        <f ca="1">BE31</f>
        <v>7729425.2813704489</v>
      </c>
      <c r="CZ62" s="91">
        <f ca="1">BK31</f>
        <v>0</v>
      </c>
      <c r="DA62" s="57"/>
      <c r="DB62" s="78">
        <f ca="1"/>
        <v>523.53150187562358</v>
      </c>
      <c r="DC62" s="57"/>
      <c r="DD62" s="96"/>
      <c r="DE62" s="97"/>
      <c r="DF62" s="97"/>
      <c r="DG62" s="97"/>
      <c r="DH62" s="97"/>
      <c r="DI62" s="98"/>
      <c r="DJ62" s="57"/>
      <c r="DK62" s="57"/>
      <c r="DL62" s="57"/>
      <c r="DM62" s="87" t="s">
        <v>131</v>
      </c>
      <c r="DN62" s="99">
        <f ca="1">INDEX(DG16:DG115,MATCH(DJ61,A16:A50,0))</f>
        <v>6.6453788153111111E-4</v>
      </c>
      <c r="DO62" s="57"/>
      <c r="DP62" s="57"/>
      <c r="DQ62" s="87" t="s">
        <v>132</v>
      </c>
      <c r="DR62" s="99">
        <f ca="1">INDEX(DF16:DF115,MATCH(DJ61,A16:A50,0))</f>
        <v>7.974454578373334E-4</v>
      </c>
      <c r="DS62" s="57"/>
      <c r="DT62" s="90">
        <f t="shared" ref="DT62:DT63" ca="1" si="282">CX62</f>
        <v>456036.09160085651</v>
      </c>
      <c r="DU62" s="83">
        <f t="shared" ca="1" si="102"/>
        <v>7729425.2813704489</v>
      </c>
      <c r="DV62" s="91">
        <f t="shared" ca="1" si="103"/>
        <v>0</v>
      </c>
      <c r="DW62" s="57"/>
      <c r="DX62" s="80">
        <f ca="1"/>
        <v>7094.1246179257651</v>
      </c>
      <c r="DY62" s="80"/>
      <c r="DZ62" s="80">
        <f ca="1"/>
        <v>8512.9495415109195</v>
      </c>
      <c r="FJ62" s="107">
        <f t="shared" ca="1" si="257"/>
        <v>1.2442439401993912</v>
      </c>
      <c r="FK62" s="107">
        <f t="shared" ca="1" si="257"/>
        <v>1.3023133187141864</v>
      </c>
      <c r="FL62" s="107">
        <f t="shared" ca="1" si="257"/>
        <v>1.3725517938673111</v>
      </c>
      <c r="FM62" s="107">
        <f t="shared" ca="1" si="257"/>
        <v>1.3798484060160434</v>
      </c>
      <c r="FN62" s="107">
        <f t="shared" ca="1" si="257"/>
        <v>11.818768056102456</v>
      </c>
      <c r="FO62" s="107">
        <f t="shared" ca="1" si="257"/>
        <v>11.924485836528564</v>
      </c>
      <c r="FP62" s="107">
        <f t="shared" ca="1" si="257"/>
        <v>1.3400540985095035</v>
      </c>
      <c r="FR62" s="82"/>
      <c r="FS62" s="69">
        <f ca="1">FS61</f>
        <v>3546.9813186371889</v>
      </c>
      <c r="FT62" s="69">
        <f>INDEX(AE16:AE115,MATCH(GF60,A16:A115,0))</f>
        <v>-1.7196850393700794E-2</v>
      </c>
      <c r="FU62" s="69">
        <f ca="1">FU61</f>
        <v>523.53150187562358</v>
      </c>
      <c r="FV62" s="69">
        <f t="shared" si="279"/>
        <v>-1.7196850393700794E-2</v>
      </c>
      <c r="FW62" s="69">
        <f ca="1">FW61</f>
        <v>-155.18705741647139</v>
      </c>
      <c r="FX62" s="70">
        <f t="shared" si="280"/>
        <v>-1.7196850393700794E-2</v>
      </c>
      <c r="FY62" s="82"/>
      <c r="FZ62" s="101">
        <f ca="1">INDEX(EF16:EF115,MATCH(GF60,A16:A115,0))</f>
        <v>13393.280394748954</v>
      </c>
      <c r="GA62" s="69">
        <f>FT62</f>
        <v>-1.7196850393700794E-2</v>
      </c>
      <c r="GB62" s="61">
        <f ca="1">INDEX(EH16:EH115,MATCH(GF60,A16:A115,0))</f>
        <v>2837.6498471703067</v>
      </c>
      <c r="GC62" s="109">
        <f t="shared" si="191"/>
        <v>-1.7196850393700794E-2</v>
      </c>
      <c r="GD62" s="69">
        <f ca="1">INDEX(EJ16:EJ115,MATCH(GF60,A16:A115,0))</f>
        <v>-1159.3974109815779</v>
      </c>
      <c r="GE62" s="110">
        <f t="shared" si="281"/>
        <v>-1.7196850393700794E-2</v>
      </c>
      <c r="GF62" s="84"/>
      <c r="GG62" s="111">
        <f ca="1">FS62+FZ62</f>
        <v>16940.261713386142</v>
      </c>
      <c r="GH62" s="85">
        <f>FT62</f>
        <v>-1.7196850393700794E-2</v>
      </c>
      <c r="GI62" s="111">
        <f ca="1">FU62+GB62</f>
        <v>3361.1813490459303</v>
      </c>
      <c r="GJ62" s="112">
        <f t="shared" si="192"/>
        <v>-1.7196850393700794E-2</v>
      </c>
      <c r="GK62" s="111">
        <f ca="1">FW62+GD62</f>
        <v>-1314.5844683980492</v>
      </c>
      <c r="GL62" s="112">
        <f t="shared" si="193"/>
        <v>-1.7196850393700794E-2</v>
      </c>
      <c r="GN62" s="69">
        <f t="shared" si="244"/>
        <v>-1.7196850393700794E-2</v>
      </c>
      <c r="GO62" s="113">
        <f ca="1">GO61</f>
        <v>2.1076488301756413</v>
      </c>
      <c r="GP62" s="113">
        <f t="shared" ref="GP62" ca="1" si="283">GP61</f>
        <v>3.6982434481351882</v>
      </c>
      <c r="GQ62" s="113">
        <f t="shared" ref="GQ62" ca="1" si="284">GQ61</f>
        <v>3.131589653707529</v>
      </c>
      <c r="GR62" s="113">
        <f t="shared" ref="GR62" ca="1" si="285">GR61</f>
        <v>3.1920676588169172</v>
      </c>
      <c r="GS62" s="113">
        <f t="shared" ref="GS62" ca="1" si="286">GS61</f>
        <v>4.0942220120370401</v>
      </c>
      <c r="GT62" s="113">
        <f t="shared" ref="GT62" ca="1" si="287">GT61</f>
        <v>19.971299477193657</v>
      </c>
      <c r="GU62" s="113">
        <f t="shared" ref="GU62" ca="1" si="288">GU61</f>
        <v>7.4953885387138275</v>
      </c>
      <c r="HO62" s="57"/>
      <c r="HP62" s="57"/>
      <c r="HQ62" s="57"/>
      <c r="HR62" s="57"/>
      <c r="HS62" s="57"/>
      <c r="HT62" s="57"/>
      <c r="HU62" s="57"/>
      <c r="HV62" s="57"/>
      <c r="HW62" s="57"/>
      <c r="HX62" s="57"/>
      <c r="HY62" s="57"/>
      <c r="HZ62" s="57"/>
      <c r="IA62" s="57"/>
      <c r="IB62" s="57"/>
      <c r="IC62" s="57"/>
      <c r="IJ62" s="57"/>
      <c r="IK62" s="57"/>
      <c r="IL62" s="57"/>
      <c r="IM62" s="57"/>
      <c r="IN62" s="57"/>
      <c r="IO62" s="57"/>
      <c r="IP62" s="57"/>
    </row>
    <row r="63" spans="1:255" x14ac:dyDescent="0.3">
      <c r="A63" s="254"/>
      <c r="B63" s="217"/>
      <c r="C63" s="217"/>
      <c r="D63" s="217"/>
      <c r="E63" s="218" t="s">
        <v>199</v>
      </c>
      <c r="F63" s="219" t="str">
        <f>$C$1</f>
        <v>R. Abbott</v>
      </c>
      <c r="G63" s="217"/>
      <c r="H63" s="221"/>
      <c r="I63" s="218" t="s">
        <v>210</v>
      </c>
      <c r="J63" s="255" t="str">
        <f>$G$2</f>
        <v>AA-SM-101-108</v>
      </c>
      <c r="K63" s="256"/>
      <c r="L63" s="257"/>
      <c r="M63" s="266"/>
      <c r="N63" s="266"/>
      <c r="AD63" s="65"/>
      <c r="AE63" s="57"/>
      <c r="AF63" s="57"/>
      <c r="CR63" s="77"/>
      <c r="CS63" s="44"/>
      <c r="CT63" s="44"/>
      <c r="CU63" s="48" t="s">
        <v>133</v>
      </c>
      <c r="CV63" s="92">
        <f ca="1">AE72</f>
        <v>-2.771243444540907E-4</v>
      </c>
      <c r="CW63" s="57"/>
      <c r="CX63" s="114">
        <f ca="1">BI31</f>
        <v>0</v>
      </c>
      <c r="CY63" s="115">
        <f ca="1">BJ31</f>
        <v>0</v>
      </c>
      <c r="CZ63" s="116">
        <f ca="1">BL31</f>
        <v>559990.70641799993</v>
      </c>
      <c r="DA63" s="57"/>
      <c r="DB63" s="78">
        <f ca="1"/>
        <v>-155.18705741647139</v>
      </c>
      <c r="DC63" s="57"/>
      <c r="DD63" s="96"/>
      <c r="DE63" s="97"/>
      <c r="DF63" s="97"/>
      <c r="DG63" s="97"/>
      <c r="DH63" s="97"/>
      <c r="DI63" s="98"/>
      <c r="DJ63" s="57"/>
      <c r="DK63" s="57"/>
      <c r="DL63" s="57"/>
      <c r="DM63" s="87" t="s">
        <v>133</v>
      </c>
      <c r="DN63" s="99">
        <f ca="1">INDEX(DI16:DI115,MATCH(DJ61,A16:A50,0))</f>
        <v>-5.1759671977312949E-3</v>
      </c>
      <c r="DO63" s="57"/>
      <c r="DP63" s="57"/>
      <c r="DQ63" s="87" t="s">
        <v>134</v>
      </c>
      <c r="DR63" s="99">
        <f ca="1">INDEX(DH16:DH115,MATCH(DJ61,A16:A50,0))</f>
        <v>-6.2111606372775548E-3</v>
      </c>
      <c r="DS63" s="57"/>
      <c r="DT63" s="114">
        <f t="shared" ca="1" si="282"/>
        <v>0</v>
      </c>
      <c r="DU63" s="115">
        <f t="shared" ca="1" si="102"/>
        <v>0</v>
      </c>
      <c r="DV63" s="116">
        <f t="shared" ca="1" si="103"/>
        <v>559990.70641799993</v>
      </c>
      <c r="DW63" s="57"/>
      <c r="DX63" s="80">
        <f ca="1"/>
        <v>-2898.4935274539434</v>
      </c>
      <c r="DY63" s="80"/>
      <c r="DZ63" s="80">
        <f ca="1"/>
        <v>-3478.1922329447325</v>
      </c>
      <c r="FJ63" s="107">
        <f t="shared" ca="1" si="257"/>
        <v>2.1076488301756413</v>
      </c>
      <c r="FK63" s="107">
        <f t="shared" ca="1" si="257"/>
        <v>3.6982434481351882</v>
      </c>
      <c r="FL63" s="107">
        <f t="shared" ca="1" si="257"/>
        <v>3.131589653707529</v>
      </c>
      <c r="FM63" s="107">
        <f t="shared" ca="1" si="257"/>
        <v>3.1920676588169172</v>
      </c>
      <c r="FN63" s="107">
        <f t="shared" ca="1" si="257"/>
        <v>4.0942220120370401</v>
      </c>
      <c r="FO63" s="107">
        <f t="shared" ca="1" si="257"/>
        <v>19.971299477193657</v>
      </c>
      <c r="FP63" s="107">
        <f t="shared" ca="1" si="257"/>
        <v>7.4953885387138275</v>
      </c>
      <c r="FR63" s="82"/>
      <c r="FS63" s="61">
        <v>0</v>
      </c>
      <c r="FT63" s="69">
        <f>FT62</f>
        <v>-1.7196850393700794E-2</v>
      </c>
      <c r="FU63" s="61">
        <v>0</v>
      </c>
      <c r="FV63" s="69">
        <f t="shared" si="279"/>
        <v>-1.7196850393700794E-2</v>
      </c>
      <c r="FW63" s="69">
        <v>0</v>
      </c>
      <c r="FX63" s="70">
        <f t="shared" si="280"/>
        <v>-1.7196850393700794E-2</v>
      </c>
      <c r="FY63" s="82"/>
      <c r="FZ63" s="61">
        <v>0</v>
      </c>
      <c r="GA63" s="69">
        <f>GA62</f>
        <v>-1.7196850393700794E-2</v>
      </c>
      <c r="GB63" s="61">
        <v>0</v>
      </c>
      <c r="GC63" s="109">
        <f t="shared" si="191"/>
        <v>-1.7196850393700794E-2</v>
      </c>
      <c r="GD63" s="61">
        <v>0</v>
      </c>
      <c r="GE63" s="110">
        <f t="shared" si="281"/>
        <v>-1.7196850393700794E-2</v>
      </c>
      <c r="GF63" s="84"/>
      <c r="GG63" s="111">
        <v>0</v>
      </c>
      <c r="GH63" s="85">
        <f>GH62</f>
        <v>-1.7196850393700794E-2</v>
      </c>
      <c r="GI63" s="112">
        <v>0</v>
      </c>
      <c r="GJ63" s="112">
        <f t="shared" si="192"/>
        <v>-1.7196850393700794E-2</v>
      </c>
      <c r="GK63" s="112">
        <v>0</v>
      </c>
      <c r="GL63" s="112">
        <f t="shared" si="193"/>
        <v>-1.7196850393700794E-2</v>
      </c>
      <c r="GN63" s="69">
        <f t="shared" si="244"/>
        <v>-1.7196850393700794E-2</v>
      </c>
      <c r="GO63" s="113"/>
      <c r="GP63" s="113"/>
      <c r="GQ63" s="113"/>
      <c r="GR63" s="113"/>
      <c r="GS63" s="113"/>
      <c r="GT63" s="113"/>
      <c r="GU63" s="113"/>
      <c r="HO63" s="57"/>
      <c r="HP63" s="57"/>
      <c r="HQ63" s="57"/>
      <c r="HR63" s="57"/>
      <c r="HS63" s="57"/>
      <c r="HT63" s="57"/>
      <c r="HU63" s="57"/>
      <c r="HV63" s="57"/>
      <c r="HW63" s="57"/>
      <c r="HX63" s="57"/>
      <c r="HY63" s="57"/>
      <c r="HZ63" s="57"/>
      <c r="IA63" s="57"/>
      <c r="IB63" s="57"/>
      <c r="IC63" s="57"/>
      <c r="IJ63" s="57"/>
      <c r="IK63" s="57"/>
      <c r="IL63" s="57"/>
      <c r="IM63" s="57"/>
      <c r="IN63" s="57"/>
      <c r="IO63" s="57"/>
      <c r="IP63" s="57"/>
    </row>
    <row r="64" spans="1:255" x14ac:dyDescent="0.3">
      <c r="A64" s="217"/>
      <c r="B64" s="217"/>
      <c r="C64" s="217"/>
      <c r="D64" s="217"/>
      <c r="E64" s="218" t="s">
        <v>201</v>
      </c>
      <c r="F64" s="221" t="str">
        <f>$C$2</f>
        <v xml:space="preserve"> </v>
      </c>
      <c r="G64" s="217"/>
      <c r="H64" s="221"/>
      <c r="I64" s="218" t="s">
        <v>211</v>
      </c>
      <c r="J64" s="256" t="str">
        <f>$G$3</f>
        <v>A</v>
      </c>
      <c r="K64" s="256"/>
      <c r="L64" s="257"/>
      <c r="M64" s="266">
        <v>1</v>
      </c>
      <c r="N64" s="266"/>
      <c r="O64" s="205"/>
      <c r="AD64" s="65"/>
      <c r="AE64" s="81"/>
      <c r="AF64" s="57"/>
      <c r="CR64" s="77">
        <f>CR61+1</f>
        <v>17</v>
      </c>
      <c r="CS64" s="44"/>
      <c r="CT64" s="44"/>
      <c r="CU64" s="48" t="s">
        <v>129</v>
      </c>
      <c r="CV64" s="92">
        <f ca="1">AE70</f>
        <v>4.5648610417658959E-4</v>
      </c>
      <c r="CW64" s="57"/>
      <c r="CX64" s="93">
        <f ca="1">BD32</f>
        <v>4652721.392903653</v>
      </c>
      <c r="CY64" s="94">
        <f ca="1">BF32</f>
        <v>3532739.9800676531</v>
      </c>
      <c r="CZ64" s="95">
        <f ca="1">BH32</f>
        <v>0</v>
      </c>
      <c r="DA64" s="57"/>
      <c r="DB64" s="78">
        <f t="array" aca="1" ref="DB64:DB66" ca="1">MMULT(CX64:CZ66,CV64:CV66)</f>
        <v>2268.0369963811145</v>
      </c>
      <c r="DC64" s="57"/>
      <c r="DD64" s="96"/>
      <c r="DE64" s="97"/>
      <c r="DF64" s="97"/>
      <c r="DG64" s="97"/>
      <c r="DH64" s="97"/>
      <c r="DI64" s="98"/>
      <c r="DJ64" s="57">
        <f>DJ61+1</f>
        <v>17</v>
      </c>
      <c r="DK64" s="57"/>
      <c r="DL64" s="57"/>
      <c r="DM64" s="87" t="s">
        <v>129</v>
      </c>
      <c r="DN64" s="99">
        <f ca="1">INDEX(DE16:DE115,MATCH(DJ64,A16:A50,0))</f>
        <v>5.1512468036084471E-3</v>
      </c>
      <c r="DO64" s="57"/>
      <c r="DP64" s="57"/>
      <c r="DQ64" s="87" t="s">
        <v>130</v>
      </c>
      <c r="DR64" s="99">
        <f ca="1">INDEX(DD16:DD115,MATCH(DJ64,A16:A50,0))</f>
        <v>6.0097879375431889E-3</v>
      </c>
      <c r="DS64" s="57"/>
      <c r="DT64" s="93">
        <f ca="1">CX64</f>
        <v>4652721.392903653</v>
      </c>
      <c r="DU64" s="94">
        <f t="shared" ca="1" si="102"/>
        <v>3532739.9800676531</v>
      </c>
      <c r="DV64" s="95">
        <f t="shared" ca="1" si="103"/>
        <v>0</v>
      </c>
      <c r="DW64" s="57"/>
      <c r="DX64" s="80">
        <f t="array" aca="1" ref="DX64:DX66" ca="1">MMULT(DT64:DV66,DN64:DN66)</f>
        <v>26784.483654100884</v>
      </c>
      <c r="DY64" s="80"/>
      <c r="DZ64" s="80">
        <f t="array" aca="1" ref="DZ64:DZ66" ca="1">MMULT(DT64:DV66,DR64:DR66)</f>
        <v>31248.5642631177</v>
      </c>
      <c r="FJ64" s="107">
        <f t="shared" ca="1" si="257"/>
        <v>-0.12291462570414569</v>
      </c>
      <c r="FK64" s="107">
        <f t="shared" ca="1" si="257"/>
        <v>-0.1042194241060993</v>
      </c>
      <c r="FL64" s="107">
        <f t="shared" ca="1" si="257"/>
        <v>9.2912855515514314E-2</v>
      </c>
      <c r="FM64" s="107">
        <f t="shared" ca="1" si="257"/>
        <v>9.5258367331013227E-2</v>
      </c>
      <c r="FN64" s="107">
        <f t="shared" ca="1" si="257"/>
        <v>4.5105949953380238</v>
      </c>
      <c r="FO64" s="107">
        <f t="shared" ca="1" si="257"/>
        <v>4.5256242600608294</v>
      </c>
      <c r="FP64" s="107">
        <f t="shared" ca="1" si="257"/>
        <v>-9.217773502308757E-2</v>
      </c>
      <c r="FR64" s="82">
        <f>FR60+1</f>
        <v>13</v>
      </c>
      <c r="FS64" s="61">
        <v>0</v>
      </c>
      <c r="FT64" s="69">
        <f>INDEX(AF16:AF115,MATCH(GF64,A16:A115,0))</f>
        <v>-1.7196850393700787E-2</v>
      </c>
      <c r="FU64" s="61">
        <v>0</v>
      </c>
      <c r="FV64" s="69">
        <f>FT64</f>
        <v>-1.7196850393700787E-2</v>
      </c>
      <c r="FW64" s="69">
        <v>0</v>
      </c>
      <c r="FX64" s="70">
        <f>FV64</f>
        <v>-1.7196850393700787E-2</v>
      </c>
      <c r="FY64" s="82">
        <f>FY60+1</f>
        <v>13</v>
      </c>
      <c r="FZ64" s="61">
        <v>0</v>
      </c>
      <c r="GA64" s="69">
        <f>FT64</f>
        <v>-1.7196850393700787E-2</v>
      </c>
      <c r="GB64" s="108">
        <v>0</v>
      </c>
      <c r="GC64" s="109">
        <f t="shared" si="191"/>
        <v>-1.7196850393700787E-2</v>
      </c>
      <c r="GD64" s="61">
        <v>0</v>
      </c>
      <c r="GE64" s="110">
        <f>GC64</f>
        <v>-1.7196850393700787E-2</v>
      </c>
      <c r="GF64" s="84">
        <f>GF60+1</f>
        <v>13</v>
      </c>
      <c r="GG64" s="111">
        <v>0</v>
      </c>
      <c r="GH64" s="85">
        <f>FT64</f>
        <v>-1.7196850393700787E-2</v>
      </c>
      <c r="GI64" s="112">
        <v>0</v>
      </c>
      <c r="GJ64" s="112">
        <f t="shared" si="192"/>
        <v>-1.7196850393700787E-2</v>
      </c>
      <c r="GK64" s="112">
        <v>0</v>
      </c>
      <c r="GL64" s="112">
        <f t="shared" si="193"/>
        <v>-1.7196850393700787E-2</v>
      </c>
      <c r="GM64" s="117">
        <f>GM60+1</f>
        <v>13</v>
      </c>
      <c r="GN64" s="69">
        <f t="shared" si="244"/>
        <v>-1.7196850393700787E-2</v>
      </c>
      <c r="GO64" s="113"/>
      <c r="GP64" s="113"/>
      <c r="GQ64" s="113"/>
      <c r="GR64" s="113"/>
      <c r="GS64" s="113"/>
      <c r="GT64" s="113"/>
      <c r="GU64" s="113"/>
      <c r="HO64" s="57"/>
      <c r="HP64" s="57"/>
      <c r="HQ64" s="57"/>
      <c r="HR64" s="57"/>
      <c r="HS64" s="57"/>
      <c r="HT64" s="57"/>
      <c r="HU64" s="57"/>
      <c r="HV64" s="57"/>
      <c r="HW64" s="57"/>
      <c r="HX64" s="57"/>
      <c r="HY64" s="57"/>
      <c r="HZ64" s="57"/>
      <c r="IA64" s="57"/>
      <c r="IB64" s="57"/>
      <c r="IC64" s="57"/>
      <c r="IJ64" s="57"/>
      <c r="IK64" s="57"/>
      <c r="IL64" s="57"/>
      <c r="IM64" s="57"/>
      <c r="IN64" s="57"/>
      <c r="IO64" s="57"/>
      <c r="IP64" s="57"/>
    </row>
    <row r="65" spans="1:250" x14ac:dyDescent="0.3">
      <c r="A65" s="217"/>
      <c r="B65" s="217"/>
      <c r="C65" s="217"/>
      <c r="D65" s="217"/>
      <c r="E65" s="218" t="s">
        <v>66</v>
      </c>
      <c r="F65" s="267">
        <f>$C$3</f>
        <v>41334</v>
      </c>
      <c r="G65" s="217"/>
      <c r="H65" s="221"/>
      <c r="I65" s="218" t="s">
        <v>212</v>
      </c>
      <c r="J65" s="219" t="str">
        <f>L65&amp;" of "&amp;$G$1</f>
        <v>2 of 1</v>
      </c>
      <c r="K65" s="221"/>
      <c r="L65" s="257">
        <f>SUM($M$1:M64)</f>
        <v>2</v>
      </c>
      <c r="M65" s="266"/>
      <c r="N65" s="266"/>
      <c r="O65" s="205"/>
      <c r="AD65" s="65"/>
      <c r="AE65" s="81"/>
      <c r="AF65" s="57"/>
      <c r="CR65" s="77"/>
      <c r="CS65" s="44"/>
      <c r="CT65" s="44"/>
      <c r="CU65" s="48" t="s">
        <v>131</v>
      </c>
      <c r="CV65" s="92">
        <f ca="1">AE71</f>
        <v>4.0799587495451728E-5</v>
      </c>
      <c r="CW65" s="57"/>
      <c r="CX65" s="90">
        <f ca="1">BG32</f>
        <v>3532739.9800676531</v>
      </c>
      <c r="CY65" s="83">
        <f ca="1">BE32</f>
        <v>4652721.392903653</v>
      </c>
      <c r="CZ65" s="91">
        <f ca="1">BK32</f>
        <v>0</v>
      </c>
      <c r="DA65" s="57"/>
      <c r="DB65" s="78">
        <f ca="1"/>
        <v>1802.4758241316983</v>
      </c>
      <c r="DC65" s="57"/>
      <c r="DD65" s="96"/>
      <c r="DE65" s="97"/>
      <c r="DF65" s="97"/>
      <c r="DG65" s="97"/>
      <c r="DH65" s="97"/>
      <c r="DI65" s="98"/>
      <c r="DJ65" s="57"/>
      <c r="DK65" s="57"/>
      <c r="DL65" s="57"/>
      <c r="DM65" s="87" t="s">
        <v>131</v>
      </c>
      <c r="DN65" s="99">
        <f ca="1">INDEX(DG16:DG115,MATCH(DJ64,A16:A50,0))</f>
        <v>7.9744545783733329E-4</v>
      </c>
      <c r="DO65" s="57"/>
      <c r="DP65" s="57"/>
      <c r="DQ65" s="87" t="s">
        <v>132</v>
      </c>
      <c r="DR65" s="99">
        <f ca="1">INDEX(DF16:DF115,MATCH(DJ64,A16:A50,0))</f>
        <v>9.3035303414355558E-4</v>
      </c>
      <c r="DS65" s="57"/>
      <c r="DT65" s="90">
        <f t="shared" ref="DT65:DT66" ca="1" si="289">CX65</f>
        <v>3532739.9800676531</v>
      </c>
      <c r="DU65" s="83">
        <f t="shared" ca="1" si="102"/>
        <v>4652721.392903653</v>
      </c>
      <c r="DV65" s="91">
        <f t="shared" ca="1" si="103"/>
        <v>0</v>
      </c>
      <c r="DW65" s="57"/>
      <c r="DX65" s="80">
        <f ca="1"/>
        <v>21908.307071656876</v>
      </c>
      <c r="DY65" s="80"/>
      <c r="DZ65" s="80">
        <f ca="1"/>
        <v>25559.691583599692</v>
      </c>
      <c r="FJ65" s="107">
        <f t="shared" ca="1" si="257"/>
        <v>-0.32773362286661467</v>
      </c>
      <c r="FK65" s="107">
        <f t="shared" ca="1" si="257"/>
        <v>-0.31383696292188745</v>
      </c>
      <c r="FL65" s="107">
        <f t="shared" ca="1" si="257"/>
        <v>-5.7531743675017788E-2</v>
      </c>
      <c r="FM65" s="107">
        <f t="shared" ca="1" si="257"/>
        <v>-5.5788558070171357E-2</v>
      </c>
      <c r="FN65" s="107">
        <f t="shared" ca="1" si="257"/>
        <v>3.2882087452112687</v>
      </c>
      <c r="FO65" s="107">
        <f t="shared" ca="1" si="257"/>
        <v>3.2959703239100797</v>
      </c>
      <c r="FP65" s="107">
        <f t="shared" ca="1" si="257"/>
        <v>-0.30489691304503697</v>
      </c>
      <c r="FR65" s="82"/>
      <c r="FS65" s="69">
        <f ca="1">INDEX(EB16:EB115,MATCH(GF64,A16:A115,0))</f>
        <v>2268.0369963811145</v>
      </c>
      <c r="FT65" s="69">
        <f>FT64</f>
        <v>-1.7196850393700787E-2</v>
      </c>
      <c r="FU65" s="69">
        <f ca="1">INDEX(EC16:EC115,MATCH(GF64,A16:A115,0))</f>
        <v>1802.4758241316983</v>
      </c>
      <c r="FV65" s="69">
        <f t="shared" ref="FV65:FV67" si="290">FT65</f>
        <v>-1.7196850393700787E-2</v>
      </c>
      <c r="FW65" s="69">
        <f ca="1">INDEX(ED16:ED115,MATCH(GF64,A16:A115,0))</f>
        <v>-1007.8166055871841</v>
      </c>
      <c r="FX65" s="70">
        <f t="shared" ref="FX65:FX67" si="291">FV65</f>
        <v>-1.7196850393700787E-2</v>
      </c>
      <c r="FY65" s="82"/>
      <c r="FZ65" s="101">
        <f ca="1">INDEX(EE16:EE115,MATCH(GF64,A16:A115,0))</f>
        <v>8928.1612180336288</v>
      </c>
      <c r="GA65" s="69">
        <f>GA64</f>
        <v>-1.7196850393700787E-2</v>
      </c>
      <c r="GB65" s="61">
        <f ca="1">INDEX(EG16:EG115,MATCH(GF64,A16:A115,0))</f>
        <v>7302.7690238856258</v>
      </c>
      <c r="GC65" s="109">
        <f t="shared" si="191"/>
        <v>-1.7196850393700787E-2</v>
      </c>
      <c r="GD65" s="69">
        <f ca="1">INDEX(EI16:EI115,MATCH(GF64,A16:A115,0))</f>
        <v>-7529.3647725161618</v>
      </c>
      <c r="GE65" s="110">
        <f t="shared" ref="GE65:GE67" si="292">GC65</f>
        <v>-1.7196850393700787E-2</v>
      </c>
      <c r="GF65" s="84"/>
      <c r="GG65" s="111">
        <f ca="1">FS65+FZ65</f>
        <v>11196.198214414744</v>
      </c>
      <c r="GH65" s="85">
        <f>GH64</f>
        <v>-1.7196850393700787E-2</v>
      </c>
      <c r="GI65" s="111">
        <f ca="1">FU65+GB65</f>
        <v>9105.2448480173243</v>
      </c>
      <c r="GJ65" s="112">
        <f t="shared" si="192"/>
        <v>-1.7196850393700787E-2</v>
      </c>
      <c r="GK65" s="111">
        <f ca="1">FW65+GD65</f>
        <v>-8537.1813781033452</v>
      </c>
      <c r="GL65" s="112">
        <f t="shared" si="193"/>
        <v>-1.7196850393700787E-2</v>
      </c>
      <c r="GN65" s="69">
        <f t="shared" si="244"/>
        <v>-1.7196850393700787E-2</v>
      </c>
      <c r="GO65" s="113">
        <f ca="1">INDEX(FJ16:FJ115,MATCH(GM64,A16:A115,0))</f>
        <v>-0.12291462570414569</v>
      </c>
      <c r="GP65" s="113">
        <f ca="1">INDEX(FK16:FK115,MATCH(GM64,A16:A115,0))</f>
        <v>-0.1042194241060993</v>
      </c>
      <c r="GQ65" s="113">
        <f ca="1">INDEX(FL16:FL115,MATCH(GM64,A16:A115,0))</f>
        <v>9.2912855515514314E-2</v>
      </c>
      <c r="GR65" s="113">
        <f ca="1">INDEX(FM16:FM115,MATCH(GM64,A16:A115,0))</f>
        <v>9.5258367331013227E-2</v>
      </c>
      <c r="GS65" s="113">
        <f ca="1">INDEX(FN16:FN115,MATCH(GM64,A16:A115,0))</f>
        <v>4.5105949953380238</v>
      </c>
      <c r="GT65" s="113">
        <f ca="1">INDEX(FO16:FO115,MATCH(GM64,A16:A115,0))</f>
        <v>4.5256242600608294</v>
      </c>
      <c r="GU65" s="113">
        <f ca="1">INDEX(FP16:FP115,MATCH(GM64,A16:A115,0))</f>
        <v>-9.217773502308757E-2</v>
      </c>
      <c r="HO65" s="57"/>
      <c r="HP65" s="57"/>
      <c r="HQ65" s="57"/>
      <c r="HR65" s="57"/>
      <c r="HS65" s="57"/>
      <c r="HT65" s="57"/>
      <c r="HU65" s="57"/>
      <c r="HV65" s="57"/>
      <c r="HW65" s="57"/>
      <c r="HX65" s="57"/>
      <c r="HY65" s="57"/>
      <c r="HZ65" s="57"/>
      <c r="IA65" s="57"/>
      <c r="IB65" s="57"/>
      <c r="IC65" s="57"/>
      <c r="IJ65" s="57"/>
      <c r="IK65" s="57"/>
      <c r="IL65" s="57"/>
      <c r="IM65" s="57"/>
      <c r="IN65" s="57"/>
      <c r="IO65" s="57"/>
      <c r="IP65" s="57"/>
    </row>
    <row r="66" spans="1:250" x14ac:dyDescent="0.3">
      <c r="A66" s="215"/>
      <c r="B66" s="215"/>
      <c r="C66" s="215"/>
      <c r="D66" s="215"/>
      <c r="E66" s="218" t="s">
        <v>67</v>
      </c>
      <c r="F66" s="221" t="str">
        <f>$C$5</f>
        <v>STANDARD SPREADSHEET METHOD</v>
      </c>
      <c r="G66" s="217"/>
      <c r="H66" s="217"/>
      <c r="I66" s="224"/>
      <c r="J66" s="219"/>
      <c r="K66" s="217"/>
      <c r="L66" s="217"/>
      <c r="M66" s="266"/>
      <c r="N66" s="266"/>
      <c r="O66" s="205"/>
      <c r="AD66" s="121"/>
      <c r="AE66" s="81"/>
      <c r="AF66" s="57"/>
      <c r="CR66" s="77"/>
      <c r="CS66" s="44"/>
      <c r="CT66" s="44"/>
      <c r="CU66" s="48" t="s">
        <v>133</v>
      </c>
      <c r="CV66" s="92">
        <f ca="1">AE72</f>
        <v>-2.771243444540907E-4</v>
      </c>
      <c r="CW66" s="57"/>
      <c r="CX66" s="114">
        <f ca="1">BI32</f>
        <v>0</v>
      </c>
      <c r="CY66" s="115">
        <f ca="1">BJ32</f>
        <v>0</v>
      </c>
      <c r="CZ66" s="116">
        <f ca="1">BL32</f>
        <v>3636694.5948847961</v>
      </c>
      <c r="DA66" s="57"/>
      <c r="DB66" s="78">
        <f ca="1"/>
        <v>-1007.8166055871841</v>
      </c>
      <c r="DC66" s="57"/>
      <c r="DD66" s="96"/>
      <c r="DE66" s="97"/>
      <c r="DF66" s="97"/>
      <c r="DG66" s="97"/>
      <c r="DH66" s="97"/>
      <c r="DI66" s="98"/>
      <c r="DJ66" s="57"/>
      <c r="DK66" s="57"/>
      <c r="DL66" s="57"/>
      <c r="DM66" s="87" t="s">
        <v>133</v>
      </c>
      <c r="DN66" s="99">
        <f ca="1">INDEX(DI16:DI115,MATCH(DJ64,A16:A50,0))</f>
        <v>-6.2111606372775539E-3</v>
      </c>
      <c r="DO66" s="57"/>
      <c r="DP66" s="57"/>
      <c r="DQ66" s="87" t="s">
        <v>134</v>
      </c>
      <c r="DR66" s="99">
        <f ca="1">INDEX(DH16:DH115,MATCH(DJ64,A16:A50,0))</f>
        <v>-7.2463540768238129E-3</v>
      </c>
      <c r="DS66" s="57"/>
      <c r="DT66" s="114">
        <f t="shared" ca="1" si="289"/>
        <v>0</v>
      </c>
      <c r="DU66" s="115">
        <f t="shared" ca="1" si="102"/>
        <v>0</v>
      </c>
      <c r="DV66" s="116">
        <f t="shared" ca="1" si="103"/>
        <v>3636694.5948847961</v>
      </c>
      <c r="DW66" s="57"/>
      <c r="DX66" s="80">
        <f ca="1"/>
        <v>-22588.094317548486</v>
      </c>
      <c r="DY66" s="80"/>
      <c r="DZ66" s="80">
        <f ca="1"/>
        <v>-26352.776703806569</v>
      </c>
      <c r="FJ66" s="107">
        <f t="shared" ca="1" si="257"/>
        <v>0.4122725231141211</v>
      </c>
      <c r="FK66" s="107">
        <f t="shared" ca="1" si="257"/>
        <v>1.111949596111272</v>
      </c>
      <c r="FL66" s="107">
        <f t="shared" ca="1" si="257"/>
        <v>1.131328922295765</v>
      </c>
      <c r="FM66" s="107">
        <f t="shared" ca="1" si="257"/>
        <v>1.1590245940710027</v>
      </c>
      <c r="FN66" s="107">
        <f t="shared" ca="1" si="257"/>
        <v>1.3304625777432415</v>
      </c>
      <c r="FO66" s="107">
        <f t="shared" ca="1" si="257"/>
        <v>8.2532846796237074</v>
      </c>
      <c r="FP66" s="107">
        <f t="shared" ca="1" si="257"/>
        <v>2.6571951504462654</v>
      </c>
      <c r="FR66" s="82"/>
      <c r="FS66" s="69">
        <f ca="1">FS65</f>
        <v>2268.0369963811145</v>
      </c>
      <c r="FT66" s="69">
        <f>INDEX(AE16:AE115,MATCH(GF64,A16:A115,0))</f>
        <v>-2.5795275590551184E-2</v>
      </c>
      <c r="FU66" s="69">
        <f ca="1">FU65</f>
        <v>1802.4758241316983</v>
      </c>
      <c r="FV66" s="69">
        <f t="shared" si="290"/>
        <v>-2.5795275590551184E-2</v>
      </c>
      <c r="FW66" s="69">
        <f ca="1">FW65</f>
        <v>-1007.8166055871841</v>
      </c>
      <c r="FX66" s="70">
        <f t="shared" si="291"/>
        <v>-2.5795275590551184E-2</v>
      </c>
      <c r="FY66" s="82"/>
      <c r="FZ66" s="101">
        <f ca="1">INDEX(EF16:EF115,MATCH(GF64,A16:A115,0))</f>
        <v>13392.241827050446</v>
      </c>
      <c r="GA66" s="69">
        <f>FT66</f>
        <v>-2.5795275590551184E-2</v>
      </c>
      <c r="GB66" s="61">
        <f ca="1">INDEX(EH16:EH115,MATCH(GF64,A16:A115,0))</f>
        <v>10954.15353582844</v>
      </c>
      <c r="GC66" s="109">
        <f t="shared" si="191"/>
        <v>-2.5795275590551184E-2</v>
      </c>
      <c r="GD66" s="69">
        <f ca="1">INDEX(EJ16:EJ115,MATCH(GF64,A16:A115,0))</f>
        <v>-11294.047158774245</v>
      </c>
      <c r="GE66" s="110">
        <f t="shared" si="292"/>
        <v>-2.5795275590551184E-2</v>
      </c>
      <c r="GF66" s="84"/>
      <c r="GG66" s="111">
        <f ca="1">FS66+FZ66</f>
        <v>15660.278823431559</v>
      </c>
      <c r="GH66" s="85">
        <f>FT66</f>
        <v>-2.5795275590551184E-2</v>
      </c>
      <c r="GI66" s="111">
        <f ca="1">FU66+GB66</f>
        <v>12756.629359960138</v>
      </c>
      <c r="GJ66" s="112">
        <f t="shared" si="192"/>
        <v>-2.5795275590551184E-2</v>
      </c>
      <c r="GK66" s="111">
        <f ca="1">FW66+GD66</f>
        <v>-12301.863764361429</v>
      </c>
      <c r="GL66" s="112">
        <f t="shared" si="193"/>
        <v>-2.5795275590551184E-2</v>
      </c>
      <c r="GN66" s="69">
        <f t="shared" si="244"/>
        <v>-2.5795275590551184E-2</v>
      </c>
      <c r="GO66" s="113">
        <f ca="1">GO65</f>
        <v>-0.12291462570414569</v>
      </c>
      <c r="GP66" s="113">
        <f t="shared" ref="GP66" ca="1" si="293">GP65</f>
        <v>-0.1042194241060993</v>
      </c>
      <c r="GQ66" s="113">
        <f t="shared" ref="GQ66" ca="1" si="294">GQ65</f>
        <v>9.2912855515514314E-2</v>
      </c>
      <c r="GR66" s="113">
        <f t="shared" ref="GR66" ca="1" si="295">GR65</f>
        <v>9.5258367331013227E-2</v>
      </c>
      <c r="GS66" s="113">
        <f t="shared" ref="GS66" ca="1" si="296">GS65</f>
        <v>4.5105949953380238</v>
      </c>
      <c r="GT66" s="113">
        <f t="shared" ref="GT66" ca="1" si="297">GT65</f>
        <v>4.5256242600608294</v>
      </c>
      <c r="GU66" s="113">
        <f t="shared" ref="GU66" ca="1" si="298">GU65</f>
        <v>-9.217773502308757E-2</v>
      </c>
      <c r="HO66" s="57"/>
      <c r="HP66" s="57"/>
      <c r="HQ66" s="57"/>
      <c r="HR66" s="57"/>
      <c r="HS66" s="57"/>
      <c r="HT66" s="57"/>
      <c r="HU66" s="57"/>
      <c r="HV66" s="57"/>
      <c r="HW66" s="57"/>
      <c r="HX66" s="57"/>
      <c r="HY66" s="57"/>
      <c r="HZ66" s="57"/>
      <c r="IA66" s="57"/>
      <c r="IB66" s="57"/>
      <c r="IC66" s="57"/>
      <c r="IJ66" s="57"/>
      <c r="IK66" s="57"/>
      <c r="IL66" s="57"/>
      <c r="IM66" s="57"/>
      <c r="IN66" s="57"/>
      <c r="IO66" s="57"/>
      <c r="IP66" s="57"/>
    </row>
    <row r="67" spans="1:250" ht="15.6" x14ac:dyDescent="0.3">
      <c r="A67" s="215"/>
      <c r="B67" s="225" t="str">
        <f>$H$4</f>
        <v>LAMINATE STRESS ANALYSIS</v>
      </c>
      <c r="C67" s="215"/>
      <c r="D67" s="215"/>
      <c r="E67" s="215"/>
      <c r="F67" s="215"/>
      <c r="G67" s="215"/>
      <c r="H67" s="215"/>
      <c r="I67" s="226"/>
      <c r="J67" s="223"/>
      <c r="K67" s="215"/>
      <c r="L67" s="215"/>
      <c r="M67" s="76"/>
      <c r="N67" s="205"/>
      <c r="O67" s="205"/>
      <c r="AD67" s="121"/>
      <c r="AE67" s="81"/>
      <c r="AF67" s="57"/>
      <c r="CR67" s="77">
        <f>CR64+1</f>
        <v>18</v>
      </c>
      <c r="CS67" s="44"/>
      <c r="CT67" s="44"/>
      <c r="CU67" s="48" t="s">
        <v>129</v>
      </c>
      <c r="CV67" s="92">
        <f ca="1">AE70</f>
        <v>4.5648610417658959E-4</v>
      </c>
      <c r="CW67" s="57"/>
      <c r="CX67" s="93">
        <f ca="1">BD33</f>
        <v>7729425.2813704489</v>
      </c>
      <c r="CY67" s="94">
        <f ca="1">BF33</f>
        <v>456036.09160085651</v>
      </c>
      <c r="CZ67" s="95">
        <f ca="1">BH33</f>
        <v>0</v>
      </c>
      <c r="DA67" s="57"/>
      <c r="DB67" s="78">
        <f t="array" aca="1" ref="DB67:DB69" ca="1">MMULT(CX67:CZ69,CV67:CV69)</f>
        <v>3546.9813186371889</v>
      </c>
      <c r="DC67" s="57"/>
      <c r="DD67" s="96"/>
      <c r="DE67" s="97"/>
      <c r="DF67" s="97"/>
      <c r="DG67" s="97"/>
      <c r="DH67" s="97"/>
      <c r="DI67" s="98"/>
      <c r="DJ67" s="57">
        <f>DJ64+1</f>
        <v>18</v>
      </c>
      <c r="DK67" s="57"/>
      <c r="DL67" s="57"/>
      <c r="DM67" s="87" t="s">
        <v>129</v>
      </c>
      <c r="DN67" s="99">
        <f ca="1">INDEX(DE16:DE115,MATCH(DJ67,A16:A50,0))</f>
        <v>6.009787937543188E-3</v>
      </c>
      <c r="DO67" s="57"/>
      <c r="DP67" s="57"/>
      <c r="DQ67" s="87" t="s">
        <v>130</v>
      </c>
      <c r="DR67" s="99">
        <f ca="1">INDEX(DD16:DD115,MATCH(DJ67,A16:A50,0))</f>
        <v>6.8683290714779298E-3</v>
      </c>
      <c r="DS67" s="57"/>
      <c r="DT67" s="93">
        <f ca="1">CX67</f>
        <v>7729425.2813704489</v>
      </c>
      <c r="DU67" s="94">
        <f t="shared" ca="1" si="102"/>
        <v>456036.09160085651</v>
      </c>
      <c r="DV67" s="95">
        <f t="shared" ca="1" si="103"/>
        <v>0</v>
      </c>
      <c r="DW67" s="57"/>
      <c r="DX67" s="80">
        <f t="array" aca="1" ref="DX67:DX69" ca="1">MMULT(DT67:DV69,DN67:DN69)</f>
        <v>46876.481381621314</v>
      </c>
      <c r="DY67" s="80"/>
      <c r="DZ67" s="80">
        <f t="array" aca="1" ref="DZ67:DZ69" ca="1">MMULT(DT67:DV69,DR67:DR69)</f>
        <v>53573.121578995786</v>
      </c>
      <c r="FJ67" s="107">
        <f t="shared" ca="1" si="257"/>
        <v>0.19492106913437524</v>
      </c>
      <c r="FK67" s="107">
        <f t="shared" ca="1" si="257"/>
        <v>0.7843847629400329</v>
      </c>
      <c r="FL67" s="107">
        <f t="shared" ca="1" si="257"/>
        <v>0.91358915511558236</v>
      </c>
      <c r="FM67" s="107">
        <f t="shared" ca="1" si="257"/>
        <v>0.93704097291625654</v>
      </c>
      <c r="FN67" s="107">
        <f t="shared" ca="1" si="257"/>
        <v>0.97355877171976468</v>
      </c>
      <c r="FO67" s="107">
        <f t="shared" ca="1" si="257"/>
        <v>6.8004192483298276</v>
      </c>
      <c r="FP67" s="107">
        <f t="shared" ca="1" si="257"/>
        <v>2.0736966701017794</v>
      </c>
      <c r="FR67" s="82"/>
      <c r="FS67" s="61">
        <v>0</v>
      </c>
      <c r="FT67" s="69">
        <f>FT66</f>
        <v>-2.5795275590551184E-2</v>
      </c>
      <c r="FU67" s="61">
        <v>0</v>
      </c>
      <c r="FV67" s="69">
        <f t="shared" si="290"/>
        <v>-2.5795275590551184E-2</v>
      </c>
      <c r="FW67" s="69">
        <v>0</v>
      </c>
      <c r="FX67" s="70">
        <f t="shared" si="291"/>
        <v>-2.5795275590551184E-2</v>
      </c>
      <c r="FY67" s="82"/>
      <c r="FZ67" s="61">
        <v>0</v>
      </c>
      <c r="GA67" s="69">
        <f>GA66</f>
        <v>-2.5795275590551184E-2</v>
      </c>
      <c r="GB67" s="61">
        <v>0</v>
      </c>
      <c r="GC67" s="109">
        <f t="shared" si="191"/>
        <v>-2.5795275590551184E-2</v>
      </c>
      <c r="GD67" s="61">
        <v>0</v>
      </c>
      <c r="GE67" s="110">
        <f t="shared" si="292"/>
        <v>-2.5795275590551184E-2</v>
      </c>
      <c r="GF67" s="84"/>
      <c r="GG67" s="111">
        <v>0</v>
      </c>
      <c r="GH67" s="85">
        <f>GH66</f>
        <v>-2.5795275590551184E-2</v>
      </c>
      <c r="GI67" s="112">
        <v>0</v>
      </c>
      <c r="GJ67" s="112">
        <f t="shared" si="192"/>
        <v>-2.5795275590551184E-2</v>
      </c>
      <c r="GK67" s="112">
        <v>0</v>
      </c>
      <c r="GL67" s="112">
        <f t="shared" si="193"/>
        <v>-2.5795275590551184E-2</v>
      </c>
      <c r="GN67" s="69">
        <f t="shared" si="244"/>
        <v>-2.5795275590551184E-2</v>
      </c>
      <c r="GO67" s="113"/>
      <c r="GP67" s="113"/>
      <c r="GQ67" s="113"/>
      <c r="GR67" s="113"/>
      <c r="GS67" s="113"/>
      <c r="GT67" s="113"/>
      <c r="GU67" s="113"/>
      <c r="HO67" s="57"/>
      <c r="HP67" s="57"/>
      <c r="HQ67" s="57"/>
      <c r="HR67" s="57"/>
      <c r="HS67" s="57"/>
      <c r="HT67" s="57"/>
      <c r="HU67" s="57"/>
      <c r="HV67" s="57"/>
      <c r="HW67" s="57"/>
      <c r="HX67" s="57"/>
      <c r="HY67" s="57"/>
      <c r="HZ67" s="57"/>
      <c r="IA67" s="57"/>
      <c r="IB67" s="57"/>
      <c r="IC67" s="57"/>
      <c r="IJ67" s="57"/>
      <c r="IK67" s="57"/>
      <c r="IL67" s="57"/>
      <c r="IM67" s="57"/>
      <c r="IN67" s="57"/>
      <c r="IO67" s="57"/>
      <c r="IP67" s="57"/>
    </row>
    <row r="68" spans="1:250" x14ac:dyDescent="0.3">
      <c r="A68" s="139"/>
      <c r="B68" s="168" t="s">
        <v>70</v>
      </c>
      <c r="C68" s="169"/>
      <c r="D68" s="169"/>
      <c r="E68" s="169"/>
      <c r="F68" s="169"/>
      <c r="G68" s="169"/>
      <c r="H68" s="139"/>
      <c r="I68" s="139"/>
      <c r="J68" s="139"/>
      <c r="K68" s="139"/>
      <c r="AD68" s="121"/>
      <c r="AE68" s="81"/>
      <c r="AF68" s="57"/>
      <c r="AJ68" s="57"/>
      <c r="AK68" s="58" t="s">
        <v>42</v>
      </c>
      <c r="AL68" s="58"/>
      <c r="CR68" s="77"/>
      <c r="CS68" s="44"/>
      <c r="CT68" s="44"/>
      <c r="CU68" s="48" t="s">
        <v>131</v>
      </c>
      <c r="CV68" s="92">
        <f ca="1">AE71</f>
        <v>4.0799587495451728E-5</v>
      </c>
      <c r="CW68" s="57"/>
      <c r="CX68" s="90">
        <f ca="1">BG33</f>
        <v>456036.09160085651</v>
      </c>
      <c r="CY68" s="83">
        <f ca="1">BE33</f>
        <v>7729425.2813704489</v>
      </c>
      <c r="CZ68" s="91">
        <f ca="1">BK33</f>
        <v>0</v>
      </c>
      <c r="DA68" s="57"/>
      <c r="DB68" s="78">
        <f ca="1"/>
        <v>523.53150187562358</v>
      </c>
      <c r="DC68" s="57"/>
      <c r="DD68" s="96"/>
      <c r="DE68" s="97"/>
      <c r="DF68" s="97"/>
      <c r="DG68" s="97"/>
      <c r="DH68" s="97"/>
      <c r="DI68" s="98"/>
      <c r="DJ68" s="57"/>
      <c r="DK68" s="57"/>
      <c r="DL68" s="57"/>
      <c r="DM68" s="87" t="s">
        <v>131</v>
      </c>
      <c r="DN68" s="99">
        <f ca="1">INDEX(DG16:DG115,MATCH(DJ67,A16:A50,0))</f>
        <v>9.3035303414355547E-4</v>
      </c>
      <c r="DO68" s="57"/>
      <c r="DP68" s="57"/>
      <c r="DQ68" s="87" t="s">
        <v>132</v>
      </c>
      <c r="DR68" s="99">
        <f ca="1">INDEX(DF16:DF115,MATCH(DJ67,A16:A50,0))</f>
        <v>1.0632606104497776E-3</v>
      </c>
      <c r="DS68" s="57"/>
      <c r="DT68" s="90">
        <f t="shared" ref="DT68:DT69" ca="1" si="299">CX68</f>
        <v>456036.09160085651</v>
      </c>
      <c r="DU68" s="83">
        <f t="shared" ca="1" si="102"/>
        <v>7729425.2813704489</v>
      </c>
      <c r="DV68" s="91">
        <f t="shared" ca="1" si="103"/>
        <v>0</v>
      </c>
      <c r="DW68" s="57"/>
      <c r="DX68" s="80">
        <f ca="1"/>
        <v>9931.7744650960703</v>
      </c>
      <c r="DY68" s="80"/>
      <c r="DZ68" s="80">
        <f ca="1"/>
        <v>11350.599388681221</v>
      </c>
      <c r="FJ68" s="107">
        <f t="shared" ca="1" si="257"/>
        <v>-0.60469070532983937</v>
      </c>
      <c r="FK68" s="107">
        <f t="shared" ca="1" si="257"/>
        <v>-0.5968568645096215</v>
      </c>
      <c r="FL68" s="107">
        <f t="shared" ca="1" si="257"/>
        <v>-0.16540904367384013</v>
      </c>
      <c r="FM68" s="107">
        <f t="shared" ca="1" si="257"/>
        <v>-0.16442657471190314</v>
      </c>
      <c r="FN68" s="107">
        <f t="shared" ca="1" si="257"/>
        <v>1.5747674545474015</v>
      </c>
      <c r="FO68" s="107">
        <f t="shared" ca="1" si="257"/>
        <v>1.5761241650792241</v>
      </c>
      <c r="FP68" s="107">
        <f t="shared" ca="1" si="257"/>
        <v>-0.59182515891694121</v>
      </c>
      <c r="FR68" s="82">
        <f>FR64+1</f>
        <v>14</v>
      </c>
      <c r="FS68" s="61">
        <v>0</v>
      </c>
      <c r="FT68" s="69">
        <f>INDEX(AF16:AF115,MATCH(GF68,A16:A115,0))</f>
        <v>-2.5795275590551177E-2</v>
      </c>
      <c r="FU68" s="61">
        <v>0</v>
      </c>
      <c r="FV68" s="69">
        <f>FT68</f>
        <v>-2.5795275590551177E-2</v>
      </c>
      <c r="FW68" s="69">
        <v>0</v>
      </c>
      <c r="FX68" s="70">
        <f>FV68</f>
        <v>-2.5795275590551177E-2</v>
      </c>
      <c r="FY68" s="82">
        <f>FY64+1</f>
        <v>14</v>
      </c>
      <c r="FZ68" s="61">
        <v>0</v>
      </c>
      <c r="GA68" s="69">
        <f>FT68</f>
        <v>-2.5795275590551177E-2</v>
      </c>
      <c r="GB68" s="108">
        <v>0</v>
      </c>
      <c r="GC68" s="109">
        <f t="shared" si="191"/>
        <v>-2.5795275590551177E-2</v>
      </c>
      <c r="GD68" s="61">
        <v>0</v>
      </c>
      <c r="GE68" s="110">
        <f>GC68</f>
        <v>-2.5795275590551177E-2</v>
      </c>
      <c r="GF68" s="84">
        <f>GF64+1</f>
        <v>14</v>
      </c>
      <c r="GG68" s="111">
        <v>0</v>
      </c>
      <c r="GH68" s="85">
        <f>FT68</f>
        <v>-2.5795275590551177E-2</v>
      </c>
      <c r="GI68" s="112">
        <v>0</v>
      </c>
      <c r="GJ68" s="112">
        <f t="shared" si="192"/>
        <v>-2.5795275590551177E-2</v>
      </c>
      <c r="GK68" s="112">
        <v>0</v>
      </c>
      <c r="GL68" s="112">
        <f t="shared" si="193"/>
        <v>-2.5795275590551177E-2</v>
      </c>
      <c r="GM68" s="117">
        <f>GM64+1</f>
        <v>14</v>
      </c>
      <c r="GN68" s="69">
        <f t="shared" si="244"/>
        <v>-2.5795275590551177E-2</v>
      </c>
      <c r="GO68" s="113"/>
      <c r="GP68" s="113"/>
      <c r="GQ68" s="113"/>
      <c r="GR68" s="113"/>
      <c r="GS68" s="113"/>
      <c r="GT68" s="113"/>
      <c r="GU68" s="113"/>
      <c r="HO68" s="57"/>
      <c r="HP68" s="57"/>
      <c r="HQ68" s="57"/>
      <c r="HR68" s="57"/>
      <c r="HS68" s="57"/>
      <c r="HT68" s="57"/>
      <c r="HU68" s="57"/>
      <c r="HV68" s="57"/>
      <c r="HW68" s="57"/>
      <c r="HX68" s="57"/>
      <c r="HY68" s="57"/>
      <c r="HZ68" s="57"/>
      <c r="IA68" s="57"/>
      <c r="IB68" s="57"/>
      <c r="IC68" s="57"/>
      <c r="IJ68" s="57"/>
      <c r="IK68" s="57"/>
      <c r="IL68" s="57"/>
      <c r="IM68" s="57"/>
      <c r="IN68" s="57"/>
      <c r="IO68" s="57"/>
      <c r="IP68" s="57"/>
    </row>
    <row r="69" spans="1:250" x14ac:dyDescent="0.3">
      <c r="A69" s="137"/>
      <c r="B69" s="187" t="s">
        <v>11</v>
      </c>
      <c r="C69" s="139"/>
      <c r="D69" s="139"/>
      <c r="E69" s="137" t="s">
        <v>7</v>
      </c>
      <c r="F69" s="188">
        <v>1</v>
      </c>
      <c r="G69" s="139" t="s">
        <v>213</v>
      </c>
      <c r="H69" s="169"/>
      <c r="J69" s="139"/>
      <c r="K69" s="139"/>
      <c r="AD69" s="121"/>
      <c r="AE69" s="148" t="s">
        <v>13</v>
      </c>
      <c r="AF69" s="57"/>
      <c r="AJ69" s="57"/>
      <c r="AK69" s="58"/>
      <c r="AL69" s="58" t="s">
        <v>47</v>
      </c>
      <c r="CR69" s="77"/>
      <c r="CS69" s="44"/>
      <c r="CT69" s="44"/>
      <c r="CU69" s="48" t="s">
        <v>133</v>
      </c>
      <c r="CV69" s="92">
        <f ca="1">AE72</f>
        <v>-2.771243444540907E-4</v>
      </c>
      <c r="CW69" s="57"/>
      <c r="CX69" s="114">
        <f ca="1">BI33</f>
        <v>0</v>
      </c>
      <c r="CY69" s="115">
        <f ca="1">BJ33</f>
        <v>0</v>
      </c>
      <c r="CZ69" s="116">
        <f ca="1">BL33</f>
        <v>559990.70641799993</v>
      </c>
      <c r="DA69" s="57"/>
      <c r="DB69" s="78">
        <f ca="1"/>
        <v>-155.18705741647139</v>
      </c>
      <c r="DC69" s="57"/>
      <c r="DD69" s="96"/>
      <c r="DE69" s="97"/>
      <c r="DF69" s="97"/>
      <c r="DG69" s="97"/>
      <c r="DH69" s="97"/>
      <c r="DI69" s="98"/>
      <c r="DJ69" s="57"/>
      <c r="DK69" s="57"/>
      <c r="DL69" s="57"/>
      <c r="DM69" s="87" t="s">
        <v>133</v>
      </c>
      <c r="DN69" s="99">
        <f ca="1">INDEX(DI16:DI115,MATCH(DJ67,A16:A50,0))</f>
        <v>-7.2463540768238121E-3</v>
      </c>
      <c r="DO69" s="57"/>
      <c r="DP69" s="57"/>
      <c r="DQ69" s="87" t="s">
        <v>134</v>
      </c>
      <c r="DR69" s="99">
        <f ca="1">INDEX(DH16:DH115,MATCH(DJ67,A16:A50,0))</f>
        <v>-8.2815475163700719E-3</v>
      </c>
      <c r="DS69" s="57"/>
      <c r="DT69" s="114">
        <f t="shared" ca="1" si="299"/>
        <v>0</v>
      </c>
      <c r="DU69" s="115">
        <f t="shared" ca="1" si="102"/>
        <v>0</v>
      </c>
      <c r="DV69" s="116">
        <f t="shared" ca="1" si="103"/>
        <v>559990.70641799993</v>
      </c>
      <c r="DW69" s="57"/>
      <c r="DX69" s="80">
        <f ca="1"/>
        <v>-4057.8909384355202</v>
      </c>
      <c r="DY69" s="80"/>
      <c r="DZ69" s="80">
        <f ca="1"/>
        <v>-4637.5896439263097</v>
      </c>
      <c r="FJ69" s="107">
        <f t="shared" ca="1" si="257"/>
        <v>-8.6326810275440646E-2</v>
      </c>
      <c r="FK69" s="107">
        <f t="shared" ca="1" si="257"/>
        <v>0.36188614148996257</v>
      </c>
      <c r="FL69" s="107">
        <f t="shared" ca="1" si="257"/>
        <v>0.67494088514685679</v>
      </c>
      <c r="FM69" s="107">
        <f t="shared" ca="1" si="257"/>
        <v>0.69289011716856308</v>
      </c>
      <c r="FN69" s="107">
        <f t="shared" ca="1" si="257"/>
        <v>0.51080704922147668</v>
      </c>
      <c r="FO69" s="107">
        <f t="shared" ca="1" si="257"/>
        <v>4.9362947332892677</v>
      </c>
      <c r="FP69" s="107">
        <f t="shared" ca="1" si="257"/>
        <v>1.3301535877670063</v>
      </c>
      <c r="FR69" s="82"/>
      <c r="FS69" s="69">
        <f ca="1">INDEX(EB16:EB115,MATCH(GF68,A16:A115,0))</f>
        <v>2268.0369963811145</v>
      </c>
      <c r="FT69" s="69">
        <f>FT68</f>
        <v>-2.5795275590551177E-2</v>
      </c>
      <c r="FU69" s="69">
        <f ca="1">INDEX(EC16:EC115,MATCH(GF68,A16:A115,0))</f>
        <v>1802.4758241316983</v>
      </c>
      <c r="FV69" s="69">
        <f t="shared" ref="FV69:FV71" si="300">FT69</f>
        <v>-2.5795275590551177E-2</v>
      </c>
      <c r="FW69" s="69">
        <f ca="1">INDEX(ED16:ED115,MATCH(GF68,A16:A115,0))</f>
        <v>-1007.8166055871841</v>
      </c>
      <c r="FX69" s="70">
        <f t="shared" ref="FX69:FX71" si="301">FV69</f>
        <v>-2.5795275590551177E-2</v>
      </c>
      <c r="FY69" s="82"/>
      <c r="FZ69" s="101">
        <f ca="1">INDEX(EE16:EE115,MATCH(GF68,A16:A115,0))</f>
        <v>13392.24182705044</v>
      </c>
      <c r="GA69" s="69">
        <f>GA68</f>
        <v>-2.5795275590551177E-2</v>
      </c>
      <c r="GB69" s="61">
        <f ca="1">INDEX(EG16:EG115,MATCH(GF68,A16:A115,0))</f>
        <v>10954.153535828435</v>
      </c>
      <c r="GC69" s="109">
        <f t="shared" si="191"/>
        <v>-2.5795275590551177E-2</v>
      </c>
      <c r="GD69" s="69">
        <f ca="1">INDEX(EI16:EI115,MATCH(GF68,A16:A115,0))</f>
        <v>-11294.047158774241</v>
      </c>
      <c r="GE69" s="110">
        <f t="shared" ref="GE69:GE71" si="302">GC69</f>
        <v>-2.5795275590551177E-2</v>
      </c>
      <c r="GF69" s="84"/>
      <c r="GG69" s="111">
        <f ca="1">FS69+FZ69</f>
        <v>15660.278823431556</v>
      </c>
      <c r="GH69" s="85">
        <f>GH68</f>
        <v>-2.5795275590551177E-2</v>
      </c>
      <c r="GI69" s="111">
        <f ca="1">FU69+GB69</f>
        <v>12756.629359960132</v>
      </c>
      <c r="GJ69" s="112">
        <f t="shared" si="192"/>
        <v>-2.5795275590551177E-2</v>
      </c>
      <c r="GK69" s="111">
        <f ca="1">FW69+GD69</f>
        <v>-12301.863764361426</v>
      </c>
      <c r="GL69" s="112">
        <f t="shared" si="193"/>
        <v>-2.5795275590551177E-2</v>
      </c>
      <c r="GN69" s="69">
        <f t="shared" si="244"/>
        <v>-2.5795275590551177E-2</v>
      </c>
      <c r="GO69" s="113">
        <f ca="1">INDEX(FJ16:FJ115,MATCH(GM68,A16:A115,0))</f>
        <v>-0.32773362286661467</v>
      </c>
      <c r="GP69" s="113">
        <f ca="1">INDEX(FK16:FK115,MATCH(GM68,A16:A115,0))</f>
        <v>-0.31383696292188745</v>
      </c>
      <c r="GQ69" s="113">
        <f ca="1">INDEX(FL16:FL115,MATCH(GM68,A16:A115,0))</f>
        <v>-5.7531743675017788E-2</v>
      </c>
      <c r="GR69" s="113">
        <f ca="1">INDEX(FM16:FM115,MATCH(GM68,A16:A115,0))</f>
        <v>-5.5788558070171357E-2</v>
      </c>
      <c r="GS69" s="113">
        <f ca="1">INDEX(FN16:FN115,MATCH(GM68,A16:A115,0))</f>
        <v>3.2882087452112687</v>
      </c>
      <c r="GT69" s="113">
        <f ca="1">INDEX(FO16:FO115,MATCH(GM68,A16:A115,0))</f>
        <v>3.2959703239100797</v>
      </c>
      <c r="GU69" s="113">
        <f ca="1">INDEX(FP16:FP115,MATCH(GM68,A16:A115,0))</f>
        <v>-0.30489691304503697</v>
      </c>
      <c r="HO69" s="57"/>
      <c r="HP69" s="57"/>
      <c r="HQ69" s="57"/>
      <c r="HR69" s="57"/>
      <c r="HS69" s="57"/>
      <c r="HT69" s="57"/>
      <c r="HU69" s="57"/>
      <c r="HV69" s="57"/>
      <c r="HW69" s="57"/>
      <c r="HX69" s="57"/>
      <c r="HY69" s="57"/>
      <c r="HZ69" s="57"/>
      <c r="IA69" s="57"/>
      <c r="IB69" s="57"/>
      <c r="IC69" s="57"/>
      <c r="IJ69" s="57"/>
      <c r="IK69" s="57"/>
      <c r="IL69" s="57"/>
      <c r="IM69" s="57"/>
      <c r="IN69" s="57"/>
      <c r="IO69" s="57"/>
      <c r="IP69" s="57"/>
    </row>
    <row r="70" spans="1:250" x14ac:dyDescent="0.3">
      <c r="A70" s="145"/>
      <c r="B70" s="139"/>
      <c r="C70" s="139"/>
      <c r="D70" s="139"/>
      <c r="E70" s="137" t="s">
        <v>8</v>
      </c>
      <c r="F70" s="188">
        <v>1</v>
      </c>
      <c r="G70" s="139" t="s">
        <v>213</v>
      </c>
      <c r="H70" s="169"/>
      <c r="J70" s="139"/>
      <c r="K70" s="139"/>
      <c r="AD70" s="121"/>
      <c r="AE70" s="177">
        <f ca="1">AT86</f>
        <v>4.5648610417658959E-4</v>
      </c>
      <c r="AF70" s="57"/>
      <c r="AJ70" s="57"/>
      <c r="AK70" s="58" t="s">
        <v>46</v>
      </c>
      <c r="AL70" s="58" t="s">
        <v>46</v>
      </c>
      <c r="CR70" s="77">
        <f>CR67+1</f>
        <v>19</v>
      </c>
      <c r="CS70" s="44"/>
      <c r="CT70" s="44"/>
      <c r="CU70" s="48" t="s">
        <v>129</v>
      </c>
      <c r="CV70" s="92">
        <f ca="1">AE70</f>
        <v>4.5648610417658959E-4</v>
      </c>
      <c r="CW70" s="57"/>
      <c r="CX70" s="93">
        <f ca="1">BD34</f>
        <v>7729425.2813704489</v>
      </c>
      <c r="CY70" s="94">
        <f ca="1">BF34</f>
        <v>456036.09160085651</v>
      </c>
      <c r="CZ70" s="95">
        <f ca="1">BH34</f>
        <v>0</v>
      </c>
      <c r="DA70" s="57"/>
      <c r="DB70" s="78">
        <f t="array" aca="1" ref="DB70:DB72" ca="1">MMULT(CX70:CZ72,CV70:CV72)</f>
        <v>3546.9813186371889</v>
      </c>
      <c r="DC70" s="57"/>
      <c r="DD70" s="96"/>
      <c r="DE70" s="97"/>
      <c r="DF70" s="97"/>
      <c r="DG70" s="97"/>
      <c r="DH70" s="97"/>
      <c r="DI70" s="98"/>
      <c r="DJ70" s="57">
        <f>DJ67+1</f>
        <v>19</v>
      </c>
      <c r="DK70" s="57"/>
      <c r="DL70" s="57"/>
      <c r="DM70" s="87" t="s">
        <v>129</v>
      </c>
      <c r="DN70" s="99">
        <f ca="1">INDEX(DE16:DE115,MATCH(DJ70,A16:A50,0))</f>
        <v>6.8683290714779298E-3</v>
      </c>
      <c r="DO70" s="57"/>
      <c r="DP70" s="57"/>
      <c r="DQ70" s="87" t="s">
        <v>130</v>
      </c>
      <c r="DR70" s="99">
        <f ca="1">INDEX(DD16:DD115,MATCH(DJ70,A16:A50,0))</f>
        <v>7.7268702054126706E-3</v>
      </c>
      <c r="DS70" s="57"/>
      <c r="DT70" s="93">
        <f ca="1">CX70</f>
        <v>7729425.2813704489</v>
      </c>
      <c r="DU70" s="94">
        <f t="shared" ca="1" si="102"/>
        <v>456036.09160085651</v>
      </c>
      <c r="DV70" s="95">
        <f t="shared" ca="1" si="103"/>
        <v>0</v>
      </c>
      <c r="DW70" s="57"/>
      <c r="DX70" s="80">
        <f t="array" aca="1" ref="DX70:DX72" ca="1">MMULT(DT70:DV72,DN70:DN72)</f>
        <v>53573.121578995786</v>
      </c>
      <c r="DY70" s="80"/>
      <c r="DZ70" s="80">
        <f t="array" aca="1" ref="DZ70:DZ72" ca="1">MMULT(DT70:DV72,DR70:DR72)</f>
        <v>60269.761776370258</v>
      </c>
      <c r="FJ70" s="107">
        <f t="shared" ca="1" si="257"/>
        <v>-0.18253326658530811</v>
      </c>
      <c r="FK70" s="107">
        <f t="shared" ca="1" si="257"/>
        <v>0.21771570534597906</v>
      </c>
      <c r="FL70" s="107">
        <f t="shared" ca="1" si="257"/>
        <v>0.61248538284205645</v>
      </c>
      <c r="FM70" s="107">
        <f t="shared" ca="1" si="257"/>
        <v>0.62854965051015799</v>
      </c>
      <c r="FN70" s="107">
        <f t="shared" ca="1" si="257"/>
        <v>0.35226979511512035</v>
      </c>
      <c r="FO70" s="107">
        <f t="shared" ca="1" si="257"/>
        <v>4.3026837411894086</v>
      </c>
      <c r="FP70" s="107">
        <f t="shared" ca="1" si="257"/>
        <v>1.078726281705241</v>
      </c>
      <c r="FR70" s="82"/>
      <c r="FS70" s="69">
        <f ca="1">FS69</f>
        <v>2268.0369963811145</v>
      </c>
      <c r="FT70" s="69">
        <f>INDEX(AE16:AE115,MATCH(GF68,A16:A115,0))</f>
        <v>-3.4393700787401574E-2</v>
      </c>
      <c r="FU70" s="69">
        <f ca="1">FU69</f>
        <v>1802.4758241316983</v>
      </c>
      <c r="FV70" s="69">
        <f t="shared" si="300"/>
        <v>-3.4393700787401574E-2</v>
      </c>
      <c r="FW70" s="69">
        <f ca="1">FW69</f>
        <v>-1007.8166055871841</v>
      </c>
      <c r="FX70" s="70">
        <f t="shared" si="301"/>
        <v>-3.4393700787401574E-2</v>
      </c>
      <c r="FY70" s="82"/>
      <c r="FZ70" s="101">
        <f ca="1">INDEX(EF16:EF115,MATCH(GF68,A16:A115,0))</f>
        <v>17856.322436067258</v>
      </c>
      <c r="GA70" s="69">
        <f>FT70</f>
        <v>-3.4393700787401574E-2</v>
      </c>
      <c r="GB70" s="61">
        <f ca="1">INDEX(EH16:EH115,MATCH(GF68,A16:A115,0))</f>
        <v>14605.538047771252</v>
      </c>
      <c r="GC70" s="109">
        <f t="shared" si="191"/>
        <v>-3.4393700787401574E-2</v>
      </c>
      <c r="GD70" s="69">
        <f ca="1">INDEX(EJ16:EJ115,MATCH(GF68,A16:A115,0))</f>
        <v>-15058.729545032324</v>
      </c>
      <c r="GE70" s="110">
        <f t="shared" si="302"/>
        <v>-3.4393700787401574E-2</v>
      </c>
      <c r="GF70" s="84"/>
      <c r="GG70" s="111">
        <f ca="1">FS70+FZ70</f>
        <v>20124.359432448371</v>
      </c>
      <c r="GH70" s="85">
        <f>FT70</f>
        <v>-3.4393700787401574E-2</v>
      </c>
      <c r="GI70" s="111">
        <f ca="1">FU70+GB70</f>
        <v>16408.013871902949</v>
      </c>
      <c r="GJ70" s="112">
        <f t="shared" si="192"/>
        <v>-3.4393700787401574E-2</v>
      </c>
      <c r="GK70" s="111">
        <f ca="1">FW70+GD70</f>
        <v>-16066.546150619508</v>
      </c>
      <c r="GL70" s="112">
        <f t="shared" si="193"/>
        <v>-3.4393700787401574E-2</v>
      </c>
      <c r="GN70" s="69">
        <f t="shared" si="244"/>
        <v>-3.4393700787401574E-2</v>
      </c>
      <c r="GO70" s="113">
        <f ca="1">GO69</f>
        <v>-0.32773362286661467</v>
      </c>
      <c r="GP70" s="113">
        <f t="shared" ref="GP70" ca="1" si="303">GP69</f>
        <v>-0.31383696292188745</v>
      </c>
      <c r="GQ70" s="113">
        <f t="shared" ref="GQ70" ca="1" si="304">GQ69</f>
        <v>-5.7531743675017788E-2</v>
      </c>
      <c r="GR70" s="113">
        <f t="shared" ref="GR70" ca="1" si="305">GR69</f>
        <v>-5.5788558070171357E-2</v>
      </c>
      <c r="GS70" s="113">
        <f t="shared" ref="GS70" ca="1" si="306">GS69</f>
        <v>3.2882087452112687</v>
      </c>
      <c r="GT70" s="113">
        <f t="shared" ref="GT70" ca="1" si="307">GT69</f>
        <v>3.2959703239100797</v>
      </c>
      <c r="GU70" s="113">
        <f t="shared" ref="GU70" ca="1" si="308">GU69</f>
        <v>-0.30489691304503697</v>
      </c>
      <c r="HO70" s="57"/>
      <c r="HP70" s="57"/>
      <c r="HQ70" s="57"/>
      <c r="HR70" s="57"/>
      <c r="HS70" s="57"/>
      <c r="HT70" s="57"/>
      <c r="HU70" s="57"/>
      <c r="HV70" s="57"/>
      <c r="HW70" s="57"/>
      <c r="HX70" s="57"/>
      <c r="HY70" s="57"/>
      <c r="HZ70" s="57"/>
      <c r="IA70" s="57"/>
      <c r="IB70" s="57"/>
      <c r="IC70" s="57"/>
      <c r="IJ70" s="57"/>
      <c r="IK70" s="57"/>
      <c r="IL70" s="57"/>
      <c r="IM70" s="57"/>
      <c r="IN70" s="57"/>
      <c r="IO70" s="57"/>
      <c r="IP70" s="57"/>
    </row>
    <row r="71" spans="1:250" ht="15" x14ac:dyDescent="0.35">
      <c r="A71" s="145"/>
      <c r="B71" s="137" t="s">
        <v>173</v>
      </c>
      <c r="C71" s="138">
        <v>500</v>
      </c>
      <c r="D71" s="139" t="s">
        <v>214</v>
      </c>
      <c r="E71" s="137" t="s">
        <v>174</v>
      </c>
      <c r="F71" s="140">
        <f>C71/F69</f>
        <v>500</v>
      </c>
      <c r="G71" s="139" t="s">
        <v>216</v>
      </c>
      <c r="H71" s="56" t="s">
        <v>140</v>
      </c>
      <c r="I71" s="57"/>
      <c r="J71" s="57"/>
      <c r="K71" s="57"/>
      <c r="AD71" s="121"/>
      <c r="AE71" s="181">
        <f ca="1">AT87</f>
        <v>4.0799587495451728E-5</v>
      </c>
      <c r="AF71" s="57"/>
      <c r="AJ71" s="57"/>
      <c r="AK71" s="58"/>
      <c r="AL71" s="111"/>
      <c r="CR71" s="77"/>
      <c r="CS71" s="44"/>
      <c r="CT71" s="44"/>
      <c r="CU71" s="48" t="s">
        <v>131</v>
      </c>
      <c r="CV71" s="92">
        <f ca="1">AE71</f>
        <v>4.0799587495451728E-5</v>
      </c>
      <c r="CW71" s="57"/>
      <c r="CX71" s="90">
        <f ca="1">BG34</f>
        <v>456036.09160085651</v>
      </c>
      <c r="CY71" s="83">
        <f ca="1">BE34</f>
        <v>7729425.2813704489</v>
      </c>
      <c r="CZ71" s="91">
        <f ca="1">BK34</f>
        <v>0</v>
      </c>
      <c r="DA71" s="57"/>
      <c r="DB71" s="78">
        <f ca="1"/>
        <v>523.53150187562358</v>
      </c>
      <c r="DC71" s="57"/>
      <c r="DD71" s="96"/>
      <c r="DE71" s="97"/>
      <c r="DF71" s="97"/>
      <c r="DG71" s="97"/>
      <c r="DH71" s="97"/>
      <c r="DI71" s="98"/>
      <c r="DJ71" s="57"/>
      <c r="DK71" s="57"/>
      <c r="DL71" s="57"/>
      <c r="DM71" s="87" t="s">
        <v>131</v>
      </c>
      <c r="DN71" s="99">
        <f ca="1">INDEX(DG16:DG115,MATCH(DJ70,A16:A50,0))</f>
        <v>1.0632606104497776E-3</v>
      </c>
      <c r="DO71" s="57"/>
      <c r="DP71" s="57"/>
      <c r="DQ71" s="87" t="s">
        <v>132</v>
      </c>
      <c r="DR71" s="99">
        <f ca="1">INDEX(DF16:DF115,MATCH(DJ70,A16:A50,0))</f>
        <v>1.1961681867559998E-3</v>
      </c>
      <c r="DS71" s="57"/>
      <c r="DT71" s="90">
        <f t="shared" ref="DT71:DT72" ca="1" si="309">CX71</f>
        <v>456036.09160085651</v>
      </c>
      <c r="DU71" s="83">
        <f t="shared" ca="1" si="102"/>
        <v>7729425.2813704489</v>
      </c>
      <c r="DV71" s="91">
        <f t="shared" ca="1" si="103"/>
        <v>0</v>
      </c>
      <c r="DW71" s="57"/>
      <c r="DX71" s="80">
        <f ca="1"/>
        <v>11350.599388681221</v>
      </c>
      <c r="DY71" s="80"/>
      <c r="DZ71" s="80">
        <f ca="1"/>
        <v>12769.424312266376</v>
      </c>
      <c r="FJ71" s="107">
        <f t="shared" ca="1" si="257"/>
        <v>-0.72003332113961616</v>
      </c>
      <c r="FK71" s="107">
        <f t="shared" ca="1" si="257"/>
        <v>-0.71458330929133007</v>
      </c>
      <c r="FL71" s="107">
        <f t="shared" ca="1" si="257"/>
        <v>-0.10903986082912465</v>
      </c>
      <c r="FM71" s="107">
        <f t="shared" ca="1" si="257"/>
        <v>-0.10835640828708193</v>
      </c>
      <c r="FN71" s="107">
        <f t="shared" ca="1" si="257"/>
        <v>0.83968412844411255</v>
      </c>
      <c r="FO71" s="107">
        <f t="shared" ca="1" si="257"/>
        <v>0.83964271444092353</v>
      </c>
      <c r="FP71" s="107">
        <f t="shared" ca="1" si="257"/>
        <v>-0.71108499029510452</v>
      </c>
      <c r="FR71" s="82"/>
      <c r="FS71" s="61">
        <v>0</v>
      </c>
      <c r="FT71" s="69">
        <f>FT70</f>
        <v>-3.4393700787401574E-2</v>
      </c>
      <c r="FU71" s="61">
        <v>0</v>
      </c>
      <c r="FV71" s="69">
        <f t="shared" si="300"/>
        <v>-3.4393700787401574E-2</v>
      </c>
      <c r="FW71" s="69">
        <v>0</v>
      </c>
      <c r="FX71" s="70">
        <f t="shared" si="301"/>
        <v>-3.4393700787401574E-2</v>
      </c>
      <c r="FY71" s="82"/>
      <c r="FZ71" s="61">
        <v>0</v>
      </c>
      <c r="GA71" s="69">
        <f>GA70</f>
        <v>-3.4393700787401574E-2</v>
      </c>
      <c r="GB71" s="61">
        <v>0</v>
      </c>
      <c r="GC71" s="109">
        <f t="shared" si="191"/>
        <v>-3.4393700787401574E-2</v>
      </c>
      <c r="GD71" s="61">
        <v>0</v>
      </c>
      <c r="GE71" s="110">
        <f t="shared" si="302"/>
        <v>-3.4393700787401574E-2</v>
      </c>
      <c r="GF71" s="84"/>
      <c r="GG71" s="111">
        <v>0</v>
      </c>
      <c r="GH71" s="85">
        <f>GH70</f>
        <v>-3.4393700787401574E-2</v>
      </c>
      <c r="GI71" s="112">
        <v>0</v>
      </c>
      <c r="GJ71" s="112">
        <f t="shared" si="192"/>
        <v>-3.4393700787401574E-2</v>
      </c>
      <c r="GK71" s="112">
        <v>0</v>
      </c>
      <c r="GL71" s="112">
        <f t="shared" si="193"/>
        <v>-3.4393700787401574E-2</v>
      </c>
      <c r="GN71" s="69">
        <f t="shared" si="244"/>
        <v>-3.4393700787401574E-2</v>
      </c>
      <c r="GO71" s="113"/>
      <c r="GP71" s="113"/>
      <c r="GQ71" s="113"/>
      <c r="GR71" s="113"/>
      <c r="GS71" s="113"/>
      <c r="GT71" s="113"/>
      <c r="GU71" s="113"/>
      <c r="HO71" s="57"/>
      <c r="HP71" s="57"/>
      <c r="HQ71" s="57"/>
      <c r="HR71" s="57"/>
      <c r="HS71" s="57"/>
      <c r="HT71" s="57"/>
      <c r="HU71" s="57"/>
      <c r="HV71" s="57"/>
      <c r="HW71" s="57"/>
      <c r="HX71" s="57"/>
      <c r="HY71" s="57"/>
      <c r="HZ71" s="57"/>
      <c r="IA71" s="57"/>
      <c r="IB71" s="57"/>
      <c r="IC71" s="57"/>
      <c r="IJ71" s="57"/>
      <c r="IK71" s="57"/>
      <c r="IL71" s="57"/>
      <c r="IM71" s="57"/>
      <c r="IN71" s="57"/>
      <c r="IO71" s="57"/>
      <c r="IP71" s="57"/>
    </row>
    <row r="72" spans="1:250" ht="15" x14ac:dyDescent="0.35">
      <c r="A72" s="145"/>
      <c r="B72" s="137" t="s">
        <v>175</v>
      </c>
      <c r="C72" s="138">
        <v>200</v>
      </c>
      <c r="D72" s="139" t="s">
        <v>214</v>
      </c>
      <c r="E72" s="137" t="s">
        <v>176</v>
      </c>
      <c r="F72" s="140">
        <f>C72/F70</f>
        <v>200</v>
      </c>
      <c r="G72" s="139" t="s">
        <v>216</v>
      </c>
      <c r="H72" s="57"/>
      <c r="I72" s="87" t="s">
        <v>141</v>
      </c>
      <c r="J72" s="151">
        <f ca="1">FJ88</f>
        <v>-0.72003332113961616</v>
      </c>
      <c r="K72" s="57" t="str">
        <f ca="1">"Ply "&amp;AC191</f>
        <v>Ply 20</v>
      </c>
      <c r="AD72" s="121"/>
      <c r="AE72" s="185">
        <f ca="1">AT88</f>
        <v>-2.771243444540907E-4</v>
      </c>
      <c r="AF72" s="57"/>
      <c r="AK72" s="58">
        <f ca="1">(HS25+HS26)/2+(((HS25-HS26)/2)^2+(HS27/2)^2)^0.5</f>
        <v>1.1760213454252023E-2</v>
      </c>
      <c r="CR72" s="77"/>
      <c r="CS72" s="44"/>
      <c r="CT72" s="44"/>
      <c r="CU72" s="48" t="s">
        <v>133</v>
      </c>
      <c r="CV72" s="92">
        <f ca="1">AE72</f>
        <v>-2.771243444540907E-4</v>
      </c>
      <c r="CW72" s="57"/>
      <c r="CX72" s="114">
        <f ca="1">BI34</f>
        <v>0</v>
      </c>
      <c r="CY72" s="115">
        <f ca="1">BJ34</f>
        <v>0</v>
      </c>
      <c r="CZ72" s="116">
        <f ca="1">BL34</f>
        <v>559990.70641799993</v>
      </c>
      <c r="DA72" s="57"/>
      <c r="DB72" s="78">
        <f ca="1"/>
        <v>-155.18705741647139</v>
      </c>
      <c r="DC72" s="57"/>
      <c r="DD72" s="96"/>
      <c r="DE72" s="97"/>
      <c r="DF72" s="97"/>
      <c r="DG72" s="97"/>
      <c r="DH72" s="97"/>
      <c r="DI72" s="98"/>
      <c r="DJ72" s="57"/>
      <c r="DK72" s="57"/>
      <c r="DL72" s="57"/>
      <c r="DM72" s="87" t="s">
        <v>133</v>
      </c>
      <c r="DN72" s="99">
        <f ca="1">INDEX(DI16:DI115,MATCH(DJ70,A16:A50,0))</f>
        <v>-8.2815475163700719E-3</v>
      </c>
      <c r="DO72" s="57"/>
      <c r="DP72" s="57"/>
      <c r="DQ72" s="87" t="s">
        <v>134</v>
      </c>
      <c r="DR72" s="99">
        <f ca="1">INDEX(DH16:DH115,MATCH(DJ70,A16:A50,0))</f>
        <v>-9.3167409559163309E-3</v>
      </c>
      <c r="DS72" s="57"/>
      <c r="DT72" s="114">
        <f t="shared" ca="1" si="309"/>
        <v>0</v>
      </c>
      <c r="DU72" s="115">
        <f t="shared" ca="1" si="102"/>
        <v>0</v>
      </c>
      <c r="DV72" s="116">
        <f t="shared" ca="1" si="103"/>
        <v>559990.70641799993</v>
      </c>
      <c r="DW72" s="57"/>
      <c r="DX72" s="80">
        <f ca="1"/>
        <v>-4637.5896439263097</v>
      </c>
      <c r="DY72" s="80"/>
      <c r="DZ72" s="80">
        <f ca="1"/>
        <v>-5217.2883494170983</v>
      </c>
      <c r="FJ72" s="107" t="str">
        <f t="shared" ca="1" si="257"/>
        <v/>
      </c>
      <c r="FK72" s="107" t="str">
        <f t="shared" ca="1" si="257"/>
        <v/>
      </c>
      <c r="FL72" s="107" t="str">
        <f t="shared" ca="1" si="257"/>
        <v/>
      </c>
      <c r="FM72" s="107" t="str">
        <f t="shared" ca="1" si="257"/>
        <v/>
      </c>
      <c r="FN72" s="107" t="str">
        <f t="shared" ca="1" si="257"/>
        <v/>
      </c>
      <c r="FO72" s="107" t="str">
        <f t="shared" ca="1" si="257"/>
        <v/>
      </c>
      <c r="FP72" s="107" t="str">
        <f t="shared" ca="1" si="257"/>
        <v/>
      </c>
      <c r="FR72" s="82">
        <f>FR68+1</f>
        <v>15</v>
      </c>
      <c r="FS72" s="61">
        <v>0</v>
      </c>
      <c r="FT72" s="69">
        <f>INDEX(AF16:AF115,MATCH(GF72,A16:A115,0))</f>
        <v>-3.4393700787401581E-2</v>
      </c>
      <c r="FU72" s="61">
        <v>0</v>
      </c>
      <c r="FV72" s="69">
        <f>FT72</f>
        <v>-3.4393700787401581E-2</v>
      </c>
      <c r="FW72" s="69">
        <v>0</v>
      </c>
      <c r="FX72" s="70">
        <f>FV72</f>
        <v>-3.4393700787401581E-2</v>
      </c>
      <c r="FY72" s="82">
        <f>FY68+1</f>
        <v>15</v>
      </c>
      <c r="FZ72" s="61">
        <v>0</v>
      </c>
      <c r="GA72" s="69">
        <f>FT72</f>
        <v>-3.4393700787401581E-2</v>
      </c>
      <c r="GB72" s="108">
        <v>0</v>
      </c>
      <c r="GC72" s="109">
        <f t="shared" si="191"/>
        <v>-3.4393700787401581E-2</v>
      </c>
      <c r="GD72" s="61">
        <v>0</v>
      </c>
      <c r="GE72" s="110">
        <f>GC72</f>
        <v>-3.4393700787401581E-2</v>
      </c>
      <c r="GF72" s="84">
        <f>GF68+1</f>
        <v>15</v>
      </c>
      <c r="GG72" s="111">
        <v>0</v>
      </c>
      <c r="GH72" s="85">
        <f>FT72</f>
        <v>-3.4393700787401581E-2</v>
      </c>
      <c r="GI72" s="112">
        <v>0</v>
      </c>
      <c r="GJ72" s="112">
        <f t="shared" si="192"/>
        <v>-3.4393700787401581E-2</v>
      </c>
      <c r="GK72" s="112">
        <v>0</v>
      </c>
      <c r="GL72" s="112">
        <f t="shared" si="193"/>
        <v>-3.4393700787401581E-2</v>
      </c>
      <c r="GM72" s="117">
        <f>GM68+1</f>
        <v>15</v>
      </c>
      <c r="GN72" s="69">
        <f t="shared" si="244"/>
        <v>-3.4393700787401581E-2</v>
      </c>
      <c r="GO72" s="113"/>
      <c r="GP72" s="113"/>
      <c r="GQ72" s="113"/>
      <c r="GR72" s="113"/>
      <c r="GS72" s="113"/>
      <c r="GT72" s="113"/>
      <c r="GU72" s="113"/>
      <c r="HO72" s="57"/>
      <c r="HP72" s="57"/>
      <c r="HQ72" s="57"/>
      <c r="HR72" s="57"/>
      <c r="HS72" s="57"/>
      <c r="HT72" s="57"/>
      <c r="HU72" s="57"/>
      <c r="HV72" s="57"/>
      <c r="HW72" s="57"/>
      <c r="HX72" s="57"/>
      <c r="HY72" s="57"/>
      <c r="HZ72" s="57"/>
      <c r="IA72" s="57"/>
      <c r="IB72" s="57"/>
      <c r="IC72" s="57"/>
      <c r="IJ72" s="57"/>
      <c r="IK72" s="57"/>
      <c r="IL72" s="57"/>
      <c r="IM72" s="57"/>
      <c r="IN72" s="57"/>
      <c r="IO72" s="57"/>
      <c r="IP72" s="57"/>
    </row>
    <row r="73" spans="1:250" ht="15" x14ac:dyDescent="0.35">
      <c r="A73" s="145"/>
      <c r="B73" s="137" t="s">
        <v>177</v>
      </c>
      <c r="C73" s="138">
        <v>-100</v>
      </c>
      <c r="D73" s="139" t="s">
        <v>214</v>
      </c>
      <c r="E73" s="137" t="s">
        <v>178</v>
      </c>
      <c r="F73" s="140">
        <f>C73/MIN(F69:F70)</f>
        <v>-100</v>
      </c>
      <c r="G73" s="139" t="s">
        <v>216</v>
      </c>
      <c r="H73" s="151"/>
      <c r="I73" s="87" t="s">
        <v>142</v>
      </c>
      <c r="J73" s="151">
        <f ca="1">FK88</f>
        <v>-0.71458330929133007</v>
      </c>
      <c r="K73" s="57" t="str">
        <f ca="1">"Ply "&amp;AC192</f>
        <v>Ply 20</v>
      </c>
      <c r="AK73" s="58">
        <f ca="1">(HS25+HS26)/2-(((HS25-HS26)/2)^2+(HS27/2)^2)^0.5</f>
        <v>-1.3484406601703483E-3</v>
      </c>
      <c r="CR73" s="77">
        <f>CR70+1</f>
        <v>20</v>
      </c>
      <c r="CS73" s="44"/>
      <c r="CT73" s="44"/>
      <c r="CU73" s="48" t="s">
        <v>129</v>
      </c>
      <c r="CV73" s="92">
        <f ca="1">AE70</f>
        <v>4.5648610417658959E-4</v>
      </c>
      <c r="CW73" s="57"/>
      <c r="CX73" s="93">
        <f ca="1">BD35</f>
        <v>4652721.392903653</v>
      </c>
      <c r="CY73" s="94">
        <f ca="1">BF35</f>
        <v>3532739.9800676531</v>
      </c>
      <c r="CZ73" s="95">
        <f ca="1">BH35</f>
        <v>0</v>
      </c>
      <c r="DA73" s="57"/>
      <c r="DB73" s="78">
        <f t="array" aca="1" ref="DB73:DB75" ca="1">MMULT(CX73:CZ75,CV73:CV75)</f>
        <v>2268.0369963811145</v>
      </c>
      <c r="DC73" s="57"/>
      <c r="DD73" s="96"/>
      <c r="DE73" s="97"/>
      <c r="DF73" s="97"/>
      <c r="DG73" s="97"/>
      <c r="DH73" s="97"/>
      <c r="DI73" s="98"/>
      <c r="DJ73" s="57">
        <f>DJ70+1</f>
        <v>20</v>
      </c>
      <c r="DK73" s="57"/>
      <c r="DL73" s="57"/>
      <c r="DM73" s="87" t="s">
        <v>129</v>
      </c>
      <c r="DN73" s="99">
        <f ca="1">INDEX(DE16:DE115,MATCH(DJ73,A16:A50,0))</f>
        <v>7.7268702054126706E-3</v>
      </c>
      <c r="DO73" s="57"/>
      <c r="DP73" s="57"/>
      <c r="DQ73" s="87" t="s">
        <v>130</v>
      </c>
      <c r="DR73" s="99">
        <f ca="1">INDEX(DD16:DD115,MATCH(DJ73,A16:A50,0))</f>
        <v>8.5854113393474107E-3</v>
      </c>
      <c r="DS73" s="57"/>
      <c r="DT73" s="93">
        <f ca="1">CX73</f>
        <v>4652721.392903653</v>
      </c>
      <c r="DU73" s="94">
        <f t="shared" ca="1" si="102"/>
        <v>3532739.9800676531</v>
      </c>
      <c r="DV73" s="95">
        <f t="shared" ca="1" si="103"/>
        <v>0</v>
      </c>
      <c r="DW73" s="57"/>
      <c r="DX73" s="80">
        <f t="array" aca="1" ref="DX73:DX75" ca="1">MMULT(DT73:DV75,DN73:DN75)</f>
        <v>40176.725481151327</v>
      </c>
      <c r="DY73" s="80"/>
      <c r="DZ73" s="80">
        <f t="array" aca="1" ref="DZ73:DZ75" ca="1">MMULT(DT73:DV75,DR73:DR75)</f>
        <v>44640.806090168131</v>
      </c>
      <c r="FJ73" s="107" t="str">
        <f t="shared" ca="1" si="257"/>
        <v/>
      </c>
      <c r="FK73" s="107" t="str">
        <f t="shared" ca="1" si="257"/>
        <v/>
      </c>
      <c r="FL73" s="107" t="str">
        <f t="shared" ca="1" si="257"/>
        <v/>
      </c>
      <c r="FM73" s="107" t="str">
        <f t="shared" ca="1" si="257"/>
        <v/>
      </c>
      <c r="FN73" s="107" t="str">
        <f t="shared" ca="1" si="257"/>
        <v/>
      </c>
      <c r="FO73" s="107" t="str">
        <f t="shared" ca="1" si="257"/>
        <v/>
      </c>
      <c r="FP73" s="107" t="str">
        <f t="shared" ca="1" si="257"/>
        <v/>
      </c>
      <c r="FR73" s="82"/>
      <c r="FS73" s="69">
        <f ca="1">INDEX(EB16:EB115,MATCH(GF72,A16:A115,0))</f>
        <v>3546.9813186371889</v>
      </c>
      <c r="FT73" s="69">
        <f>FT72</f>
        <v>-3.4393700787401581E-2</v>
      </c>
      <c r="FU73" s="69">
        <f ca="1">INDEX(EC16:EC115,MATCH(GF72,A16:A115,0))</f>
        <v>523.53150187562358</v>
      </c>
      <c r="FV73" s="69">
        <f t="shared" ref="FV73:FV75" si="310">FT73</f>
        <v>-3.4393700787401581E-2</v>
      </c>
      <c r="FW73" s="69">
        <f ca="1">INDEX(ED16:ED115,MATCH(GF72,A16:A115,0))</f>
        <v>-155.18705741647139</v>
      </c>
      <c r="FX73" s="70">
        <f t="shared" ref="FX73:FX75" si="311">FV73</f>
        <v>-3.4393700787401581E-2</v>
      </c>
      <c r="FY73" s="82"/>
      <c r="FZ73" s="101">
        <f ca="1">INDEX(EE16:EE115,MATCH(GF72,A16:A115,0))</f>
        <v>26786.5607894979</v>
      </c>
      <c r="GA73" s="69">
        <f>GA72</f>
        <v>-3.4393700787401581E-2</v>
      </c>
      <c r="GB73" s="61">
        <f ca="1">INDEX(EG16:EG115,MATCH(GF72,A16:A115,0))</f>
        <v>5675.2996943406124</v>
      </c>
      <c r="GC73" s="109">
        <f t="shared" si="191"/>
        <v>-3.4393700787401581E-2</v>
      </c>
      <c r="GD73" s="69">
        <f ca="1">INDEX(EI16:EI115,MATCH(GF72,A16:A115,0))</f>
        <v>-2318.7948219631553</v>
      </c>
      <c r="GE73" s="110">
        <f t="shared" ref="GE73:GE75" si="312">GC73</f>
        <v>-3.4393700787401581E-2</v>
      </c>
      <c r="GF73" s="84"/>
      <c r="GG73" s="111">
        <f ca="1">FS73+FZ73</f>
        <v>30333.542108135091</v>
      </c>
      <c r="GH73" s="85">
        <f>GH72</f>
        <v>-3.4393700787401581E-2</v>
      </c>
      <c r="GI73" s="111">
        <f ca="1">FU73+GB73</f>
        <v>6198.8311962162361</v>
      </c>
      <c r="GJ73" s="112">
        <f t="shared" si="192"/>
        <v>-3.4393700787401581E-2</v>
      </c>
      <c r="GK73" s="111">
        <f ca="1">FW73+GD73</f>
        <v>-2473.9818793796267</v>
      </c>
      <c r="GL73" s="112">
        <f t="shared" si="193"/>
        <v>-3.4393700787401581E-2</v>
      </c>
      <c r="GN73" s="69">
        <f t="shared" si="244"/>
        <v>-3.4393700787401581E-2</v>
      </c>
      <c r="GO73" s="113">
        <f ca="1">INDEX(FJ16:FJ115,MATCH(GM72,A16:A115,0))</f>
        <v>0.4122725231141211</v>
      </c>
      <c r="GP73" s="113">
        <f ca="1">INDEX(FK16:FK115,MATCH(GM72,A16:A115,0))</f>
        <v>1.111949596111272</v>
      </c>
      <c r="GQ73" s="113">
        <f ca="1">INDEX(FL16:FL115,MATCH(GM72,A16:A115,0))</f>
        <v>1.131328922295765</v>
      </c>
      <c r="GR73" s="113">
        <f ca="1">INDEX(FM16:FM115,MATCH(GM72,A16:A115,0))</f>
        <v>1.1590245940710027</v>
      </c>
      <c r="GS73" s="113">
        <f ca="1">INDEX(FN16:FN115,MATCH(GM72,A16:A115,0))</f>
        <v>1.3304625777432415</v>
      </c>
      <c r="GT73" s="113">
        <f ca="1">INDEX(FO16:FO115,MATCH(GM72,A16:A115,0))</f>
        <v>8.2532846796237074</v>
      </c>
      <c r="GU73" s="113">
        <f ca="1">INDEX(FP16:FP115,MATCH(GM72,A16:A115,0))</f>
        <v>2.6571951504462654</v>
      </c>
      <c r="HO73" s="57"/>
      <c r="HP73" s="57"/>
      <c r="HQ73" s="57"/>
      <c r="HR73" s="57"/>
      <c r="HS73" s="57"/>
      <c r="HT73" s="57"/>
      <c r="HU73" s="57"/>
      <c r="HV73" s="57"/>
      <c r="HW73" s="57"/>
      <c r="HX73" s="57"/>
      <c r="HY73" s="57"/>
      <c r="HZ73" s="57"/>
      <c r="IA73" s="57"/>
      <c r="IB73" s="57"/>
      <c r="IC73" s="57"/>
      <c r="IJ73" s="57"/>
      <c r="IK73" s="57"/>
      <c r="IL73" s="57"/>
      <c r="IM73" s="57"/>
      <c r="IN73" s="57"/>
      <c r="IO73" s="57"/>
      <c r="IP73" s="57"/>
    </row>
    <row r="74" spans="1:250" x14ac:dyDescent="0.3">
      <c r="A74" s="145"/>
      <c r="B74" s="189" t="s">
        <v>71</v>
      </c>
      <c r="C74" s="190"/>
      <c r="D74" s="139"/>
      <c r="E74" s="169"/>
      <c r="F74" s="169"/>
      <c r="G74" s="169"/>
      <c r="H74" s="151"/>
      <c r="I74" s="87" t="s">
        <v>143</v>
      </c>
      <c r="J74" s="151">
        <f ca="1">FL88</f>
        <v>-1.24908333922005</v>
      </c>
      <c r="K74" s="57" t="str">
        <f ca="1">"Ply "&amp;AC193</f>
        <v>Ply 1</v>
      </c>
      <c r="AE74" s="148" t="s">
        <v>10</v>
      </c>
      <c r="AK74" s="58">
        <f ca="1">2*(((HS25-HS26)/2)^2+(HS27/2)^2)^0.5</f>
        <v>1.3108654114422372E-2</v>
      </c>
      <c r="CR74" s="77"/>
      <c r="CS74" s="44"/>
      <c r="CT74" s="44"/>
      <c r="CU74" s="48" t="s">
        <v>131</v>
      </c>
      <c r="CV74" s="92">
        <f ca="1">AE71</f>
        <v>4.0799587495451728E-5</v>
      </c>
      <c r="CW74" s="57"/>
      <c r="CX74" s="90">
        <f ca="1">BG35</f>
        <v>3532739.9800676531</v>
      </c>
      <c r="CY74" s="83">
        <f ca="1">BE35</f>
        <v>4652721.392903653</v>
      </c>
      <c r="CZ74" s="91">
        <f ca="1">BK35</f>
        <v>0</v>
      </c>
      <c r="DA74" s="57"/>
      <c r="DB74" s="78">
        <f ca="1"/>
        <v>1802.4758241316983</v>
      </c>
      <c r="DC74" s="57"/>
      <c r="DD74" s="96"/>
      <c r="DE74" s="97"/>
      <c r="DF74" s="97"/>
      <c r="DG74" s="97"/>
      <c r="DH74" s="97"/>
      <c r="DI74" s="98"/>
      <c r="DJ74" s="57"/>
      <c r="DK74" s="57"/>
      <c r="DL74" s="57"/>
      <c r="DM74" s="87" t="s">
        <v>131</v>
      </c>
      <c r="DN74" s="99">
        <f ca="1">INDEX(DG16:DG115,MATCH(DJ73,A16:A50,0))</f>
        <v>1.1961681867559998E-3</v>
      </c>
      <c r="DO74" s="57"/>
      <c r="DP74" s="57"/>
      <c r="DQ74" s="87" t="s">
        <v>132</v>
      </c>
      <c r="DR74" s="99">
        <f ca="1">INDEX(DF16:DF115,MATCH(DJ73,A16:A50,0))</f>
        <v>1.329075763062222E-3</v>
      </c>
      <c r="DS74" s="57"/>
      <c r="DT74" s="90">
        <f t="shared" ref="DT74:DT75" ca="1" si="313">CX74</f>
        <v>3532739.9800676531</v>
      </c>
      <c r="DU74" s="83">
        <f t="shared" ca="1" si="102"/>
        <v>4652721.392903653</v>
      </c>
      <c r="DV74" s="91">
        <f t="shared" ca="1" si="103"/>
        <v>0</v>
      </c>
      <c r="DW74" s="57"/>
      <c r="DX74" s="80">
        <f ca="1"/>
        <v>32862.460607485315</v>
      </c>
      <c r="DY74" s="80"/>
      <c r="DZ74" s="80">
        <f ca="1"/>
        <v>36513.845119428122</v>
      </c>
      <c r="FJ74" s="107" t="str">
        <f t="shared" ca="1" si="257"/>
        <v/>
      </c>
      <c r="FK74" s="107" t="str">
        <f t="shared" ca="1" si="257"/>
        <v/>
      </c>
      <c r="FL74" s="107" t="str">
        <f t="shared" ca="1" si="257"/>
        <v/>
      </c>
      <c r="FM74" s="107" t="str">
        <f t="shared" ca="1" si="257"/>
        <v/>
      </c>
      <c r="FN74" s="107" t="str">
        <f t="shared" ca="1" si="257"/>
        <v/>
      </c>
      <c r="FO74" s="107" t="str">
        <f t="shared" ca="1" si="257"/>
        <v/>
      </c>
      <c r="FP74" s="107" t="str">
        <f t="shared" ca="1" si="257"/>
        <v/>
      </c>
      <c r="FR74" s="82"/>
      <c r="FS74" s="69">
        <f ca="1">FS73</f>
        <v>3546.9813186371889</v>
      </c>
      <c r="FT74" s="69">
        <f>INDEX(AE16:AE115,MATCH(GF72,A16:A115,0))</f>
        <v>-4.2992125984251978E-2</v>
      </c>
      <c r="FU74" s="69">
        <f ca="1">FU73</f>
        <v>523.53150187562358</v>
      </c>
      <c r="FV74" s="69">
        <f t="shared" si="310"/>
        <v>-4.2992125984251978E-2</v>
      </c>
      <c r="FW74" s="69">
        <f ca="1">FW73</f>
        <v>-155.18705741647139</v>
      </c>
      <c r="FX74" s="70">
        <f t="shared" si="311"/>
        <v>-4.2992125984251978E-2</v>
      </c>
      <c r="FY74" s="82"/>
      <c r="FZ74" s="101">
        <f ca="1">INDEX(EF16:EF115,MATCH(GF72,A16:A115,0))</f>
        <v>33483.200986872376</v>
      </c>
      <c r="GA74" s="69">
        <f>FT74</f>
        <v>-4.2992125984251978E-2</v>
      </c>
      <c r="GB74" s="61">
        <f ca="1">INDEX(EH16:EH115,MATCH(GF72,A16:A115,0))</f>
        <v>7094.1246179257669</v>
      </c>
      <c r="GC74" s="109">
        <f t="shared" si="191"/>
        <v>-4.2992125984251978E-2</v>
      </c>
      <c r="GD74" s="69">
        <f ca="1">INDEX(EJ16:EJ115,MATCH(GF72,A16:A115,0))</f>
        <v>-2898.4935274539439</v>
      </c>
      <c r="GE74" s="110">
        <f t="shared" si="312"/>
        <v>-4.2992125984251978E-2</v>
      </c>
      <c r="GF74" s="84"/>
      <c r="GG74" s="111">
        <f ca="1">FS74+FZ74</f>
        <v>37030.182305509567</v>
      </c>
      <c r="GH74" s="85">
        <f>FT74</f>
        <v>-4.2992125984251978E-2</v>
      </c>
      <c r="GI74" s="111">
        <f ca="1">FU74+GB74</f>
        <v>7617.6561198013906</v>
      </c>
      <c r="GJ74" s="112">
        <f t="shared" si="192"/>
        <v>-4.2992125984251978E-2</v>
      </c>
      <c r="GK74" s="111">
        <f ca="1">FW74+GD74</f>
        <v>-3053.6805848704153</v>
      </c>
      <c r="GL74" s="112">
        <f t="shared" si="193"/>
        <v>-4.2992125984251978E-2</v>
      </c>
      <c r="GN74" s="69">
        <f t="shared" si="244"/>
        <v>-4.2992125984251978E-2</v>
      </c>
      <c r="GO74" s="113">
        <f ca="1">GO73</f>
        <v>0.4122725231141211</v>
      </c>
      <c r="GP74" s="113">
        <f t="shared" ref="GP74" ca="1" si="314">GP73</f>
        <v>1.111949596111272</v>
      </c>
      <c r="GQ74" s="113">
        <f t="shared" ref="GQ74" ca="1" si="315">GQ73</f>
        <v>1.131328922295765</v>
      </c>
      <c r="GR74" s="113">
        <f t="shared" ref="GR74" ca="1" si="316">GR73</f>
        <v>1.1590245940710027</v>
      </c>
      <c r="GS74" s="113">
        <f t="shared" ref="GS74" ca="1" si="317">GS73</f>
        <v>1.3304625777432415</v>
      </c>
      <c r="GT74" s="113">
        <f t="shared" ref="GT74" ca="1" si="318">GT73</f>
        <v>8.2532846796237074</v>
      </c>
      <c r="GU74" s="113">
        <f t="shared" ref="GU74" ca="1" si="319">GU73</f>
        <v>2.6571951504462654</v>
      </c>
      <c r="HO74" s="57"/>
      <c r="HP74" s="57"/>
      <c r="HQ74" s="57"/>
      <c r="HR74" s="57"/>
      <c r="HS74" s="57"/>
      <c r="HT74" s="57"/>
      <c r="HU74" s="57"/>
      <c r="HV74" s="57"/>
      <c r="HW74" s="57"/>
      <c r="HX74" s="57"/>
      <c r="HY74" s="57"/>
      <c r="HZ74" s="57"/>
      <c r="IA74" s="57"/>
      <c r="IB74" s="57"/>
      <c r="IC74" s="57"/>
      <c r="IJ74" s="57"/>
      <c r="IK74" s="57"/>
      <c r="IL74" s="57"/>
      <c r="IM74" s="57"/>
      <c r="IN74" s="57"/>
      <c r="IO74" s="57"/>
      <c r="IP74" s="57"/>
    </row>
    <row r="75" spans="1:250" x14ac:dyDescent="0.3">
      <c r="A75" s="145"/>
      <c r="B75" s="139" t="s">
        <v>86</v>
      </c>
      <c r="C75" s="139"/>
      <c r="D75" s="139"/>
      <c r="E75" s="169"/>
      <c r="F75" s="169"/>
      <c r="G75" s="169"/>
      <c r="H75" s="151"/>
      <c r="I75" s="87" t="s">
        <v>144</v>
      </c>
      <c r="J75" s="151">
        <f ca="1">FM88</f>
        <v>-1.248423721014928</v>
      </c>
      <c r="K75" s="57" t="str">
        <f ca="1">"Ply "&amp;AC194</f>
        <v>Ply 1</v>
      </c>
      <c r="AE75" s="177">
        <f ca="1">AT89</f>
        <v>9.9848648360542247E-2</v>
      </c>
      <c r="AJ75" s="57"/>
      <c r="AK75" s="57"/>
      <c r="AL75" s="57"/>
      <c r="CR75" s="77"/>
      <c r="CS75" s="44"/>
      <c r="CT75" s="44"/>
      <c r="CU75" s="48" t="s">
        <v>133</v>
      </c>
      <c r="CV75" s="92">
        <f ca="1">AE72</f>
        <v>-2.771243444540907E-4</v>
      </c>
      <c r="CW75" s="57"/>
      <c r="CX75" s="114">
        <f ca="1">BI35</f>
        <v>0</v>
      </c>
      <c r="CY75" s="115">
        <f ca="1">BJ35</f>
        <v>0</v>
      </c>
      <c r="CZ75" s="116">
        <f ca="1">BL35</f>
        <v>3636694.5948847961</v>
      </c>
      <c r="DA75" s="57"/>
      <c r="DB75" s="78">
        <f ca="1"/>
        <v>-1007.8166055871841</v>
      </c>
      <c r="DC75" s="57"/>
      <c r="DD75" s="96"/>
      <c r="DE75" s="97"/>
      <c r="DF75" s="97"/>
      <c r="DG75" s="97"/>
      <c r="DH75" s="97"/>
      <c r="DI75" s="98"/>
      <c r="DJ75" s="57"/>
      <c r="DK75" s="57"/>
      <c r="DL75" s="57"/>
      <c r="DM75" s="87" t="s">
        <v>133</v>
      </c>
      <c r="DN75" s="99">
        <f ca="1">INDEX(DI16:DI115,MATCH(DJ73,A16:A50,0))</f>
        <v>-9.3167409559163309E-3</v>
      </c>
      <c r="DO75" s="57"/>
      <c r="DP75" s="57"/>
      <c r="DQ75" s="87" t="s">
        <v>134</v>
      </c>
      <c r="DR75" s="99">
        <f ca="1">INDEX(DH16:DH115,MATCH(DJ73,A16:A50,0))</f>
        <v>-1.0351934395462588E-2</v>
      </c>
      <c r="DS75" s="57"/>
      <c r="DT75" s="114">
        <f t="shared" ca="1" si="313"/>
        <v>0</v>
      </c>
      <c r="DU75" s="115">
        <f t="shared" ca="1" si="102"/>
        <v>0</v>
      </c>
      <c r="DV75" s="116">
        <f t="shared" ca="1" si="103"/>
        <v>3636694.5948847961</v>
      </c>
      <c r="DW75" s="57"/>
      <c r="DX75" s="80">
        <f ca="1"/>
        <v>-33882.141476322729</v>
      </c>
      <c r="DY75" s="80"/>
      <c r="DZ75" s="80">
        <f ca="1"/>
        <v>-37646.823862580801</v>
      </c>
      <c r="FJ75" s="107" t="str">
        <f t="shared" ca="1" si="257"/>
        <v/>
      </c>
      <c r="FK75" s="107" t="str">
        <f t="shared" ca="1" si="257"/>
        <v/>
      </c>
      <c r="FL75" s="107" t="str">
        <f t="shared" ca="1" si="257"/>
        <v/>
      </c>
      <c r="FM75" s="107" t="str">
        <f t="shared" ca="1" si="257"/>
        <v/>
      </c>
      <c r="FN75" s="107" t="str">
        <f t="shared" ca="1" si="257"/>
        <v/>
      </c>
      <c r="FO75" s="107" t="str">
        <f t="shared" ca="1" si="257"/>
        <v/>
      </c>
      <c r="FP75" s="107" t="str">
        <f t="shared" ca="1" si="257"/>
        <v/>
      </c>
      <c r="FR75" s="82"/>
      <c r="FS75" s="61">
        <v>0</v>
      </c>
      <c r="FT75" s="69">
        <f>FT74</f>
        <v>-4.2992125984251978E-2</v>
      </c>
      <c r="FU75" s="61">
        <v>0</v>
      </c>
      <c r="FV75" s="69">
        <f t="shared" si="310"/>
        <v>-4.2992125984251978E-2</v>
      </c>
      <c r="FW75" s="69">
        <v>0</v>
      </c>
      <c r="FX75" s="70">
        <f t="shared" si="311"/>
        <v>-4.2992125984251978E-2</v>
      </c>
      <c r="FY75" s="82"/>
      <c r="FZ75" s="61">
        <v>0</v>
      </c>
      <c r="GA75" s="69">
        <f>GA74</f>
        <v>-4.2992125984251978E-2</v>
      </c>
      <c r="GB75" s="61">
        <v>0</v>
      </c>
      <c r="GC75" s="109">
        <f t="shared" si="191"/>
        <v>-4.2992125984251978E-2</v>
      </c>
      <c r="GD75" s="61">
        <v>0</v>
      </c>
      <c r="GE75" s="110">
        <f t="shared" si="312"/>
        <v>-4.2992125984251978E-2</v>
      </c>
      <c r="GF75" s="84"/>
      <c r="GG75" s="111">
        <v>0</v>
      </c>
      <c r="GH75" s="85">
        <f>GH74</f>
        <v>-4.2992125984251978E-2</v>
      </c>
      <c r="GI75" s="112">
        <v>0</v>
      </c>
      <c r="GJ75" s="112">
        <f t="shared" si="192"/>
        <v>-4.2992125984251978E-2</v>
      </c>
      <c r="GK75" s="112">
        <v>0</v>
      </c>
      <c r="GL75" s="112">
        <f t="shared" si="193"/>
        <v>-4.2992125984251978E-2</v>
      </c>
      <c r="GN75" s="69">
        <f t="shared" si="244"/>
        <v>-4.2992125984251978E-2</v>
      </c>
      <c r="GO75" s="113"/>
      <c r="GP75" s="113"/>
      <c r="GQ75" s="113"/>
      <c r="GR75" s="113"/>
      <c r="GS75" s="113"/>
      <c r="GT75" s="113"/>
      <c r="GU75" s="113"/>
      <c r="HO75" s="57"/>
      <c r="HP75" s="57"/>
      <c r="HQ75" s="57"/>
      <c r="HR75" s="57"/>
      <c r="HS75" s="57"/>
      <c r="HT75" s="57"/>
      <c r="HU75" s="57"/>
      <c r="HV75" s="57"/>
      <c r="HW75" s="57"/>
      <c r="HX75" s="57"/>
      <c r="HY75" s="57"/>
      <c r="HZ75" s="57"/>
      <c r="IA75" s="57"/>
      <c r="IB75" s="57"/>
      <c r="IC75" s="57"/>
      <c r="IJ75" s="57"/>
      <c r="IK75" s="57"/>
      <c r="IL75" s="57"/>
      <c r="IM75" s="57"/>
      <c r="IN75" s="57"/>
      <c r="IO75" s="57"/>
      <c r="IP75" s="57"/>
    </row>
    <row r="76" spans="1:250" ht="15" x14ac:dyDescent="0.35">
      <c r="A76" s="145"/>
      <c r="B76" s="137" t="s">
        <v>179</v>
      </c>
      <c r="C76" s="138">
        <v>280</v>
      </c>
      <c r="D76" s="139" t="s">
        <v>215</v>
      </c>
      <c r="E76" s="137" t="s">
        <v>180</v>
      </c>
      <c r="F76" s="140">
        <f>C76/$F$70</f>
        <v>280</v>
      </c>
      <c r="G76" s="139" t="s">
        <v>217</v>
      </c>
      <c r="H76" s="56"/>
      <c r="I76" s="57"/>
      <c r="J76" s="56"/>
      <c r="K76" s="57"/>
      <c r="AE76" s="181">
        <f ca="1">AT90</f>
        <v>1.545719980850753E-2</v>
      </c>
      <c r="AJ76" s="87" t="s">
        <v>43</v>
      </c>
      <c r="AK76" s="58">
        <f ca="1">(HS29+HS30)/2+(((HS29-HS30)/2)^2+(HS31/2)^2)^0.5</f>
        <v>4.9843935423816359E-4</v>
      </c>
      <c r="AL76" s="111">
        <f ca="1">AK76*1000000</f>
        <v>498.43935423816356</v>
      </c>
      <c r="CR76" s="77">
        <f>CR73+1</f>
        <v>21</v>
      </c>
      <c r="CS76" s="44"/>
      <c r="CT76" s="44"/>
      <c r="CU76" s="48" t="s">
        <v>129</v>
      </c>
      <c r="CV76" s="92">
        <f ca="1">AE70</f>
        <v>4.5648610417658959E-4</v>
      </c>
      <c r="CW76" s="57"/>
      <c r="CX76" s="93">
        <f ca="1">BD36</f>
        <v>0</v>
      </c>
      <c r="CY76" s="94">
        <f ca="1">BF36</f>
        <v>0</v>
      </c>
      <c r="CZ76" s="95">
        <f ca="1">BH36</f>
        <v>0</v>
      </c>
      <c r="DA76" s="57"/>
      <c r="DB76" s="78">
        <f t="array" aca="1" ref="DB76:DB78" ca="1">MMULT(CX76:CZ78,CV76:CV78)</f>
        <v>0</v>
      </c>
      <c r="DC76" s="57"/>
      <c r="DD76" s="96"/>
      <c r="DE76" s="97"/>
      <c r="DF76" s="97"/>
      <c r="DG76" s="97"/>
      <c r="DH76" s="97"/>
      <c r="DI76" s="98"/>
      <c r="DJ76" s="57">
        <f>DJ73+1</f>
        <v>21</v>
      </c>
      <c r="DK76" s="57"/>
      <c r="DL76" s="57"/>
      <c r="DM76" s="87" t="s">
        <v>129</v>
      </c>
      <c r="DN76" s="99">
        <f ca="1">INDEX(DE16:DE115,MATCH(DJ76,A16:A50,0))</f>
        <v>0</v>
      </c>
      <c r="DO76" s="57"/>
      <c r="DP76" s="57"/>
      <c r="DQ76" s="87" t="s">
        <v>130</v>
      </c>
      <c r="DR76" s="99">
        <f ca="1">INDEX(DD16:DD115,MATCH(DJ76,A16:A50,0))</f>
        <v>0</v>
      </c>
      <c r="DS76" s="57"/>
      <c r="DT76" s="93">
        <f ca="1">CX76</f>
        <v>0</v>
      </c>
      <c r="DU76" s="94">
        <f t="shared" ca="1" si="102"/>
        <v>0</v>
      </c>
      <c r="DV76" s="95">
        <f t="shared" ca="1" si="103"/>
        <v>0</v>
      </c>
      <c r="DW76" s="57"/>
      <c r="DX76" s="80">
        <f t="array" aca="1" ref="DX76:DX78" ca="1">MMULT(DT76:DV78,DN76:DN78)</f>
        <v>0</v>
      </c>
      <c r="DY76" s="80"/>
      <c r="DZ76" s="80">
        <f t="array" aca="1" ref="DZ76:DZ78" ca="1">MMULT(DT76:DV78,DR76:DR78)</f>
        <v>0</v>
      </c>
      <c r="FJ76" s="107" t="str">
        <f t="shared" ca="1" si="257"/>
        <v/>
      </c>
      <c r="FK76" s="107" t="str">
        <f t="shared" ca="1" si="257"/>
        <v/>
      </c>
      <c r="FL76" s="107" t="str">
        <f t="shared" ca="1" si="257"/>
        <v/>
      </c>
      <c r="FM76" s="107" t="str">
        <f t="shared" ca="1" si="257"/>
        <v/>
      </c>
      <c r="FN76" s="107" t="str">
        <f t="shared" ca="1" si="257"/>
        <v/>
      </c>
      <c r="FO76" s="107" t="str">
        <f t="shared" ca="1" si="257"/>
        <v/>
      </c>
      <c r="FP76" s="107" t="str">
        <f t="shared" ca="1" si="257"/>
        <v/>
      </c>
      <c r="FR76" s="82">
        <f>FR72+1</f>
        <v>16</v>
      </c>
      <c r="FS76" s="61">
        <v>0</v>
      </c>
      <c r="FT76" s="69">
        <f>INDEX(AF16:AF115,MATCH(GF76,A16:A115,0))</f>
        <v>-4.2992125984251971E-2</v>
      </c>
      <c r="FU76" s="61">
        <v>0</v>
      </c>
      <c r="FV76" s="69">
        <f>FT76</f>
        <v>-4.2992125984251971E-2</v>
      </c>
      <c r="FW76" s="69">
        <v>0</v>
      </c>
      <c r="FX76" s="70">
        <f>FV76</f>
        <v>-4.2992125984251971E-2</v>
      </c>
      <c r="FY76" s="82">
        <f>FY72+1</f>
        <v>16</v>
      </c>
      <c r="FZ76" s="61">
        <v>0</v>
      </c>
      <c r="GA76" s="69">
        <f>FT76</f>
        <v>-4.2992125984251971E-2</v>
      </c>
      <c r="GB76" s="108">
        <v>0</v>
      </c>
      <c r="GC76" s="109">
        <f t="shared" si="191"/>
        <v>-4.2992125984251971E-2</v>
      </c>
      <c r="GD76" s="61">
        <v>0</v>
      </c>
      <c r="GE76" s="110">
        <f>GC76</f>
        <v>-4.2992125984251971E-2</v>
      </c>
      <c r="GF76" s="84">
        <f>GF72+1</f>
        <v>16</v>
      </c>
      <c r="GG76" s="111">
        <v>0</v>
      </c>
      <c r="GH76" s="85">
        <f>FT76</f>
        <v>-4.2992125984251971E-2</v>
      </c>
      <c r="GI76" s="112">
        <v>0</v>
      </c>
      <c r="GJ76" s="112">
        <f t="shared" si="192"/>
        <v>-4.2992125984251971E-2</v>
      </c>
      <c r="GK76" s="112">
        <v>0</v>
      </c>
      <c r="GL76" s="112">
        <f t="shared" si="193"/>
        <v>-4.2992125984251971E-2</v>
      </c>
      <c r="GM76" s="117">
        <f>GM72+1</f>
        <v>16</v>
      </c>
      <c r="GN76" s="69">
        <f t="shared" si="244"/>
        <v>-4.2992125984251971E-2</v>
      </c>
      <c r="GO76" s="113"/>
      <c r="GP76" s="113"/>
      <c r="GQ76" s="113"/>
      <c r="GR76" s="113"/>
      <c r="GS76" s="113"/>
      <c r="GT76" s="113"/>
      <c r="GU76" s="113"/>
      <c r="HO76" s="57"/>
      <c r="HP76" s="57"/>
      <c r="HQ76" s="57"/>
      <c r="HR76" s="57"/>
      <c r="HS76" s="57"/>
      <c r="HT76" s="57"/>
      <c r="HU76" s="57"/>
      <c r="HV76" s="57"/>
      <c r="HW76" s="57"/>
      <c r="HX76" s="57"/>
      <c r="HY76" s="57"/>
      <c r="HZ76" s="57"/>
      <c r="IA76" s="57"/>
      <c r="IB76" s="57"/>
      <c r="IC76" s="57"/>
      <c r="IJ76" s="57"/>
      <c r="IK76" s="57"/>
      <c r="IL76" s="57"/>
      <c r="IM76" s="57"/>
      <c r="IN76" s="57"/>
      <c r="IO76" s="57"/>
      <c r="IP76" s="57"/>
    </row>
    <row r="77" spans="1:250" ht="15" x14ac:dyDescent="0.35">
      <c r="A77" s="169"/>
      <c r="B77" s="137" t="s">
        <v>181</v>
      </c>
      <c r="C77" s="138">
        <v>120</v>
      </c>
      <c r="D77" s="139" t="s">
        <v>215</v>
      </c>
      <c r="E77" s="137" t="s">
        <v>182</v>
      </c>
      <c r="F77" s="140">
        <f>C77/$F$69</f>
        <v>120</v>
      </c>
      <c r="G77" s="139" t="s">
        <v>217</v>
      </c>
      <c r="H77" s="151"/>
      <c r="I77" s="87" t="s">
        <v>145</v>
      </c>
      <c r="J77" s="151">
        <f ca="1">MIN(J72:J75)</f>
        <v>-1.24908333922005</v>
      </c>
      <c r="K77" s="57" t="str">
        <f ca="1">INDEX(K72:K75,MATCH(J77,J72:J75,0))</f>
        <v>Ply 1</v>
      </c>
      <c r="AE77" s="185">
        <f ca="1">AT91</f>
        <v>-0.12039337621096602</v>
      </c>
      <c r="AJ77" s="87" t="s">
        <v>44</v>
      </c>
      <c r="AK77" s="58">
        <f ca="1">(HS29+HS30)/2-(((HS29-HS30)/2)^2+(HS31/2)^2)^0.5</f>
        <v>-1.1536625661222408E-6</v>
      </c>
      <c r="AL77" s="111">
        <f ca="1">AK77*1000000</f>
        <v>-1.1536625661222408</v>
      </c>
      <c r="CR77" s="77"/>
      <c r="CS77" s="44"/>
      <c r="CT77" s="44"/>
      <c r="CU77" s="48" t="s">
        <v>131</v>
      </c>
      <c r="CV77" s="92">
        <f ca="1">AE71</f>
        <v>4.0799587495451728E-5</v>
      </c>
      <c r="CW77" s="57"/>
      <c r="CX77" s="90">
        <f ca="1">BG36</f>
        <v>0</v>
      </c>
      <c r="CY77" s="83">
        <f ca="1">BE36</f>
        <v>0</v>
      </c>
      <c r="CZ77" s="91">
        <f ca="1">BK36</f>
        <v>0</v>
      </c>
      <c r="DA77" s="57"/>
      <c r="DB77" s="78">
        <f ca="1"/>
        <v>0</v>
      </c>
      <c r="DC77" s="57"/>
      <c r="DD77" s="96"/>
      <c r="DE77" s="97"/>
      <c r="DF77" s="97"/>
      <c r="DG77" s="97"/>
      <c r="DH77" s="97"/>
      <c r="DI77" s="98"/>
      <c r="DJ77" s="57"/>
      <c r="DK77" s="57"/>
      <c r="DL77" s="57"/>
      <c r="DM77" s="87" t="s">
        <v>131</v>
      </c>
      <c r="DN77" s="99">
        <f ca="1">INDEX(DG16:DG115,MATCH(DJ76,A16:A50,0))</f>
        <v>0</v>
      </c>
      <c r="DO77" s="57"/>
      <c r="DP77" s="57"/>
      <c r="DQ77" s="87" t="s">
        <v>132</v>
      </c>
      <c r="DR77" s="99">
        <f ca="1">INDEX(DF16:DF115,MATCH(DJ76,A16:A50,0))</f>
        <v>0</v>
      </c>
      <c r="DS77" s="57"/>
      <c r="DT77" s="90">
        <f t="shared" ref="DT77:DT78" ca="1" si="320">CX77</f>
        <v>0</v>
      </c>
      <c r="DU77" s="83">
        <f t="shared" ca="1" si="102"/>
        <v>0</v>
      </c>
      <c r="DV77" s="91">
        <f t="shared" ca="1" si="103"/>
        <v>0</v>
      </c>
      <c r="DW77" s="57"/>
      <c r="DX77" s="80">
        <f ca="1"/>
        <v>0</v>
      </c>
      <c r="DY77" s="80"/>
      <c r="DZ77" s="80">
        <f ca="1"/>
        <v>0</v>
      </c>
      <c r="FJ77" s="107" t="str">
        <f t="shared" ca="1" si="257"/>
        <v/>
      </c>
      <c r="FK77" s="107" t="str">
        <f t="shared" ca="1" si="257"/>
        <v/>
      </c>
      <c r="FL77" s="107" t="str">
        <f t="shared" ca="1" si="257"/>
        <v/>
      </c>
      <c r="FM77" s="107" t="str">
        <f t="shared" ca="1" si="257"/>
        <v/>
      </c>
      <c r="FN77" s="107" t="str">
        <f t="shared" ca="1" si="257"/>
        <v/>
      </c>
      <c r="FO77" s="107" t="str">
        <f t="shared" ca="1" si="257"/>
        <v/>
      </c>
      <c r="FP77" s="107" t="str">
        <f t="shared" ca="1" si="257"/>
        <v/>
      </c>
      <c r="FR77" s="82"/>
      <c r="FS77" s="69">
        <f ca="1">INDEX(EB16:EB115,MATCH(GF76,A16:A115,0))</f>
        <v>3546.9813186371889</v>
      </c>
      <c r="FT77" s="69">
        <f>FT76</f>
        <v>-4.2992125984251971E-2</v>
      </c>
      <c r="FU77" s="69">
        <f ca="1">INDEX(EC16:EC115,MATCH(GF76,A16:A115,0))</f>
        <v>523.53150187562358</v>
      </c>
      <c r="FV77" s="69">
        <f t="shared" ref="FV77:FV79" si="321">FT77</f>
        <v>-4.2992125984251971E-2</v>
      </c>
      <c r="FW77" s="69">
        <f ca="1">INDEX(ED16:ED115,MATCH(GF76,A16:A115,0))</f>
        <v>-155.18705741647139</v>
      </c>
      <c r="FX77" s="70">
        <f t="shared" ref="FX77:FX79" si="322">FV77</f>
        <v>-4.2992125984251971E-2</v>
      </c>
      <c r="FY77" s="82"/>
      <c r="FZ77" s="101">
        <f ca="1">INDEX(EE16:EE115,MATCH(GF76,A16:A115,0))</f>
        <v>33483.200986872369</v>
      </c>
      <c r="GA77" s="69">
        <f>GA76</f>
        <v>-4.2992125984251971E-2</v>
      </c>
      <c r="GB77" s="61">
        <f ca="1">INDEX(EG16:EG115,MATCH(GF76,A16:A115,0))</f>
        <v>7094.1246179257651</v>
      </c>
      <c r="GC77" s="109">
        <f t="shared" si="191"/>
        <v>-4.2992125984251971E-2</v>
      </c>
      <c r="GD77" s="69">
        <f ca="1">INDEX(EI16:EI115,MATCH(GF76,A16:A115,0))</f>
        <v>-2898.4935274539434</v>
      </c>
      <c r="GE77" s="110">
        <f t="shared" ref="GE77:GE79" si="323">GC77</f>
        <v>-4.2992125984251971E-2</v>
      </c>
      <c r="GF77" s="84"/>
      <c r="GG77" s="111">
        <f ca="1">FS77+FZ77</f>
        <v>37030.182305509559</v>
      </c>
      <c r="GH77" s="85">
        <f>GH76</f>
        <v>-4.2992125984251971E-2</v>
      </c>
      <c r="GI77" s="111">
        <f ca="1">FU77+GB77</f>
        <v>7617.6561198013887</v>
      </c>
      <c r="GJ77" s="112">
        <f t="shared" si="192"/>
        <v>-4.2992125984251971E-2</v>
      </c>
      <c r="GK77" s="111">
        <f ca="1">FW77+GD77</f>
        <v>-3053.6805848704148</v>
      </c>
      <c r="GL77" s="112">
        <f t="shared" si="193"/>
        <v>-4.2992125984251971E-2</v>
      </c>
      <c r="GN77" s="69">
        <f t="shared" si="244"/>
        <v>-4.2992125984251971E-2</v>
      </c>
      <c r="GO77" s="113">
        <f ca="1">INDEX(FJ16:FJ115,MATCH(GM76,A16:A115,0))</f>
        <v>0.19492106913437524</v>
      </c>
      <c r="GP77" s="113">
        <f ca="1">INDEX(FK16:FK115,MATCH(GM76,A16:A115,0))</f>
        <v>0.7843847629400329</v>
      </c>
      <c r="GQ77" s="113">
        <f ca="1">INDEX(FL16:FL115,MATCH(GM76,A16:A115,0))</f>
        <v>0.91358915511558236</v>
      </c>
      <c r="GR77" s="113">
        <f ca="1">INDEX(FM16:FM115,MATCH(GM76,A16:A115,0))</f>
        <v>0.93704097291625654</v>
      </c>
      <c r="GS77" s="113">
        <f ca="1">INDEX(FN16:FN115,MATCH(GM76,A16:A115,0))</f>
        <v>0.97355877171976468</v>
      </c>
      <c r="GT77" s="113">
        <f ca="1">INDEX(FO16:FO115,MATCH(GM76,A16:A115,0))</f>
        <v>6.8004192483298276</v>
      </c>
      <c r="GU77" s="113">
        <f ca="1">INDEX(FP16:FP115,MATCH(GM76,A16:A115,0))</f>
        <v>2.0736966701017794</v>
      </c>
      <c r="HO77" s="57"/>
      <c r="HP77" s="57"/>
      <c r="HQ77" s="57"/>
      <c r="HR77" s="57"/>
      <c r="HS77" s="57"/>
      <c r="HT77" s="57"/>
      <c r="HU77" s="57"/>
      <c r="HV77" s="57"/>
      <c r="HW77" s="57"/>
      <c r="HX77" s="57"/>
      <c r="HY77" s="57"/>
      <c r="HZ77" s="57"/>
      <c r="IA77" s="57"/>
      <c r="IB77" s="57"/>
      <c r="IC77" s="57"/>
      <c r="IJ77" s="57"/>
      <c r="IK77" s="57"/>
      <c r="IL77" s="57"/>
      <c r="IM77" s="57"/>
      <c r="IN77" s="57"/>
      <c r="IO77" s="57"/>
      <c r="IP77" s="57"/>
    </row>
    <row r="78" spans="1:250" ht="15" x14ac:dyDescent="0.35">
      <c r="A78" s="169"/>
      <c r="B78" s="137" t="s">
        <v>183</v>
      </c>
      <c r="C78" s="138">
        <v>-100</v>
      </c>
      <c r="D78" s="139" t="s">
        <v>215</v>
      </c>
      <c r="E78" s="137" t="s">
        <v>183</v>
      </c>
      <c r="F78" s="140">
        <f>C78/MIN(F69:F70)</f>
        <v>-100</v>
      </c>
      <c r="G78" s="139" t="s">
        <v>217</v>
      </c>
      <c r="H78" s="139"/>
      <c r="J78" s="169"/>
      <c r="K78" s="169"/>
      <c r="AJ78" s="87" t="s">
        <v>45</v>
      </c>
      <c r="AK78" s="58">
        <f ca="1">2*(((HS29-HS30)/2)^2+(HS31/2)^2)^0.5</f>
        <v>4.9959301680428583E-4</v>
      </c>
      <c r="AL78" s="111">
        <f ca="1">AK78*1000000</f>
        <v>499.59301680428581</v>
      </c>
      <c r="CR78" s="77"/>
      <c r="CS78" s="44"/>
      <c r="CT78" s="44"/>
      <c r="CU78" s="48" t="s">
        <v>133</v>
      </c>
      <c r="CV78" s="92">
        <f ca="1">AE72</f>
        <v>-2.771243444540907E-4</v>
      </c>
      <c r="CW78" s="57"/>
      <c r="CX78" s="114">
        <f ca="1">BI36</f>
        <v>0</v>
      </c>
      <c r="CY78" s="115">
        <f ca="1">BJ36</f>
        <v>0</v>
      </c>
      <c r="CZ78" s="116">
        <f ca="1">BL36</f>
        <v>0</v>
      </c>
      <c r="DA78" s="57"/>
      <c r="DB78" s="78">
        <f ca="1"/>
        <v>0</v>
      </c>
      <c r="DC78" s="57"/>
      <c r="DD78" s="96"/>
      <c r="DE78" s="97"/>
      <c r="DF78" s="97"/>
      <c r="DG78" s="97"/>
      <c r="DH78" s="97"/>
      <c r="DI78" s="98"/>
      <c r="DJ78" s="57"/>
      <c r="DK78" s="57"/>
      <c r="DL78" s="57"/>
      <c r="DM78" s="87" t="s">
        <v>133</v>
      </c>
      <c r="DN78" s="99">
        <f ca="1">INDEX(DI16:DI115,MATCH(DJ76,A16:A50,0))</f>
        <v>0</v>
      </c>
      <c r="DO78" s="57"/>
      <c r="DP78" s="57"/>
      <c r="DQ78" s="87" t="s">
        <v>134</v>
      </c>
      <c r="DR78" s="99">
        <f ca="1">INDEX(DH16:DH115,MATCH(DJ76,A16:A50,0))</f>
        <v>0</v>
      </c>
      <c r="DS78" s="57"/>
      <c r="DT78" s="114">
        <f t="shared" ca="1" si="320"/>
        <v>0</v>
      </c>
      <c r="DU78" s="115">
        <f t="shared" ca="1" si="102"/>
        <v>0</v>
      </c>
      <c r="DV78" s="116">
        <f t="shared" ca="1" si="103"/>
        <v>0</v>
      </c>
      <c r="DW78" s="57"/>
      <c r="DX78" s="80">
        <f ca="1"/>
        <v>0</v>
      </c>
      <c r="DY78" s="80"/>
      <c r="DZ78" s="80">
        <f ca="1"/>
        <v>0</v>
      </c>
      <c r="FJ78" s="107" t="str">
        <f t="shared" ca="1" si="257"/>
        <v/>
      </c>
      <c r="FK78" s="107" t="str">
        <f t="shared" ca="1" si="257"/>
        <v/>
      </c>
      <c r="FL78" s="107" t="str">
        <f t="shared" ca="1" si="257"/>
        <v/>
      </c>
      <c r="FM78" s="107" t="str">
        <f t="shared" ca="1" si="257"/>
        <v/>
      </c>
      <c r="FN78" s="107" t="str">
        <f t="shared" ca="1" si="257"/>
        <v/>
      </c>
      <c r="FO78" s="107" t="str">
        <f t="shared" ca="1" si="257"/>
        <v/>
      </c>
      <c r="FP78" s="107" t="str">
        <f t="shared" ca="1" si="257"/>
        <v/>
      </c>
      <c r="FR78" s="82"/>
      <c r="FS78" s="69">
        <f ca="1">FS77</f>
        <v>3546.9813186371889</v>
      </c>
      <c r="FT78" s="69">
        <f>INDEX(AE16:AE115,MATCH(GF76,A16:A115,0))</f>
        <v>-5.1590551181102368E-2</v>
      </c>
      <c r="FU78" s="69">
        <f ca="1">FU77</f>
        <v>523.53150187562358</v>
      </c>
      <c r="FV78" s="69">
        <f t="shared" si="321"/>
        <v>-5.1590551181102368E-2</v>
      </c>
      <c r="FW78" s="69">
        <f ca="1">FW77</f>
        <v>-155.18705741647139</v>
      </c>
      <c r="FX78" s="70">
        <f t="shared" si="322"/>
        <v>-5.1590551181102368E-2</v>
      </c>
      <c r="FY78" s="82"/>
      <c r="FZ78" s="101">
        <f ca="1">INDEX(EF16:EF115,MATCH(GF76,A16:A115,0))</f>
        <v>40179.841184246849</v>
      </c>
      <c r="GA78" s="69">
        <f>FT78</f>
        <v>-5.1590551181102368E-2</v>
      </c>
      <c r="GB78" s="61">
        <f ca="1">INDEX(EH16:EH115,MATCH(GF76,A16:A115,0))</f>
        <v>8512.9495415109195</v>
      </c>
      <c r="GC78" s="109">
        <f t="shared" si="191"/>
        <v>-5.1590551181102368E-2</v>
      </c>
      <c r="GD78" s="69">
        <f ca="1">INDEX(EJ16:EJ115,MATCH(GF76,A16:A115,0))</f>
        <v>-3478.1922329447325</v>
      </c>
      <c r="GE78" s="110">
        <f t="shared" si="323"/>
        <v>-5.1590551181102368E-2</v>
      </c>
      <c r="GF78" s="84"/>
      <c r="GG78" s="111">
        <f ca="1">FS78+FZ78</f>
        <v>43726.822502884039</v>
      </c>
      <c r="GH78" s="85">
        <f>FT78</f>
        <v>-5.1590551181102368E-2</v>
      </c>
      <c r="GI78" s="111">
        <f ca="1">FU78+GB78</f>
        <v>9036.4810433865423</v>
      </c>
      <c r="GJ78" s="112">
        <f t="shared" si="192"/>
        <v>-5.1590551181102368E-2</v>
      </c>
      <c r="GK78" s="111">
        <f ca="1">FW78+GD78</f>
        <v>-3633.3792903612039</v>
      </c>
      <c r="GL78" s="112">
        <f t="shared" si="193"/>
        <v>-5.1590551181102368E-2</v>
      </c>
      <c r="GN78" s="69">
        <f t="shared" si="244"/>
        <v>-5.1590551181102368E-2</v>
      </c>
      <c r="GO78" s="113">
        <f ca="1">GO77</f>
        <v>0.19492106913437524</v>
      </c>
      <c r="GP78" s="113">
        <f t="shared" ref="GP78" ca="1" si="324">GP77</f>
        <v>0.7843847629400329</v>
      </c>
      <c r="GQ78" s="113">
        <f t="shared" ref="GQ78" ca="1" si="325">GQ77</f>
        <v>0.91358915511558236</v>
      </c>
      <c r="GR78" s="113">
        <f t="shared" ref="GR78" ca="1" si="326">GR77</f>
        <v>0.93704097291625654</v>
      </c>
      <c r="GS78" s="113">
        <f t="shared" ref="GS78" ca="1" si="327">GS77</f>
        <v>0.97355877171976468</v>
      </c>
      <c r="GT78" s="113">
        <f t="shared" ref="GT78" ca="1" si="328">GT77</f>
        <v>6.8004192483298276</v>
      </c>
      <c r="GU78" s="113">
        <f t="shared" ref="GU78" ca="1" si="329">GU77</f>
        <v>2.0736966701017794</v>
      </c>
      <c r="HO78" s="57"/>
      <c r="HP78" s="57"/>
      <c r="HQ78" s="57"/>
      <c r="HR78" s="57"/>
      <c r="HS78" s="57"/>
      <c r="HT78" s="57"/>
      <c r="HU78" s="57"/>
      <c r="HV78" s="57"/>
      <c r="HW78" s="57"/>
      <c r="HX78" s="57"/>
      <c r="HY78" s="57"/>
      <c r="HZ78" s="57"/>
      <c r="IA78" s="57"/>
      <c r="IB78" s="57"/>
      <c r="IC78" s="57"/>
      <c r="IJ78" s="57"/>
      <c r="IK78" s="57"/>
      <c r="IL78" s="57"/>
      <c r="IM78" s="57"/>
      <c r="IN78" s="57"/>
      <c r="IO78" s="57"/>
      <c r="IP78" s="57"/>
    </row>
    <row r="79" spans="1:250" x14ac:dyDescent="0.3">
      <c r="AJ79" s="57"/>
      <c r="AK79" s="58"/>
      <c r="AL79" s="111"/>
      <c r="CR79" s="77">
        <f>CR76+1</f>
        <v>22</v>
      </c>
      <c r="CS79" s="44"/>
      <c r="CT79" s="44"/>
      <c r="CU79" s="48" t="s">
        <v>129</v>
      </c>
      <c r="CV79" s="92">
        <f ca="1">AE70</f>
        <v>4.5648610417658959E-4</v>
      </c>
      <c r="CW79" s="57"/>
      <c r="CX79" s="93">
        <f ca="1">BD37</f>
        <v>0</v>
      </c>
      <c r="CY79" s="94">
        <f ca="1">BF37</f>
        <v>0</v>
      </c>
      <c r="CZ79" s="95">
        <f ca="1">BH37</f>
        <v>0</v>
      </c>
      <c r="DA79" s="57"/>
      <c r="DB79" s="78">
        <f t="array" aca="1" ref="DB79:DB81" ca="1">MMULT(CX79:CZ81,CV79:CV81)</f>
        <v>0</v>
      </c>
      <c r="DC79" s="57"/>
      <c r="DD79" s="96"/>
      <c r="DE79" s="97"/>
      <c r="DF79" s="97"/>
      <c r="DG79" s="97"/>
      <c r="DH79" s="97"/>
      <c r="DI79" s="98"/>
      <c r="DJ79" s="57">
        <f>DJ76+1</f>
        <v>22</v>
      </c>
      <c r="DK79" s="57"/>
      <c r="DL79" s="57"/>
      <c r="DM79" s="87" t="s">
        <v>129</v>
      </c>
      <c r="DN79" s="99">
        <f ca="1">INDEX(DE16:DE115,MATCH(DJ79,A16:A50,0))</f>
        <v>0</v>
      </c>
      <c r="DO79" s="57"/>
      <c r="DP79" s="57"/>
      <c r="DQ79" s="87" t="s">
        <v>130</v>
      </c>
      <c r="DR79" s="99">
        <f ca="1">INDEX(DD16:DD115,MATCH(DJ79,A16:A50,0))</f>
        <v>0</v>
      </c>
      <c r="DS79" s="57"/>
      <c r="DT79" s="93">
        <f ca="1">CX79</f>
        <v>0</v>
      </c>
      <c r="DU79" s="94">
        <f t="shared" ca="1" si="102"/>
        <v>0</v>
      </c>
      <c r="DV79" s="95">
        <f t="shared" ca="1" si="103"/>
        <v>0</v>
      </c>
      <c r="DW79" s="57"/>
      <c r="DX79" s="80">
        <f t="array" aca="1" ref="DX79:DX81" ca="1">MMULT(DT79:DV81,DN79:DN81)</f>
        <v>0</v>
      </c>
      <c r="DY79" s="80"/>
      <c r="DZ79" s="80">
        <f t="array" aca="1" ref="DZ79:DZ81" ca="1">MMULT(DT79:DV81,DR79:DR81)</f>
        <v>0</v>
      </c>
      <c r="FJ79" s="107" t="str">
        <f t="shared" ca="1" si="257"/>
        <v/>
      </c>
      <c r="FK79" s="107" t="str">
        <f t="shared" ca="1" si="257"/>
        <v/>
      </c>
      <c r="FL79" s="107" t="str">
        <f t="shared" ca="1" si="257"/>
        <v/>
      </c>
      <c r="FM79" s="107" t="str">
        <f t="shared" ca="1" si="257"/>
        <v/>
      </c>
      <c r="FN79" s="107" t="str">
        <f t="shared" ca="1" si="257"/>
        <v/>
      </c>
      <c r="FO79" s="107" t="str">
        <f t="shared" ca="1" si="257"/>
        <v/>
      </c>
      <c r="FP79" s="107" t="str">
        <f t="shared" ca="1" si="257"/>
        <v/>
      </c>
      <c r="FR79" s="82"/>
      <c r="FS79" s="61">
        <v>0</v>
      </c>
      <c r="FT79" s="69">
        <f>FT78</f>
        <v>-5.1590551181102368E-2</v>
      </c>
      <c r="FU79" s="61">
        <v>0</v>
      </c>
      <c r="FV79" s="69">
        <f t="shared" si="321"/>
        <v>-5.1590551181102368E-2</v>
      </c>
      <c r="FW79" s="69">
        <v>0</v>
      </c>
      <c r="FX79" s="70">
        <f t="shared" si="322"/>
        <v>-5.1590551181102368E-2</v>
      </c>
      <c r="FY79" s="82"/>
      <c r="FZ79" s="61">
        <v>0</v>
      </c>
      <c r="GA79" s="69">
        <f>GA78</f>
        <v>-5.1590551181102368E-2</v>
      </c>
      <c r="GB79" s="61">
        <v>0</v>
      </c>
      <c r="GC79" s="109">
        <f t="shared" si="191"/>
        <v>-5.1590551181102368E-2</v>
      </c>
      <c r="GD79" s="61">
        <v>0</v>
      </c>
      <c r="GE79" s="110">
        <f t="shared" si="323"/>
        <v>-5.1590551181102368E-2</v>
      </c>
      <c r="GF79" s="84"/>
      <c r="GG79" s="111">
        <v>0</v>
      </c>
      <c r="GH79" s="85">
        <f>GH78</f>
        <v>-5.1590551181102368E-2</v>
      </c>
      <c r="GI79" s="112">
        <v>0</v>
      </c>
      <c r="GJ79" s="112">
        <f t="shared" si="192"/>
        <v>-5.1590551181102368E-2</v>
      </c>
      <c r="GK79" s="112">
        <v>0</v>
      </c>
      <c r="GL79" s="112">
        <f t="shared" si="193"/>
        <v>-5.1590551181102368E-2</v>
      </c>
      <c r="GN79" s="69">
        <f t="shared" si="244"/>
        <v>-5.1590551181102368E-2</v>
      </c>
      <c r="GO79" s="113"/>
      <c r="GP79" s="113"/>
      <c r="GQ79" s="113"/>
      <c r="GR79" s="113"/>
      <c r="GS79" s="113"/>
      <c r="GT79" s="113"/>
      <c r="GU79" s="113"/>
      <c r="HO79" s="57"/>
      <c r="HP79" s="57"/>
      <c r="HQ79" s="57"/>
      <c r="HR79" s="57"/>
      <c r="HS79" s="57"/>
      <c r="HT79" s="57"/>
      <c r="HU79" s="57"/>
      <c r="HV79" s="57"/>
      <c r="HW79" s="57"/>
      <c r="HX79" s="57"/>
      <c r="HY79" s="57"/>
      <c r="HZ79" s="57"/>
      <c r="IA79" s="57"/>
      <c r="IB79" s="57"/>
      <c r="IC79" s="57"/>
      <c r="IJ79" s="57"/>
      <c r="IK79" s="57"/>
      <c r="IL79" s="57"/>
      <c r="IM79" s="57"/>
      <c r="IN79" s="57"/>
      <c r="IO79" s="57"/>
      <c r="IP79" s="57"/>
    </row>
    <row r="80" spans="1:250" x14ac:dyDescent="0.3">
      <c r="AK80" s="58">
        <f ca="1">(HS33+HS34)/2+(((HS33-HS34)/2)^2+(HS35/2)^2)^0.5</f>
        <v>1.3802472382196222E-3</v>
      </c>
      <c r="CR80" s="77"/>
      <c r="CS80" s="44"/>
      <c r="CT80" s="44"/>
      <c r="CU80" s="48" t="s">
        <v>131</v>
      </c>
      <c r="CV80" s="92">
        <f ca="1">AE71</f>
        <v>4.0799587495451728E-5</v>
      </c>
      <c r="CW80" s="57"/>
      <c r="CX80" s="90">
        <f ca="1">BG37</f>
        <v>0</v>
      </c>
      <c r="CY80" s="83">
        <f ca="1">BE37</f>
        <v>0</v>
      </c>
      <c r="CZ80" s="91">
        <f ca="1">BK37</f>
        <v>0</v>
      </c>
      <c r="DA80" s="57"/>
      <c r="DB80" s="78">
        <f ca="1"/>
        <v>0</v>
      </c>
      <c r="DC80" s="57"/>
      <c r="DD80" s="96"/>
      <c r="DE80" s="97"/>
      <c r="DF80" s="97"/>
      <c r="DG80" s="97"/>
      <c r="DH80" s="97"/>
      <c r="DI80" s="98"/>
      <c r="DJ80" s="57"/>
      <c r="DK80" s="57"/>
      <c r="DL80" s="57"/>
      <c r="DM80" s="87" t="s">
        <v>131</v>
      </c>
      <c r="DN80" s="99">
        <f ca="1">INDEX(DG16:DG115,MATCH(DJ79,A16:A50,0))</f>
        <v>0</v>
      </c>
      <c r="DO80" s="57"/>
      <c r="DP80" s="57"/>
      <c r="DQ80" s="87" t="s">
        <v>132</v>
      </c>
      <c r="DR80" s="99">
        <f ca="1">INDEX(DF16:DF115,MATCH(DJ79,A16:A50,0))</f>
        <v>0</v>
      </c>
      <c r="DS80" s="57"/>
      <c r="DT80" s="90">
        <f t="shared" ref="DT80:DT81" ca="1" si="330">CX80</f>
        <v>0</v>
      </c>
      <c r="DU80" s="83">
        <f t="shared" ca="1" si="102"/>
        <v>0</v>
      </c>
      <c r="DV80" s="91">
        <f t="shared" ca="1" si="103"/>
        <v>0</v>
      </c>
      <c r="DW80" s="57"/>
      <c r="DX80" s="80">
        <f ca="1"/>
        <v>0</v>
      </c>
      <c r="DY80" s="80"/>
      <c r="DZ80" s="80">
        <f ca="1"/>
        <v>0</v>
      </c>
      <c r="FJ80" s="107" t="str">
        <f t="shared" ca="1" si="257"/>
        <v/>
      </c>
      <c r="FK80" s="107" t="str">
        <f t="shared" ca="1" si="257"/>
        <v/>
      </c>
      <c r="FL80" s="107" t="str">
        <f t="shared" ca="1" si="257"/>
        <v/>
      </c>
      <c r="FM80" s="107" t="str">
        <f t="shared" ca="1" si="257"/>
        <v/>
      </c>
      <c r="FN80" s="107" t="str">
        <f t="shared" ca="1" si="257"/>
        <v/>
      </c>
      <c r="FO80" s="107" t="str">
        <f t="shared" ca="1" si="257"/>
        <v/>
      </c>
      <c r="FP80" s="107" t="str">
        <f t="shared" ca="1" si="257"/>
        <v/>
      </c>
      <c r="FR80" s="82">
        <f>FR76+1</f>
        <v>17</v>
      </c>
      <c r="FS80" s="61">
        <v>0</v>
      </c>
      <c r="FT80" s="69">
        <f>INDEX(AF16:AF115,MATCH(GF80,A16:A115,0))</f>
        <v>-5.1590551181102361E-2</v>
      </c>
      <c r="FU80" s="61">
        <v>0</v>
      </c>
      <c r="FV80" s="69">
        <f>FT80</f>
        <v>-5.1590551181102361E-2</v>
      </c>
      <c r="FW80" s="69">
        <v>0</v>
      </c>
      <c r="FX80" s="70">
        <f>FV80</f>
        <v>-5.1590551181102361E-2</v>
      </c>
      <c r="FY80" s="82">
        <f>FY76+1</f>
        <v>17</v>
      </c>
      <c r="FZ80" s="61">
        <v>0</v>
      </c>
      <c r="GA80" s="69">
        <f>FT80</f>
        <v>-5.1590551181102361E-2</v>
      </c>
      <c r="GB80" s="108">
        <v>0</v>
      </c>
      <c r="GC80" s="109">
        <f t="shared" si="191"/>
        <v>-5.1590551181102361E-2</v>
      </c>
      <c r="GD80" s="61">
        <v>0</v>
      </c>
      <c r="GE80" s="110">
        <f>GC80</f>
        <v>-5.1590551181102361E-2</v>
      </c>
      <c r="GF80" s="84">
        <f>GF76+1</f>
        <v>17</v>
      </c>
      <c r="GG80" s="111">
        <v>0</v>
      </c>
      <c r="GH80" s="85">
        <f>FT80</f>
        <v>-5.1590551181102361E-2</v>
      </c>
      <c r="GI80" s="112">
        <v>0</v>
      </c>
      <c r="GJ80" s="112">
        <f t="shared" si="192"/>
        <v>-5.1590551181102361E-2</v>
      </c>
      <c r="GK80" s="112">
        <v>0</v>
      </c>
      <c r="GL80" s="112">
        <f t="shared" si="193"/>
        <v>-5.1590551181102361E-2</v>
      </c>
      <c r="GM80" s="117">
        <f>GM76+1</f>
        <v>17</v>
      </c>
      <c r="GN80" s="69">
        <f t="shared" ref="GN80:GN111" si="331">GH80</f>
        <v>-5.1590551181102361E-2</v>
      </c>
      <c r="GO80" s="113"/>
      <c r="GP80" s="113"/>
      <c r="GQ80" s="113"/>
      <c r="GR80" s="113"/>
      <c r="GS80" s="113"/>
      <c r="GT80" s="113"/>
      <c r="GU80" s="113"/>
      <c r="HO80" s="57"/>
      <c r="HP80" s="57"/>
      <c r="HQ80" s="57"/>
      <c r="HR80" s="57"/>
      <c r="HS80" s="57"/>
      <c r="HT80" s="57"/>
      <c r="HU80" s="57"/>
      <c r="HV80" s="57"/>
      <c r="HW80" s="57"/>
      <c r="HX80" s="57"/>
      <c r="HY80" s="57"/>
      <c r="HZ80" s="57"/>
      <c r="IA80" s="57"/>
      <c r="IB80" s="57"/>
      <c r="IC80" s="57"/>
      <c r="IJ80" s="57"/>
      <c r="IK80" s="57"/>
      <c r="IL80" s="57"/>
      <c r="IM80" s="57"/>
      <c r="IN80" s="57"/>
      <c r="IO80" s="57"/>
      <c r="IP80" s="57"/>
    </row>
    <row r="81" spans="1:250" x14ac:dyDescent="0.3">
      <c r="AB81" s="36"/>
      <c r="AC81" s="36"/>
      <c r="AG81" s="36"/>
      <c r="AH81" s="36"/>
      <c r="AK81" s="58">
        <f ca="1">(HS33+HS34)/2-(((HS33-HS34)/2)^2+(HS35/2)^2)^0.5</f>
        <v>-1.0797448648957214E-2</v>
      </c>
      <c r="CR81" s="77"/>
      <c r="CS81" s="44"/>
      <c r="CT81" s="44"/>
      <c r="CU81" s="48" t="s">
        <v>133</v>
      </c>
      <c r="CV81" s="92">
        <f ca="1">AE72</f>
        <v>-2.771243444540907E-4</v>
      </c>
      <c r="CW81" s="57"/>
      <c r="CX81" s="114">
        <f ca="1">BI37</f>
        <v>0</v>
      </c>
      <c r="CY81" s="115">
        <f ca="1">BJ37</f>
        <v>0</v>
      </c>
      <c r="CZ81" s="116">
        <f ca="1">BL37</f>
        <v>0</v>
      </c>
      <c r="DA81" s="57"/>
      <c r="DB81" s="78">
        <f ca="1"/>
        <v>0</v>
      </c>
      <c r="DC81" s="57"/>
      <c r="DD81" s="96"/>
      <c r="DE81" s="97"/>
      <c r="DF81" s="97"/>
      <c r="DG81" s="97"/>
      <c r="DH81" s="97"/>
      <c r="DI81" s="98"/>
      <c r="DJ81" s="57"/>
      <c r="DK81" s="57"/>
      <c r="DL81" s="57"/>
      <c r="DM81" s="87" t="s">
        <v>133</v>
      </c>
      <c r="DN81" s="99">
        <f ca="1">INDEX(DI16:DI115,MATCH(DJ79,A16:A50,0))</f>
        <v>0</v>
      </c>
      <c r="DO81" s="57"/>
      <c r="DP81" s="57"/>
      <c r="DQ81" s="87" t="s">
        <v>134</v>
      </c>
      <c r="DR81" s="99">
        <f ca="1">INDEX(DH16:DH115,MATCH(DJ79,A16:A50,0))</f>
        <v>0</v>
      </c>
      <c r="DS81" s="57"/>
      <c r="DT81" s="114">
        <f t="shared" ca="1" si="330"/>
        <v>0</v>
      </c>
      <c r="DU81" s="115">
        <f t="shared" ca="1" si="102"/>
        <v>0</v>
      </c>
      <c r="DV81" s="116">
        <f t="shared" ca="1" si="103"/>
        <v>0</v>
      </c>
      <c r="DW81" s="57"/>
      <c r="DX81" s="80">
        <f ca="1"/>
        <v>0</v>
      </c>
      <c r="DY81" s="80"/>
      <c r="DZ81" s="80">
        <f ca="1"/>
        <v>0</v>
      </c>
      <c r="FJ81" s="107" t="str">
        <f t="shared" ca="1" si="257"/>
        <v/>
      </c>
      <c r="FK81" s="107" t="str">
        <f t="shared" ca="1" si="257"/>
        <v/>
      </c>
      <c r="FL81" s="107" t="str">
        <f t="shared" ca="1" si="257"/>
        <v/>
      </c>
      <c r="FM81" s="107" t="str">
        <f t="shared" ca="1" si="257"/>
        <v/>
      </c>
      <c r="FN81" s="107" t="str">
        <f t="shared" ca="1" si="257"/>
        <v/>
      </c>
      <c r="FO81" s="107" t="str">
        <f t="shared" ca="1" si="257"/>
        <v/>
      </c>
      <c r="FP81" s="107" t="str">
        <f t="shared" ca="1" si="257"/>
        <v/>
      </c>
      <c r="FR81" s="82"/>
      <c r="FS81" s="69">
        <f ca="1">INDEX(EB16:EB115,MATCH(GF80,A16:A115,0))</f>
        <v>2268.0369963811145</v>
      </c>
      <c r="FT81" s="69">
        <f>FT80</f>
        <v>-5.1590551181102361E-2</v>
      </c>
      <c r="FU81" s="69">
        <f ca="1">INDEX(EC16:EC115,MATCH(GF80,A16:A115,0))</f>
        <v>1802.4758241316983</v>
      </c>
      <c r="FV81" s="69">
        <f t="shared" ref="FV81:FV83" si="332">FT81</f>
        <v>-5.1590551181102361E-2</v>
      </c>
      <c r="FW81" s="69">
        <f ca="1">INDEX(ED16:ED115,MATCH(GF80,A16:A115,0))</f>
        <v>-1007.8166055871841</v>
      </c>
      <c r="FX81" s="70">
        <f t="shared" ref="FX81:FX83" si="333">FV81</f>
        <v>-5.1590551181102361E-2</v>
      </c>
      <c r="FY81" s="82"/>
      <c r="FZ81" s="101">
        <f ca="1">INDEX(EE16:EE115,MATCH(GF80,A16:A115,0))</f>
        <v>26784.483654100884</v>
      </c>
      <c r="GA81" s="69">
        <f>GA80</f>
        <v>-5.1590551181102361E-2</v>
      </c>
      <c r="GB81" s="61">
        <f ca="1">INDEX(EG16:EG115,MATCH(GF80,A16:A115,0))</f>
        <v>21908.307071656876</v>
      </c>
      <c r="GC81" s="109">
        <f t="shared" si="191"/>
        <v>-5.1590551181102361E-2</v>
      </c>
      <c r="GD81" s="69">
        <f ca="1">INDEX(EI16:EI115,MATCH(GF80,A16:A115,0))</f>
        <v>-22588.094317548486</v>
      </c>
      <c r="GE81" s="110">
        <f t="shared" ref="GE81:GE83" si="334">GC81</f>
        <v>-5.1590551181102361E-2</v>
      </c>
      <c r="GF81" s="84"/>
      <c r="GG81" s="111">
        <f ca="1">FS81+FZ81</f>
        <v>29052.520650481998</v>
      </c>
      <c r="GH81" s="85">
        <f>GH80</f>
        <v>-5.1590551181102361E-2</v>
      </c>
      <c r="GI81" s="111">
        <f ca="1">FU81+GB81</f>
        <v>23710.782895788576</v>
      </c>
      <c r="GJ81" s="112">
        <f t="shared" si="192"/>
        <v>-5.1590551181102361E-2</v>
      </c>
      <c r="GK81" s="111">
        <f ca="1">FW81+GD81</f>
        <v>-23595.910923135671</v>
      </c>
      <c r="GL81" s="112">
        <f t="shared" si="193"/>
        <v>-5.1590551181102361E-2</v>
      </c>
      <c r="GN81" s="69">
        <f t="shared" si="331"/>
        <v>-5.1590551181102361E-2</v>
      </c>
      <c r="GO81" s="113">
        <f ca="1">INDEX(FJ16:FJ115,MATCH(GM80,A16:A115,0))</f>
        <v>-0.60469070532983937</v>
      </c>
      <c r="GP81" s="113">
        <f ca="1">INDEX(FK16:FK115,MATCH(GM80,A16:A115,0))</f>
        <v>-0.5968568645096215</v>
      </c>
      <c r="GQ81" s="113">
        <f ca="1">INDEX(FL16:FL115,MATCH(GM80,A16:A115,0))</f>
        <v>-0.16540904367384013</v>
      </c>
      <c r="GR81" s="113">
        <f ca="1">INDEX(FM16:FM115,MATCH(GM80,A16:A115,0))</f>
        <v>-0.16442657471190314</v>
      </c>
      <c r="GS81" s="113">
        <f ca="1">INDEX(FN16:FN115,MATCH(GM80,A16:A115,0))</f>
        <v>1.5747674545474015</v>
      </c>
      <c r="GT81" s="113">
        <f ca="1">INDEX(FO16:FO115,MATCH(GM80,A16:A115,0))</f>
        <v>1.5761241650792241</v>
      </c>
      <c r="GU81" s="113">
        <f ca="1">INDEX(FP16:FP115,MATCH(GM80,A16:A115,0))</f>
        <v>-0.59182515891694121</v>
      </c>
      <c r="HO81" s="57"/>
      <c r="HP81" s="57"/>
      <c r="HQ81" s="57"/>
      <c r="HR81" s="57"/>
      <c r="HS81" s="57"/>
      <c r="HT81" s="57"/>
      <c r="HU81" s="57"/>
      <c r="HV81" s="57"/>
      <c r="HW81" s="57"/>
      <c r="HX81" s="57"/>
      <c r="HY81" s="57"/>
      <c r="HZ81" s="57"/>
      <c r="IA81" s="57"/>
      <c r="IB81" s="57"/>
      <c r="IC81" s="57"/>
      <c r="IJ81" s="57"/>
      <c r="IK81" s="57"/>
      <c r="IL81" s="57"/>
      <c r="IM81" s="57"/>
      <c r="IN81" s="57"/>
      <c r="IO81" s="57"/>
      <c r="IP81" s="57"/>
    </row>
    <row r="82" spans="1:250" x14ac:dyDescent="0.3">
      <c r="A82" s="169"/>
      <c r="B82" s="36"/>
      <c r="C82" s="36"/>
      <c r="D82" s="36"/>
      <c r="E82" s="170"/>
      <c r="F82" s="170"/>
      <c r="G82" s="169"/>
      <c r="H82" s="169"/>
      <c r="I82" s="169"/>
      <c r="J82" s="169"/>
      <c r="K82" s="169"/>
      <c r="AB82" s="36"/>
      <c r="AC82" s="36"/>
      <c r="AD82" s="36"/>
      <c r="AE82" s="36"/>
      <c r="AF82" s="36"/>
      <c r="AG82" s="36"/>
      <c r="AH82" s="36"/>
      <c r="AK82" s="58">
        <f ca="1">2*(((HS33-HS34)/2)^2+(HS35/2)^2)^0.5</f>
        <v>1.2177695887176836E-2</v>
      </c>
      <c r="CR82" s="77">
        <f>CR79+1</f>
        <v>23</v>
      </c>
      <c r="CS82" s="44"/>
      <c r="CT82" s="44"/>
      <c r="CU82" s="48" t="s">
        <v>129</v>
      </c>
      <c r="CV82" s="92">
        <f ca="1">AE70</f>
        <v>4.5648610417658959E-4</v>
      </c>
      <c r="CW82" s="57"/>
      <c r="CX82" s="93">
        <f ca="1">BD38</f>
        <v>0</v>
      </c>
      <c r="CY82" s="94">
        <f ca="1">BF38</f>
        <v>0</v>
      </c>
      <c r="CZ82" s="95">
        <f ca="1">BH38</f>
        <v>0</v>
      </c>
      <c r="DA82" s="57"/>
      <c r="DB82" s="78">
        <f t="array" aca="1" ref="DB82:DB84" ca="1">MMULT(CX82:CZ84,CV82:CV84)</f>
        <v>0</v>
      </c>
      <c r="DC82" s="57"/>
      <c r="DD82" s="96"/>
      <c r="DE82" s="97"/>
      <c r="DF82" s="97"/>
      <c r="DG82" s="97"/>
      <c r="DH82" s="97"/>
      <c r="DI82" s="98"/>
      <c r="DJ82" s="57">
        <f>DJ79+1</f>
        <v>23</v>
      </c>
      <c r="DK82" s="57"/>
      <c r="DL82" s="57"/>
      <c r="DM82" s="87" t="s">
        <v>129</v>
      </c>
      <c r="DN82" s="99">
        <f ca="1">INDEX(DE16:DE115,MATCH(DJ82,A16:A50,0))</f>
        <v>0</v>
      </c>
      <c r="DO82" s="57"/>
      <c r="DP82" s="57"/>
      <c r="DQ82" s="87" t="s">
        <v>130</v>
      </c>
      <c r="DR82" s="99">
        <f ca="1">INDEX(DD16:DD115,MATCH(DJ82,A16:A50,0))</f>
        <v>0</v>
      </c>
      <c r="DS82" s="57"/>
      <c r="DT82" s="93">
        <f ca="1">CX82</f>
        <v>0</v>
      </c>
      <c r="DU82" s="94">
        <f t="shared" ca="1" si="102"/>
        <v>0</v>
      </c>
      <c r="DV82" s="95">
        <f t="shared" ca="1" si="103"/>
        <v>0</v>
      </c>
      <c r="DW82" s="57"/>
      <c r="DX82" s="80">
        <f t="array" aca="1" ref="DX82:DX84" ca="1">MMULT(DT82:DV84,DN82:DN84)</f>
        <v>0</v>
      </c>
      <c r="DY82" s="80"/>
      <c r="DZ82" s="80">
        <f t="array" aca="1" ref="DZ82:DZ84" ca="1">MMULT(DT82:DV84,DR82:DR84)</f>
        <v>0</v>
      </c>
      <c r="FJ82" s="107" t="str">
        <f t="shared" ca="1" si="257"/>
        <v/>
      </c>
      <c r="FK82" s="107" t="str">
        <f t="shared" ca="1" si="257"/>
        <v/>
      </c>
      <c r="FL82" s="107" t="str">
        <f t="shared" ca="1" si="257"/>
        <v/>
      </c>
      <c r="FM82" s="107" t="str">
        <f t="shared" ca="1" si="257"/>
        <v/>
      </c>
      <c r="FN82" s="107" t="str">
        <f t="shared" ca="1" si="257"/>
        <v/>
      </c>
      <c r="FO82" s="107" t="str">
        <f t="shared" ca="1" si="257"/>
        <v/>
      </c>
      <c r="FP82" s="107" t="str">
        <f t="shared" ca="1" si="257"/>
        <v/>
      </c>
      <c r="FR82" s="82"/>
      <c r="FS82" s="69">
        <f ca="1">FS81</f>
        <v>2268.0369963811145</v>
      </c>
      <c r="FT82" s="69">
        <f>INDEX(AE16:AE115,MATCH(GF80,A16:A115,0))</f>
        <v>-6.0188976377952758E-2</v>
      </c>
      <c r="FU82" s="69">
        <f ca="1">FU81</f>
        <v>1802.4758241316983</v>
      </c>
      <c r="FV82" s="69">
        <f t="shared" si="332"/>
        <v>-6.0188976377952758E-2</v>
      </c>
      <c r="FW82" s="69">
        <f ca="1">FW81</f>
        <v>-1007.8166055871841</v>
      </c>
      <c r="FX82" s="70">
        <f t="shared" si="333"/>
        <v>-6.0188976377952758E-2</v>
      </c>
      <c r="FY82" s="82"/>
      <c r="FZ82" s="101">
        <f ca="1">INDEX(EF16:EF115,MATCH(GF80,A16:A115,0))</f>
        <v>31248.5642631177</v>
      </c>
      <c r="GA82" s="69">
        <f>FT82</f>
        <v>-6.0188976377952758E-2</v>
      </c>
      <c r="GB82" s="61">
        <f ca="1">INDEX(EH16:EH115,MATCH(GF80,A16:A115,0))</f>
        <v>25559.691583599692</v>
      </c>
      <c r="GC82" s="109">
        <f t="shared" si="191"/>
        <v>-6.0188976377952758E-2</v>
      </c>
      <c r="GD82" s="69">
        <f ca="1">INDEX(EJ16:EJ115,MATCH(GF80,A16:A115,0))</f>
        <v>-26352.776703806569</v>
      </c>
      <c r="GE82" s="110">
        <f t="shared" si="334"/>
        <v>-6.0188976377952758E-2</v>
      </c>
      <c r="GF82" s="84"/>
      <c r="GG82" s="111">
        <f ca="1">FS82+FZ82</f>
        <v>33516.601259498813</v>
      </c>
      <c r="GH82" s="85">
        <f>FT82</f>
        <v>-6.0188976377952758E-2</v>
      </c>
      <c r="GI82" s="111">
        <f ca="1">FU82+GB82</f>
        <v>27362.167407731391</v>
      </c>
      <c r="GJ82" s="112">
        <f t="shared" si="192"/>
        <v>-6.0188976377952758E-2</v>
      </c>
      <c r="GK82" s="111">
        <f ca="1">FW82+GD82</f>
        <v>-27360.593309393753</v>
      </c>
      <c r="GL82" s="112">
        <f t="shared" si="193"/>
        <v>-6.0188976377952758E-2</v>
      </c>
      <c r="GN82" s="69">
        <f t="shared" si="331"/>
        <v>-6.0188976377952758E-2</v>
      </c>
      <c r="GO82" s="113">
        <f ca="1">GO81</f>
        <v>-0.60469070532983937</v>
      </c>
      <c r="GP82" s="113">
        <f t="shared" ref="GP82" ca="1" si="335">GP81</f>
        <v>-0.5968568645096215</v>
      </c>
      <c r="GQ82" s="113">
        <f t="shared" ref="GQ82" ca="1" si="336">GQ81</f>
        <v>-0.16540904367384013</v>
      </c>
      <c r="GR82" s="113">
        <f t="shared" ref="GR82" ca="1" si="337">GR81</f>
        <v>-0.16442657471190314</v>
      </c>
      <c r="GS82" s="113">
        <f t="shared" ref="GS82" ca="1" si="338">GS81</f>
        <v>1.5747674545474015</v>
      </c>
      <c r="GT82" s="113">
        <f t="shared" ref="GT82" ca="1" si="339">GT81</f>
        <v>1.5761241650792241</v>
      </c>
      <c r="GU82" s="113">
        <f t="shared" ref="GU82" ca="1" si="340">GU81</f>
        <v>-0.59182515891694121</v>
      </c>
      <c r="HO82" s="57"/>
      <c r="HP82" s="57"/>
      <c r="HQ82" s="57"/>
      <c r="HR82" s="57"/>
      <c r="HS82" s="57"/>
      <c r="HT82" s="57"/>
      <c r="HU82" s="57"/>
      <c r="HV82" s="57"/>
      <c r="HW82" s="57"/>
      <c r="HX82" s="57"/>
      <c r="HY82" s="57"/>
      <c r="HZ82" s="57"/>
      <c r="IA82" s="57"/>
      <c r="IB82" s="57"/>
      <c r="IC82" s="57"/>
      <c r="IJ82" s="57"/>
      <c r="IK82" s="57"/>
      <c r="IL82" s="57"/>
      <c r="IM82" s="57"/>
      <c r="IN82" s="57"/>
      <c r="IO82" s="57"/>
      <c r="IP82" s="57"/>
    </row>
    <row r="83" spans="1:250" x14ac:dyDescent="0.3">
      <c r="A83" s="169"/>
      <c r="B83" s="36"/>
      <c r="C83" s="36"/>
      <c r="D83" s="36"/>
      <c r="E83" s="170"/>
      <c r="F83" s="170"/>
      <c r="G83" s="169"/>
      <c r="H83" s="169"/>
      <c r="I83" s="169"/>
      <c r="J83" s="169"/>
      <c r="K83" s="169"/>
      <c r="AB83" s="36"/>
      <c r="AC83" s="36"/>
      <c r="AD83" s="36"/>
      <c r="AE83" s="36"/>
      <c r="AF83" s="36"/>
      <c r="AG83" s="36"/>
      <c r="AH83" s="36"/>
      <c r="CR83" s="77"/>
      <c r="CS83" s="44"/>
      <c r="CT83" s="44"/>
      <c r="CU83" s="48" t="s">
        <v>131</v>
      </c>
      <c r="CV83" s="92">
        <f ca="1">AE71</f>
        <v>4.0799587495451728E-5</v>
      </c>
      <c r="CW83" s="57"/>
      <c r="CX83" s="90">
        <f ca="1">BG38</f>
        <v>0</v>
      </c>
      <c r="CY83" s="83">
        <f ca="1">BE38</f>
        <v>0</v>
      </c>
      <c r="CZ83" s="91">
        <f ca="1">BK38</f>
        <v>0</v>
      </c>
      <c r="DA83" s="57"/>
      <c r="DB83" s="78">
        <f ca="1"/>
        <v>0</v>
      </c>
      <c r="DC83" s="57"/>
      <c r="DD83" s="96"/>
      <c r="DE83" s="97"/>
      <c r="DF83" s="97"/>
      <c r="DG83" s="97"/>
      <c r="DH83" s="97"/>
      <c r="DI83" s="98"/>
      <c r="DJ83" s="57"/>
      <c r="DK83" s="57"/>
      <c r="DL83" s="57"/>
      <c r="DM83" s="87" t="s">
        <v>131</v>
      </c>
      <c r="DN83" s="99">
        <f ca="1">INDEX(DG16:DG115,MATCH(DJ82,A16:A50,0))</f>
        <v>0</v>
      </c>
      <c r="DO83" s="57"/>
      <c r="DP83" s="57"/>
      <c r="DQ83" s="87" t="s">
        <v>132</v>
      </c>
      <c r="DR83" s="99">
        <f ca="1">INDEX(DF16:DF115,MATCH(DJ82,A16:A50,0))</f>
        <v>0</v>
      </c>
      <c r="DS83" s="57"/>
      <c r="DT83" s="90">
        <f t="shared" ref="DT83:DT84" ca="1" si="341">CX83</f>
        <v>0</v>
      </c>
      <c r="DU83" s="83">
        <f t="shared" ref="DU83:DU120" ca="1" si="342">CY83</f>
        <v>0</v>
      </c>
      <c r="DV83" s="91">
        <f t="shared" ref="DV83:DV120" ca="1" si="343">CZ83</f>
        <v>0</v>
      </c>
      <c r="DW83" s="57"/>
      <c r="DX83" s="80">
        <f ca="1"/>
        <v>0</v>
      </c>
      <c r="DY83" s="80"/>
      <c r="DZ83" s="80">
        <f ca="1"/>
        <v>0</v>
      </c>
      <c r="FJ83" s="107" t="str">
        <f t="shared" ca="1" si="257"/>
        <v/>
      </c>
      <c r="FK83" s="107" t="str">
        <f t="shared" ca="1" si="257"/>
        <v/>
      </c>
      <c r="FL83" s="107" t="str">
        <f t="shared" ca="1" si="257"/>
        <v/>
      </c>
      <c r="FM83" s="107" t="str">
        <f t="shared" ca="1" si="257"/>
        <v/>
      </c>
      <c r="FN83" s="107" t="str">
        <f t="shared" ca="1" si="257"/>
        <v/>
      </c>
      <c r="FO83" s="107" t="str">
        <f t="shared" ca="1" si="257"/>
        <v/>
      </c>
      <c r="FP83" s="107" t="str">
        <f t="shared" ca="1" si="257"/>
        <v/>
      </c>
      <c r="FR83" s="82"/>
      <c r="FS83" s="61">
        <v>0</v>
      </c>
      <c r="FT83" s="69">
        <f>FT82</f>
        <v>-6.0188976377952758E-2</v>
      </c>
      <c r="FU83" s="61">
        <v>0</v>
      </c>
      <c r="FV83" s="69">
        <f t="shared" si="332"/>
        <v>-6.0188976377952758E-2</v>
      </c>
      <c r="FW83" s="69">
        <v>0</v>
      </c>
      <c r="FX83" s="70">
        <f t="shared" si="333"/>
        <v>-6.0188976377952758E-2</v>
      </c>
      <c r="FY83" s="82"/>
      <c r="FZ83" s="61">
        <v>0</v>
      </c>
      <c r="GA83" s="69">
        <f>GA82</f>
        <v>-6.0188976377952758E-2</v>
      </c>
      <c r="GB83" s="61">
        <v>0</v>
      </c>
      <c r="GC83" s="109">
        <f t="shared" si="191"/>
        <v>-6.0188976377952758E-2</v>
      </c>
      <c r="GD83" s="61">
        <v>0</v>
      </c>
      <c r="GE83" s="110">
        <f t="shared" si="334"/>
        <v>-6.0188976377952758E-2</v>
      </c>
      <c r="GF83" s="84"/>
      <c r="GG83" s="111">
        <v>0</v>
      </c>
      <c r="GH83" s="85">
        <f>GH82</f>
        <v>-6.0188976377952758E-2</v>
      </c>
      <c r="GI83" s="112">
        <v>0</v>
      </c>
      <c r="GJ83" s="112">
        <f t="shared" si="192"/>
        <v>-6.0188976377952758E-2</v>
      </c>
      <c r="GK83" s="112">
        <v>0</v>
      </c>
      <c r="GL83" s="112">
        <f t="shared" si="193"/>
        <v>-6.0188976377952758E-2</v>
      </c>
      <c r="GN83" s="69">
        <f t="shared" si="331"/>
        <v>-6.0188976377952758E-2</v>
      </c>
      <c r="GO83" s="113"/>
      <c r="GP83" s="113"/>
      <c r="GQ83" s="113"/>
      <c r="GR83" s="113"/>
      <c r="GS83" s="113"/>
      <c r="GT83" s="113"/>
      <c r="GU83" s="113"/>
      <c r="HO83" s="57"/>
      <c r="HP83" s="57"/>
      <c r="HQ83" s="57"/>
      <c r="HR83" s="57"/>
      <c r="HS83" s="57"/>
      <c r="HT83" s="57"/>
      <c r="HU83" s="57"/>
      <c r="HV83" s="57"/>
      <c r="HW83" s="57"/>
      <c r="HX83" s="57"/>
      <c r="HY83" s="57"/>
      <c r="HZ83" s="57"/>
      <c r="IA83" s="57"/>
      <c r="IB83" s="57"/>
      <c r="IC83" s="57"/>
      <c r="IJ83" s="57"/>
      <c r="IK83" s="57"/>
      <c r="IL83" s="57"/>
      <c r="IM83" s="57"/>
      <c r="IN83" s="57"/>
      <c r="IO83" s="57"/>
      <c r="IP83" s="57"/>
    </row>
    <row r="84" spans="1:250" x14ac:dyDescent="0.3">
      <c r="A84" s="169"/>
      <c r="B84" s="36"/>
      <c r="C84" s="36"/>
      <c r="D84" s="36"/>
      <c r="E84" s="170"/>
      <c r="F84" s="170"/>
      <c r="G84" s="169"/>
      <c r="H84" s="169"/>
      <c r="I84" s="169"/>
      <c r="J84" s="169"/>
      <c r="K84" s="169"/>
      <c r="AB84" s="36"/>
      <c r="AC84" s="122"/>
      <c r="AD84" s="122"/>
      <c r="AE84" s="122"/>
      <c r="AF84" s="122"/>
      <c r="AG84" s="122"/>
      <c r="AH84" s="122"/>
      <c r="CR84" s="77"/>
      <c r="CS84" s="44"/>
      <c r="CT84" s="44"/>
      <c r="CU84" s="48" t="s">
        <v>133</v>
      </c>
      <c r="CV84" s="92">
        <f ca="1">AE72</f>
        <v>-2.771243444540907E-4</v>
      </c>
      <c r="CW84" s="57"/>
      <c r="CX84" s="114">
        <f ca="1">BI38</f>
        <v>0</v>
      </c>
      <c r="CY84" s="115">
        <f ca="1">BJ38</f>
        <v>0</v>
      </c>
      <c r="CZ84" s="116">
        <f ca="1">BL38</f>
        <v>0</v>
      </c>
      <c r="DA84" s="57"/>
      <c r="DB84" s="78">
        <f ca="1"/>
        <v>0</v>
      </c>
      <c r="DC84" s="57"/>
      <c r="DD84" s="96"/>
      <c r="DE84" s="97"/>
      <c r="DF84" s="97"/>
      <c r="DG84" s="97"/>
      <c r="DH84" s="97"/>
      <c r="DI84" s="98"/>
      <c r="DJ84" s="57"/>
      <c r="DK84" s="57"/>
      <c r="DL84" s="57"/>
      <c r="DM84" s="87" t="s">
        <v>133</v>
      </c>
      <c r="DN84" s="99">
        <f ca="1">INDEX(DI16:DI115,MATCH(DJ82,A16:A50,0))</f>
        <v>0</v>
      </c>
      <c r="DO84" s="57"/>
      <c r="DP84" s="57"/>
      <c r="DQ84" s="87" t="s">
        <v>134</v>
      </c>
      <c r="DR84" s="99">
        <f ca="1">INDEX(DH16:DH115,MATCH(DJ82,A16:A50,0))</f>
        <v>0</v>
      </c>
      <c r="DS84" s="57"/>
      <c r="DT84" s="114">
        <f t="shared" ca="1" si="341"/>
        <v>0</v>
      </c>
      <c r="DU84" s="115">
        <f t="shared" ca="1" si="342"/>
        <v>0</v>
      </c>
      <c r="DV84" s="116">
        <f t="shared" ca="1" si="343"/>
        <v>0</v>
      </c>
      <c r="DW84" s="57"/>
      <c r="DX84" s="80">
        <f ca="1"/>
        <v>0</v>
      </c>
      <c r="DY84" s="80"/>
      <c r="DZ84" s="80">
        <f ca="1"/>
        <v>0</v>
      </c>
      <c r="FJ84" s="107" t="str">
        <f t="shared" ca="1" si="257"/>
        <v/>
      </c>
      <c r="FK84" s="107" t="str">
        <f t="shared" ca="1" si="257"/>
        <v/>
      </c>
      <c r="FL84" s="107" t="str">
        <f t="shared" ca="1" si="257"/>
        <v/>
      </c>
      <c r="FM84" s="107" t="str">
        <f t="shared" ca="1" si="257"/>
        <v/>
      </c>
      <c r="FN84" s="107" t="str">
        <f t="shared" ca="1" si="257"/>
        <v/>
      </c>
      <c r="FO84" s="107" t="str">
        <f t="shared" ca="1" si="257"/>
        <v/>
      </c>
      <c r="FP84" s="107" t="str">
        <f t="shared" ca="1" si="257"/>
        <v/>
      </c>
      <c r="FR84" s="82">
        <f>FR80+1</f>
        <v>18</v>
      </c>
      <c r="FS84" s="61">
        <v>0</v>
      </c>
      <c r="FT84" s="69">
        <f>INDEX(AF16:AF115,MATCH(GF84,A16:A115,0))</f>
        <v>-6.0188976377952751E-2</v>
      </c>
      <c r="FU84" s="61">
        <v>0</v>
      </c>
      <c r="FV84" s="69">
        <f>FT84</f>
        <v>-6.0188976377952751E-2</v>
      </c>
      <c r="FW84" s="69">
        <v>0</v>
      </c>
      <c r="FX84" s="70">
        <f>FV84</f>
        <v>-6.0188976377952751E-2</v>
      </c>
      <c r="FY84" s="82">
        <f>FY80+1</f>
        <v>18</v>
      </c>
      <c r="FZ84" s="61">
        <v>0</v>
      </c>
      <c r="GA84" s="69">
        <f>FT84</f>
        <v>-6.0188976377952751E-2</v>
      </c>
      <c r="GB84" s="108">
        <v>0</v>
      </c>
      <c r="GC84" s="109">
        <f t="shared" si="191"/>
        <v>-6.0188976377952751E-2</v>
      </c>
      <c r="GD84" s="61">
        <v>0</v>
      </c>
      <c r="GE84" s="110">
        <f>GC84</f>
        <v>-6.0188976377952751E-2</v>
      </c>
      <c r="GF84" s="84">
        <f>GF80+1</f>
        <v>18</v>
      </c>
      <c r="GG84" s="111">
        <v>0</v>
      </c>
      <c r="GH84" s="85">
        <f>FT84</f>
        <v>-6.0188976377952751E-2</v>
      </c>
      <c r="GI84" s="112">
        <v>0</v>
      </c>
      <c r="GJ84" s="112">
        <f t="shared" si="192"/>
        <v>-6.0188976377952751E-2</v>
      </c>
      <c r="GK84" s="112">
        <v>0</v>
      </c>
      <c r="GL84" s="112">
        <f t="shared" si="193"/>
        <v>-6.0188976377952751E-2</v>
      </c>
      <c r="GM84" s="117">
        <f>GM80+1</f>
        <v>18</v>
      </c>
      <c r="GN84" s="69">
        <f t="shared" si="331"/>
        <v>-6.0188976377952751E-2</v>
      </c>
      <c r="GO84" s="113"/>
      <c r="GP84" s="113"/>
      <c r="GQ84" s="113"/>
      <c r="GR84" s="113"/>
      <c r="GS84" s="113"/>
      <c r="GT84" s="113"/>
      <c r="GU84" s="113"/>
      <c r="HO84" s="57"/>
      <c r="HP84" s="57"/>
      <c r="HQ84" s="57"/>
      <c r="HR84" s="57"/>
      <c r="HS84" s="57"/>
      <c r="HT84" s="57"/>
      <c r="HU84" s="57"/>
      <c r="HV84" s="57"/>
      <c r="HW84" s="57"/>
      <c r="HX84" s="57"/>
      <c r="HY84" s="57"/>
      <c r="HZ84" s="57"/>
      <c r="IA84" s="57"/>
      <c r="IB84" s="57"/>
      <c r="IC84" s="57"/>
      <c r="IJ84" s="57"/>
      <c r="IK84" s="57"/>
      <c r="IL84" s="57"/>
      <c r="IM84" s="57"/>
      <c r="IN84" s="57"/>
      <c r="IO84" s="57"/>
      <c r="IP84" s="57"/>
    </row>
    <row r="85" spans="1:250" x14ac:dyDescent="0.3">
      <c r="A85" s="169"/>
      <c r="B85" s="86"/>
      <c r="C85" s="86"/>
      <c r="D85" s="86"/>
      <c r="E85" s="170"/>
      <c r="F85" s="212"/>
      <c r="G85" s="169"/>
      <c r="H85" s="169"/>
      <c r="I85" s="169"/>
      <c r="J85" s="169"/>
      <c r="K85" s="169"/>
      <c r="AB85" s="36"/>
      <c r="AC85" s="122"/>
      <c r="AD85" s="122"/>
      <c r="AE85" s="122"/>
      <c r="AF85" s="122"/>
      <c r="AG85" s="122"/>
      <c r="AH85" s="122"/>
      <c r="AI85" s="36"/>
      <c r="CR85" s="77">
        <f>CR82+1</f>
        <v>24</v>
      </c>
      <c r="CS85" s="44"/>
      <c r="CT85" s="44"/>
      <c r="CU85" s="48" t="s">
        <v>129</v>
      </c>
      <c r="CV85" s="92">
        <f ca="1">AE70</f>
        <v>4.5648610417658959E-4</v>
      </c>
      <c r="CW85" s="57"/>
      <c r="CX85" s="93">
        <f ca="1">BD39</f>
        <v>0</v>
      </c>
      <c r="CY85" s="94">
        <f ca="1">BF39</f>
        <v>0</v>
      </c>
      <c r="CZ85" s="95">
        <f ca="1">BH39</f>
        <v>0</v>
      </c>
      <c r="DA85" s="57"/>
      <c r="DB85" s="78">
        <f t="array" aca="1" ref="DB85:DB87" ca="1">MMULT(CX85:CZ87,CV85:CV87)</f>
        <v>0</v>
      </c>
      <c r="DC85" s="57"/>
      <c r="DD85" s="96"/>
      <c r="DE85" s="97"/>
      <c r="DF85" s="97"/>
      <c r="DG85" s="97"/>
      <c r="DH85" s="97"/>
      <c r="DI85" s="98"/>
      <c r="DJ85" s="57">
        <f>DJ82+1</f>
        <v>24</v>
      </c>
      <c r="DK85" s="57"/>
      <c r="DL85" s="57"/>
      <c r="DM85" s="87" t="s">
        <v>129</v>
      </c>
      <c r="DN85" s="99">
        <f ca="1">INDEX(DE16:DE115,MATCH(DJ85,A16:A50,0))</f>
        <v>0</v>
      </c>
      <c r="DO85" s="57"/>
      <c r="DP85" s="57"/>
      <c r="DQ85" s="87" t="s">
        <v>130</v>
      </c>
      <c r="DR85" s="99">
        <f ca="1">INDEX(DD16:DD115,MATCH(DJ85,A16:A50,0))</f>
        <v>0</v>
      </c>
      <c r="DS85" s="57"/>
      <c r="DT85" s="93">
        <f ca="1">CX85</f>
        <v>0</v>
      </c>
      <c r="DU85" s="94">
        <f t="shared" ca="1" si="342"/>
        <v>0</v>
      </c>
      <c r="DV85" s="95">
        <f t="shared" ca="1" si="343"/>
        <v>0</v>
      </c>
      <c r="DW85" s="57"/>
      <c r="DX85" s="80">
        <f t="array" aca="1" ref="DX85:DX87" ca="1">MMULT(DT85:DV87,DN85:DN87)</f>
        <v>0</v>
      </c>
      <c r="DY85" s="80"/>
      <c r="DZ85" s="80">
        <f t="array" aca="1" ref="DZ85:DZ87" ca="1">MMULT(DT85:DV87,DR85:DR87)</f>
        <v>0</v>
      </c>
      <c r="FJ85" s="107" t="str">
        <f t="shared" ca="1" si="257"/>
        <v/>
      </c>
      <c r="FK85" s="107" t="str">
        <f t="shared" ca="1" si="257"/>
        <v/>
      </c>
      <c r="FL85" s="107" t="str">
        <f t="shared" ca="1" si="257"/>
        <v/>
      </c>
      <c r="FM85" s="107" t="str">
        <f t="shared" ca="1" si="257"/>
        <v/>
      </c>
      <c r="FN85" s="107" t="str">
        <f t="shared" ca="1" si="257"/>
        <v/>
      </c>
      <c r="FO85" s="107" t="str">
        <f t="shared" ca="1" si="257"/>
        <v/>
      </c>
      <c r="FP85" s="107" t="str">
        <f t="shared" ca="1" si="257"/>
        <v/>
      </c>
      <c r="FR85" s="82"/>
      <c r="FS85" s="69">
        <f ca="1">INDEX(EB16:EB115,MATCH(GF84,A16:A115,0))</f>
        <v>3546.9813186371889</v>
      </c>
      <c r="FT85" s="69">
        <f>FT84</f>
        <v>-6.0188976377952751E-2</v>
      </c>
      <c r="FU85" s="69">
        <f ca="1">INDEX(EC16:EC115,MATCH(GF84,A16:A115,0))</f>
        <v>523.53150187562358</v>
      </c>
      <c r="FV85" s="69">
        <f t="shared" ref="FV85:FV87" si="344">FT85</f>
        <v>-6.0188976377952751E-2</v>
      </c>
      <c r="FW85" s="69">
        <f ca="1">INDEX(ED16:ED115,MATCH(GF84,A16:A115,0))</f>
        <v>-155.18705741647139</v>
      </c>
      <c r="FX85" s="70">
        <f t="shared" ref="FX85:FX87" si="345">FV85</f>
        <v>-6.0188976377952751E-2</v>
      </c>
      <c r="FY85" s="82"/>
      <c r="FZ85" s="101">
        <f ca="1">INDEX(EE16:EE115,MATCH(GF84,A16:A115,0))</f>
        <v>46876.481381621314</v>
      </c>
      <c r="GA85" s="69">
        <f>GA84</f>
        <v>-6.0188976377952751E-2</v>
      </c>
      <c r="GB85" s="61">
        <f ca="1">INDEX(EG16:EG115,MATCH(GF84,A16:A115,0))</f>
        <v>9931.7744650960703</v>
      </c>
      <c r="GC85" s="109">
        <f t="shared" si="191"/>
        <v>-6.0188976377952751E-2</v>
      </c>
      <c r="GD85" s="69">
        <f ca="1">INDEX(EI16:EI115,MATCH(GF84,A16:A115,0))</f>
        <v>-4057.8909384355202</v>
      </c>
      <c r="GE85" s="110">
        <f t="shared" ref="GE85:GE87" si="346">GC85</f>
        <v>-6.0188976377952751E-2</v>
      </c>
      <c r="GF85" s="84"/>
      <c r="GG85" s="111">
        <f ca="1">FS85+FZ85</f>
        <v>50423.462700258504</v>
      </c>
      <c r="GH85" s="85">
        <f>GH84</f>
        <v>-6.0188976377952751E-2</v>
      </c>
      <c r="GI85" s="111">
        <f ca="1">FU85+GB85</f>
        <v>10455.305966971693</v>
      </c>
      <c r="GJ85" s="112">
        <f t="shared" si="192"/>
        <v>-6.0188976377952751E-2</v>
      </c>
      <c r="GK85" s="111">
        <f ca="1">FW85+GD85</f>
        <v>-4213.0779958519915</v>
      </c>
      <c r="GL85" s="112">
        <f t="shared" si="193"/>
        <v>-6.0188976377952751E-2</v>
      </c>
      <c r="GN85" s="69">
        <f t="shared" si="331"/>
        <v>-6.0188976377952751E-2</v>
      </c>
      <c r="GO85" s="113">
        <f ca="1">INDEX(FJ16:FJ115,MATCH(GM84,A16:A115,0))</f>
        <v>-8.6326810275440646E-2</v>
      </c>
      <c r="GP85" s="113">
        <f ca="1">INDEX(FK16:FK115,MATCH(GM84,A16:A115,0))</f>
        <v>0.36188614148996257</v>
      </c>
      <c r="GQ85" s="113">
        <f ca="1">INDEX(FL16:FL115,MATCH(GM84,A16:A115,0))</f>
        <v>0.67494088514685679</v>
      </c>
      <c r="GR85" s="113">
        <f ca="1">INDEX(FM16:FM115,MATCH(GM84,A16:A115,0))</f>
        <v>0.69289011716856308</v>
      </c>
      <c r="GS85" s="113">
        <f ca="1">INDEX(FN16:FN115,MATCH(GM84,A16:A115,0))</f>
        <v>0.51080704922147668</v>
      </c>
      <c r="GT85" s="113">
        <f ca="1">INDEX(FO16:FO115,MATCH(GM84,A16:A115,0))</f>
        <v>4.9362947332892677</v>
      </c>
      <c r="GU85" s="113">
        <f ca="1">INDEX(FP16:FP115,MATCH(GM84,A16:A115,0))</f>
        <v>1.3301535877670063</v>
      </c>
      <c r="HO85" s="57"/>
      <c r="HP85" s="57"/>
      <c r="HQ85" s="57"/>
      <c r="HR85" s="57"/>
      <c r="HS85" s="57"/>
      <c r="HT85" s="57"/>
      <c r="HU85" s="57"/>
      <c r="HV85" s="57"/>
      <c r="HW85" s="57"/>
      <c r="HX85" s="57"/>
      <c r="HY85" s="57"/>
      <c r="HZ85" s="57"/>
      <c r="IA85" s="57"/>
      <c r="IB85" s="57"/>
      <c r="IC85" s="57"/>
      <c r="IJ85" s="57"/>
      <c r="IK85" s="57"/>
      <c r="IL85" s="57"/>
      <c r="IM85" s="57"/>
      <c r="IN85" s="57"/>
      <c r="IO85" s="57"/>
      <c r="IP85" s="57"/>
    </row>
    <row r="86" spans="1:250" x14ac:dyDescent="0.3">
      <c r="A86" s="139"/>
      <c r="B86" s="86"/>
      <c r="C86" s="86"/>
      <c r="D86" s="86"/>
      <c r="E86" s="86"/>
      <c r="F86" s="86"/>
      <c r="G86" s="139"/>
      <c r="H86" s="139"/>
      <c r="I86" s="139"/>
      <c r="J86" s="139"/>
      <c r="K86" s="139"/>
      <c r="AB86" s="36"/>
      <c r="AC86" s="122"/>
      <c r="AD86" s="123">
        <f t="shared" ref="AD86:AI88" ca="1" si="347">F55</f>
        <v>1064669.6195517574</v>
      </c>
      <c r="AE86" s="123">
        <f t="shared" ca="1" si="347"/>
        <v>342971.92679228442</v>
      </c>
      <c r="AF86" s="123">
        <f t="shared" ca="1" si="347"/>
        <v>0</v>
      </c>
      <c r="AG86" s="123">
        <f t="shared" ca="1" si="347"/>
        <v>1.0913936421275139E-11</v>
      </c>
      <c r="AH86" s="123">
        <f t="shared" ca="1" si="347"/>
        <v>2.7284841053187847E-12</v>
      </c>
      <c r="AI86" s="123">
        <f t="shared" ca="1" si="347"/>
        <v>0</v>
      </c>
      <c r="AK86" s="124">
        <f t="array" aca="1" ref="AK86:AP91" ca="1">MINVERSE(AD86:AI91)</f>
        <v>1.0480149266152615E-6</v>
      </c>
      <c r="AL86" s="124">
        <f ca="1"/>
        <v>-3.3760679565520109E-7</v>
      </c>
      <c r="AM86" s="124">
        <f ca="1"/>
        <v>0</v>
      </c>
      <c r="AN86" s="124">
        <f ca="1"/>
        <v>-4.3880188829557486E-21</v>
      </c>
      <c r="AO86" s="124">
        <f ca="1"/>
        <v>1.5942485619828241E-21</v>
      </c>
      <c r="AP86" s="124">
        <f ca="1"/>
        <v>0</v>
      </c>
      <c r="AR86" s="125">
        <f>F71</f>
        <v>500</v>
      </c>
      <c r="AT86" s="126">
        <f t="array" aca="1" ref="AT86:AT91" ca="1">MMULT(AK86:AP91,AR86:AR91)</f>
        <v>4.5648610417658959E-4</v>
      </c>
      <c r="AW86" s="39">
        <f ca="1">AT86+($F$51/2)*AT89</f>
        <v>9.0418974435240006E-3</v>
      </c>
      <c r="AX86" s="39">
        <f ca="1">AT86-($F$51/2)*AT89</f>
        <v>-8.1289252351708207E-3</v>
      </c>
      <c r="CR86" s="77"/>
      <c r="CS86" s="44"/>
      <c r="CT86" s="44"/>
      <c r="CU86" s="48" t="s">
        <v>131</v>
      </c>
      <c r="CV86" s="92">
        <f ca="1">AE71</f>
        <v>4.0799587495451728E-5</v>
      </c>
      <c r="CW86" s="57"/>
      <c r="CX86" s="90">
        <f ca="1">BG39</f>
        <v>0</v>
      </c>
      <c r="CY86" s="83">
        <f ca="1">BE39</f>
        <v>0</v>
      </c>
      <c r="CZ86" s="91">
        <f ca="1">BK39</f>
        <v>0</v>
      </c>
      <c r="DA86" s="57"/>
      <c r="DB86" s="78">
        <f ca="1"/>
        <v>0</v>
      </c>
      <c r="DC86" s="57"/>
      <c r="DD86" s="96"/>
      <c r="DE86" s="97"/>
      <c r="DF86" s="97"/>
      <c r="DG86" s="97"/>
      <c r="DH86" s="97"/>
      <c r="DI86" s="98"/>
      <c r="DJ86" s="57"/>
      <c r="DK86" s="57"/>
      <c r="DL86" s="57"/>
      <c r="DM86" s="87" t="s">
        <v>131</v>
      </c>
      <c r="DN86" s="99">
        <f ca="1">INDEX(DG16:DG115,MATCH(DJ85,A16:A50,0))</f>
        <v>0</v>
      </c>
      <c r="DO86" s="57"/>
      <c r="DP86" s="57"/>
      <c r="DQ86" s="87" t="s">
        <v>132</v>
      </c>
      <c r="DR86" s="99">
        <f ca="1">INDEX(DF16:DF115,MATCH(DJ85,A16:A50,0))</f>
        <v>0</v>
      </c>
      <c r="DS86" s="57"/>
      <c r="DT86" s="90">
        <f t="shared" ref="DT86:DT87" ca="1" si="348">CX86</f>
        <v>0</v>
      </c>
      <c r="DU86" s="83">
        <f t="shared" ca="1" si="342"/>
        <v>0</v>
      </c>
      <c r="DV86" s="91">
        <f t="shared" ca="1" si="343"/>
        <v>0</v>
      </c>
      <c r="DW86" s="57"/>
      <c r="DX86" s="80">
        <f ca="1"/>
        <v>0</v>
      </c>
      <c r="DY86" s="80"/>
      <c r="DZ86" s="80">
        <f ca="1"/>
        <v>0</v>
      </c>
      <c r="FJ86" s="107" t="str">
        <f t="shared" ca="1" si="257"/>
        <v/>
      </c>
      <c r="FK86" s="107" t="str">
        <f t="shared" ca="1" si="257"/>
        <v/>
      </c>
      <c r="FL86" s="107" t="str">
        <f t="shared" ca="1" si="257"/>
        <v/>
      </c>
      <c r="FM86" s="107" t="str">
        <f t="shared" ca="1" si="257"/>
        <v/>
      </c>
      <c r="FN86" s="107" t="str">
        <f t="shared" ca="1" si="257"/>
        <v/>
      </c>
      <c r="FO86" s="107" t="str">
        <f t="shared" ca="1" si="257"/>
        <v/>
      </c>
      <c r="FP86" s="107" t="str">
        <f t="shared" ca="1" si="257"/>
        <v/>
      </c>
      <c r="FR86" s="82"/>
      <c r="FS86" s="69">
        <f ca="1">FS85</f>
        <v>3546.9813186371889</v>
      </c>
      <c r="FT86" s="69">
        <f>INDEX(AE16:AE115,MATCH(GF84,A16:A115,0))</f>
        <v>-6.8787401574803148E-2</v>
      </c>
      <c r="FU86" s="69">
        <f ca="1">FU85</f>
        <v>523.53150187562358</v>
      </c>
      <c r="FV86" s="69">
        <f t="shared" si="344"/>
        <v>-6.8787401574803148E-2</v>
      </c>
      <c r="FW86" s="69">
        <f ca="1">FW85</f>
        <v>-155.18705741647139</v>
      </c>
      <c r="FX86" s="70">
        <f t="shared" si="345"/>
        <v>-6.8787401574803148E-2</v>
      </c>
      <c r="FY86" s="82"/>
      <c r="FZ86" s="101">
        <f ca="1">INDEX(EF16:EF115,MATCH(GF84,A16:A115,0))</f>
        <v>53573.121578995786</v>
      </c>
      <c r="GA86" s="69">
        <f>FT86</f>
        <v>-6.8787401574803148E-2</v>
      </c>
      <c r="GB86" s="61">
        <f ca="1">INDEX(EH16:EH115,MATCH(GF84,A16:A115,0))</f>
        <v>11350.599388681221</v>
      </c>
      <c r="GC86" s="109">
        <f t="shared" si="191"/>
        <v>-6.8787401574803148E-2</v>
      </c>
      <c r="GD86" s="69">
        <f ca="1">INDEX(EJ16:EJ115,MATCH(GF84,A16:A115,0))</f>
        <v>-4637.5896439263097</v>
      </c>
      <c r="GE86" s="110">
        <f t="shared" si="346"/>
        <v>-6.8787401574803148E-2</v>
      </c>
      <c r="GF86" s="84"/>
      <c r="GG86" s="111">
        <f ca="1">FS86+FZ86</f>
        <v>57120.102897632976</v>
      </c>
      <c r="GH86" s="85">
        <f>FT86</f>
        <v>-6.8787401574803148E-2</v>
      </c>
      <c r="GI86" s="111">
        <f ca="1">FU86+GB86</f>
        <v>11874.130890556844</v>
      </c>
      <c r="GJ86" s="112">
        <f t="shared" si="192"/>
        <v>-6.8787401574803148E-2</v>
      </c>
      <c r="GK86" s="111">
        <f ca="1">FW86+GD86</f>
        <v>-4792.7767013427811</v>
      </c>
      <c r="GL86" s="112">
        <f t="shared" si="193"/>
        <v>-6.8787401574803148E-2</v>
      </c>
      <c r="GN86" s="69">
        <f t="shared" si="331"/>
        <v>-6.8787401574803148E-2</v>
      </c>
      <c r="GO86" s="113">
        <f ca="1">GO85</f>
        <v>-8.6326810275440646E-2</v>
      </c>
      <c r="GP86" s="113">
        <f t="shared" ref="GP86" ca="1" si="349">GP85</f>
        <v>0.36188614148996257</v>
      </c>
      <c r="GQ86" s="113">
        <f t="shared" ref="GQ86" ca="1" si="350">GQ85</f>
        <v>0.67494088514685679</v>
      </c>
      <c r="GR86" s="113">
        <f t="shared" ref="GR86" ca="1" si="351">GR85</f>
        <v>0.69289011716856308</v>
      </c>
      <c r="GS86" s="113">
        <f t="shared" ref="GS86" ca="1" si="352">GS85</f>
        <v>0.51080704922147668</v>
      </c>
      <c r="GT86" s="113">
        <f t="shared" ref="GT86" ca="1" si="353">GT85</f>
        <v>4.9362947332892677</v>
      </c>
      <c r="GU86" s="113">
        <f t="shared" ref="GU86" ca="1" si="354">GU85</f>
        <v>1.3301535877670063</v>
      </c>
      <c r="HO86" s="57"/>
      <c r="HP86" s="57"/>
      <c r="HQ86" s="57"/>
      <c r="HR86" s="57"/>
      <c r="HS86" s="57"/>
      <c r="HT86" s="57"/>
      <c r="HU86" s="57"/>
      <c r="HV86" s="57"/>
      <c r="HW86" s="57"/>
      <c r="HX86" s="57"/>
      <c r="HY86" s="57"/>
      <c r="HZ86" s="57"/>
      <c r="IA86" s="57"/>
      <c r="IB86" s="57"/>
      <c r="IC86" s="57"/>
      <c r="IJ86" s="57"/>
      <c r="IK86" s="57"/>
      <c r="IL86" s="57"/>
      <c r="IM86" s="57"/>
      <c r="IN86" s="57"/>
      <c r="IO86" s="57"/>
      <c r="IP86" s="57"/>
    </row>
    <row r="87" spans="1:250" x14ac:dyDescent="0.3">
      <c r="A87" s="169"/>
      <c r="B87" s="211"/>
      <c r="C87" s="86"/>
      <c r="D87" s="86"/>
      <c r="E87" s="170"/>
      <c r="F87" s="36"/>
      <c r="G87" s="169"/>
      <c r="H87" s="169"/>
      <c r="I87" s="169"/>
      <c r="J87" s="169"/>
      <c r="K87" s="169"/>
      <c r="AB87" s="36"/>
      <c r="AC87" s="122"/>
      <c r="AD87" s="123">
        <f t="shared" ca="1" si="347"/>
        <v>342971.92679228442</v>
      </c>
      <c r="AE87" s="123">
        <f t="shared" ca="1" si="347"/>
        <v>1064669.6195517574</v>
      </c>
      <c r="AF87" s="123">
        <f t="shared" ca="1" si="347"/>
        <v>0</v>
      </c>
      <c r="AG87" s="123">
        <f t="shared" ca="1" si="347"/>
        <v>2.7284841053187847E-12</v>
      </c>
      <c r="AH87" s="123">
        <f t="shared" ca="1" si="347"/>
        <v>1.0913936421275139E-11</v>
      </c>
      <c r="AI87" s="123">
        <f t="shared" ca="1" si="347"/>
        <v>0</v>
      </c>
      <c r="AK87" s="124">
        <f ca="1"/>
        <v>-3.3760679565520104E-7</v>
      </c>
      <c r="AL87" s="124">
        <f ca="1"/>
        <v>1.0480149266152615E-6</v>
      </c>
      <c r="AM87" s="124">
        <f ca="1"/>
        <v>0</v>
      </c>
      <c r="AN87" s="124">
        <f ca="1"/>
        <v>1.5942485619828239E-21</v>
      </c>
      <c r="AO87" s="124">
        <f ca="1"/>
        <v>-4.3880188829557486E-21</v>
      </c>
      <c r="AP87" s="124">
        <f ca="1"/>
        <v>0</v>
      </c>
      <c r="AR87" s="125">
        <f>F72</f>
        <v>200</v>
      </c>
      <c r="AT87" s="127">
        <f ca="1"/>
        <v>4.0799587495451728E-5</v>
      </c>
      <c r="AW87" s="39">
        <f ca="1">AT87+($F$51/2)*AT90</f>
        <v>1.3698753505576738E-3</v>
      </c>
      <c r="AX87" s="39">
        <f ca="1">AT87-($F$51/2)*AT90</f>
        <v>-1.2882761755667702E-3</v>
      </c>
      <c r="CR87" s="77"/>
      <c r="CS87" s="44"/>
      <c r="CT87" s="44"/>
      <c r="CU87" s="48" t="s">
        <v>133</v>
      </c>
      <c r="CV87" s="92">
        <f ca="1">AE72</f>
        <v>-2.771243444540907E-4</v>
      </c>
      <c r="CW87" s="57"/>
      <c r="CX87" s="114">
        <f ca="1">BI39</f>
        <v>0</v>
      </c>
      <c r="CY87" s="115">
        <f ca="1">BJ39</f>
        <v>0</v>
      </c>
      <c r="CZ87" s="116">
        <f ca="1">BL39</f>
        <v>0</v>
      </c>
      <c r="DA87" s="57"/>
      <c r="DB87" s="78">
        <f ca="1"/>
        <v>0</v>
      </c>
      <c r="DC87" s="57"/>
      <c r="DD87" s="96"/>
      <c r="DE87" s="97"/>
      <c r="DF87" s="97"/>
      <c r="DG87" s="97"/>
      <c r="DH87" s="97"/>
      <c r="DI87" s="98"/>
      <c r="DJ87" s="57"/>
      <c r="DK87" s="57"/>
      <c r="DL87" s="57"/>
      <c r="DM87" s="87" t="s">
        <v>133</v>
      </c>
      <c r="DN87" s="99">
        <f ca="1">INDEX(DI16:DI115,MATCH(DJ85,A16:A50,0))</f>
        <v>0</v>
      </c>
      <c r="DO87" s="57"/>
      <c r="DP87" s="57"/>
      <c r="DQ87" s="87" t="s">
        <v>134</v>
      </c>
      <c r="DR87" s="99">
        <f ca="1">INDEX(DH16:DH115,MATCH(DJ85,A16:A50,0))</f>
        <v>0</v>
      </c>
      <c r="DS87" s="57"/>
      <c r="DT87" s="114">
        <f t="shared" ca="1" si="348"/>
        <v>0</v>
      </c>
      <c r="DU87" s="115">
        <f t="shared" ca="1" si="342"/>
        <v>0</v>
      </c>
      <c r="DV87" s="116">
        <f t="shared" ca="1" si="343"/>
        <v>0</v>
      </c>
      <c r="DW87" s="57"/>
      <c r="DX87" s="80">
        <f ca="1"/>
        <v>0</v>
      </c>
      <c r="DY87" s="80"/>
      <c r="DZ87" s="80">
        <f ca="1"/>
        <v>0</v>
      </c>
      <c r="FJ87" s="107"/>
      <c r="FK87" s="107"/>
      <c r="FL87" s="107"/>
      <c r="FM87" s="107"/>
      <c r="FN87" s="107"/>
      <c r="FO87" s="107"/>
      <c r="FP87" s="107"/>
      <c r="FR87" s="82"/>
      <c r="FS87" s="61">
        <v>0</v>
      </c>
      <c r="FT87" s="69">
        <f>FT86</f>
        <v>-6.8787401574803148E-2</v>
      </c>
      <c r="FU87" s="61">
        <v>0</v>
      </c>
      <c r="FV87" s="69">
        <f t="shared" si="344"/>
        <v>-6.8787401574803148E-2</v>
      </c>
      <c r="FW87" s="69">
        <v>0</v>
      </c>
      <c r="FX87" s="70">
        <f t="shared" si="345"/>
        <v>-6.8787401574803148E-2</v>
      </c>
      <c r="FY87" s="82"/>
      <c r="FZ87" s="61">
        <v>0</v>
      </c>
      <c r="GA87" s="69">
        <f>GA86</f>
        <v>-6.8787401574803148E-2</v>
      </c>
      <c r="GB87" s="61">
        <v>0</v>
      </c>
      <c r="GC87" s="109">
        <f t="shared" si="191"/>
        <v>-6.8787401574803148E-2</v>
      </c>
      <c r="GD87" s="61">
        <v>0</v>
      </c>
      <c r="GE87" s="110">
        <f t="shared" si="346"/>
        <v>-6.8787401574803148E-2</v>
      </c>
      <c r="GF87" s="84"/>
      <c r="GG87" s="111">
        <v>0</v>
      </c>
      <c r="GH87" s="85">
        <f>GH86</f>
        <v>-6.8787401574803148E-2</v>
      </c>
      <c r="GI87" s="112">
        <v>0</v>
      </c>
      <c r="GJ87" s="112">
        <f t="shared" si="192"/>
        <v>-6.8787401574803148E-2</v>
      </c>
      <c r="GK87" s="112">
        <v>0</v>
      </c>
      <c r="GL87" s="112">
        <f t="shared" si="193"/>
        <v>-6.8787401574803148E-2</v>
      </c>
      <c r="GN87" s="69">
        <f t="shared" si="331"/>
        <v>-6.8787401574803148E-2</v>
      </c>
      <c r="GO87" s="113"/>
      <c r="GP87" s="113"/>
      <c r="GQ87" s="113"/>
      <c r="GR87" s="113"/>
      <c r="GS87" s="113"/>
      <c r="GT87" s="113"/>
      <c r="GU87" s="113"/>
      <c r="HO87" s="57"/>
      <c r="HP87" s="57"/>
      <c r="HQ87" s="57"/>
      <c r="HR87" s="57"/>
      <c r="HS87" s="57"/>
      <c r="HT87" s="57"/>
      <c r="HU87" s="57"/>
      <c r="HV87" s="57"/>
      <c r="HW87" s="57"/>
      <c r="HX87" s="57"/>
      <c r="HY87" s="57"/>
      <c r="HZ87" s="57"/>
      <c r="IA87" s="57"/>
      <c r="IB87" s="57"/>
      <c r="IC87" s="57"/>
      <c r="ID87" s="57"/>
      <c r="IE87" s="57"/>
      <c r="IF87" s="57"/>
      <c r="IG87" s="57"/>
      <c r="IH87" s="57"/>
      <c r="II87" s="57"/>
      <c r="IJ87" s="57"/>
      <c r="IK87" s="57"/>
      <c r="IL87" s="57"/>
      <c r="IM87" s="57"/>
      <c r="IN87" s="57"/>
      <c r="IO87" s="57"/>
      <c r="IP87" s="57"/>
    </row>
    <row r="88" spans="1:250" x14ac:dyDescent="0.3">
      <c r="A88" s="169"/>
      <c r="B88" s="36"/>
      <c r="C88" s="36"/>
      <c r="D88" s="36"/>
      <c r="E88" s="170"/>
      <c r="F88" s="36"/>
      <c r="G88" s="169"/>
      <c r="H88" s="169"/>
      <c r="I88" s="169"/>
      <c r="J88" s="169"/>
      <c r="K88" s="169"/>
      <c r="AB88" s="36"/>
      <c r="AC88" s="122"/>
      <c r="AD88" s="123">
        <f t="shared" ca="1" si="347"/>
        <v>0</v>
      </c>
      <c r="AE88" s="123">
        <f t="shared" ca="1" si="347"/>
        <v>0</v>
      </c>
      <c r="AF88" s="123">
        <f t="shared" ca="1" si="347"/>
        <v>360848.84637973661</v>
      </c>
      <c r="AG88" s="123">
        <f t="shared" ca="1" si="347"/>
        <v>0</v>
      </c>
      <c r="AH88" s="123">
        <f t="shared" ca="1" si="347"/>
        <v>0</v>
      </c>
      <c r="AI88" s="123">
        <f t="shared" ca="1" si="347"/>
        <v>5.0022208597511053E-12</v>
      </c>
      <c r="AK88" s="124">
        <f ca="1"/>
        <v>0</v>
      </c>
      <c r="AL88" s="124">
        <f ca="1"/>
        <v>0</v>
      </c>
      <c r="AM88" s="124">
        <f ca="1"/>
        <v>2.771243444540924E-6</v>
      </c>
      <c r="AN88" s="124">
        <f ca="1"/>
        <v>0</v>
      </c>
      <c r="AO88" s="124">
        <f ca="1"/>
        <v>0</v>
      </c>
      <c r="AP88" s="124">
        <f ca="1"/>
        <v>-1.6689377391679394E-20</v>
      </c>
      <c r="AR88" s="125">
        <f>F73</f>
        <v>-100</v>
      </c>
      <c r="AT88" s="128">
        <f ca="1"/>
        <v>-2.771243444540907E-4</v>
      </c>
      <c r="AW88" s="39">
        <f ca="1">AT88+($F$51/2)*AT91</f>
        <v>-1.0629058739916679E-2</v>
      </c>
      <c r="AX88" s="39">
        <f ca="1">AT88-($F$51/2)*AT91</f>
        <v>1.0074810051008498E-2</v>
      </c>
      <c r="CR88" s="77">
        <f>CR85+1</f>
        <v>25</v>
      </c>
      <c r="CS88" s="44"/>
      <c r="CT88" s="44"/>
      <c r="CU88" s="48" t="s">
        <v>129</v>
      </c>
      <c r="CV88" s="92">
        <f ca="1">AE70</f>
        <v>4.5648610417658959E-4</v>
      </c>
      <c r="CW88" s="57"/>
      <c r="CX88" s="93">
        <f ca="1">BD40</f>
        <v>0</v>
      </c>
      <c r="CY88" s="94">
        <f ca="1">BF40</f>
        <v>0</v>
      </c>
      <c r="CZ88" s="95">
        <f ca="1">BH40</f>
        <v>0</v>
      </c>
      <c r="DA88" s="57"/>
      <c r="DB88" s="78">
        <f t="array" aca="1" ref="DB88:DB90" ca="1">MMULT(CX88:CZ90,CV88:CV90)</f>
        <v>0</v>
      </c>
      <c r="DC88" s="57"/>
      <c r="DD88" s="96"/>
      <c r="DE88" s="97"/>
      <c r="DF88" s="97"/>
      <c r="DG88" s="97"/>
      <c r="DH88" s="97"/>
      <c r="DI88" s="98"/>
      <c r="DJ88" s="57">
        <f>DJ85+1</f>
        <v>25</v>
      </c>
      <c r="DK88" s="57"/>
      <c r="DL88" s="57"/>
      <c r="DM88" s="87" t="s">
        <v>129</v>
      </c>
      <c r="DN88" s="99">
        <f ca="1">INDEX(DE16:DE115,MATCH(DJ88,A16:A50,0))</f>
        <v>0</v>
      </c>
      <c r="DO88" s="57"/>
      <c r="DP88" s="57"/>
      <c r="DQ88" s="87" t="s">
        <v>130</v>
      </c>
      <c r="DR88" s="99">
        <f ca="1">INDEX(DD16:DD115,MATCH(DJ88,A16:A50,0))</f>
        <v>0</v>
      </c>
      <c r="DS88" s="57"/>
      <c r="DT88" s="93">
        <f ca="1">CX88</f>
        <v>0</v>
      </c>
      <c r="DU88" s="94">
        <f t="shared" ca="1" si="342"/>
        <v>0</v>
      </c>
      <c r="DV88" s="95">
        <f t="shared" ca="1" si="343"/>
        <v>0</v>
      </c>
      <c r="DW88" s="57"/>
      <c r="DX88" s="80">
        <f t="array" aca="1" ref="DX88:DX90" ca="1">MMULT(DT88:DV90,DN88:DN90)</f>
        <v>0</v>
      </c>
      <c r="DY88" s="80"/>
      <c r="DZ88" s="80">
        <f t="array" aca="1" ref="DZ88:DZ90" ca="1">MMULT(DT88:DV90,DR88:DR90)</f>
        <v>0</v>
      </c>
      <c r="FJ88" s="107">
        <f ca="1">MIN(FJ52:FJ86)</f>
        <v>-0.72003332113961616</v>
      </c>
      <c r="FK88" s="107">
        <f ca="1">MIN(FK52:FK86)</f>
        <v>-0.71458330929133007</v>
      </c>
      <c r="FL88" s="107">
        <f ca="1">MIN(FL52:FL86)</f>
        <v>-1.24908333922005</v>
      </c>
      <c r="FM88" s="107">
        <f ca="1">MIN(FM52:FM86)</f>
        <v>-1.248423721014928</v>
      </c>
      <c r="FN88" s="107">
        <f ca="1">MIN(FN52:FN86)</f>
        <v>-8.2052263273679871E-2</v>
      </c>
      <c r="FO88" s="107"/>
      <c r="FP88" s="107"/>
      <c r="FR88" s="82">
        <f>FR84+1</f>
        <v>19</v>
      </c>
      <c r="FS88" s="61">
        <v>0</v>
      </c>
      <c r="FT88" s="69">
        <f>INDEX(AF16:AF115,MATCH(GF88,A16:A115,0))</f>
        <v>-6.8787401574803148E-2</v>
      </c>
      <c r="FU88" s="61">
        <v>0</v>
      </c>
      <c r="FV88" s="69">
        <f>FT88</f>
        <v>-6.8787401574803148E-2</v>
      </c>
      <c r="FW88" s="69">
        <v>0</v>
      </c>
      <c r="FX88" s="70">
        <f>FV88</f>
        <v>-6.8787401574803148E-2</v>
      </c>
      <c r="FY88" s="82">
        <f>FY84+1</f>
        <v>19</v>
      </c>
      <c r="FZ88" s="61">
        <v>0</v>
      </c>
      <c r="GA88" s="69">
        <f>FT88</f>
        <v>-6.8787401574803148E-2</v>
      </c>
      <c r="GB88" s="108">
        <v>0</v>
      </c>
      <c r="GC88" s="109">
        <f t="shared" si="191"/>
        <v>-6.8787401574803148E-2</v>
      </c>
      <c r="GD88" s="61">
        <v>0</v>
      </c>
      <c r="GE88" s="110">
        <f>GC88</f>
        <v>-6.8787401574803148E-2</v>
      </c>
      <c r="GF88" s="84">
        <f>GF84+1</f>
        <v>19</v>
      </c>
      <c r="GG88" s="111">
        <v>0</v>
      </c>
      <c r="GH88" s="85">
        <f>FT88</f>
        <v>-6.8787401574803148E-2</v>
      </c>
      <c r="GI88" s="112">
        <v>0</v>
      </c>
      <c r="GJ88" s="112">
        <f t="shared" si="192"/>
        <v>-6.8787401574803148E-2</v>
      </c>
      <c r="GK88" s="112">
        <v>0</v>
      </c>
      <c r="GL88" s="112">
        <f t="shared" si="193"/>
        <v>-6.8787401574803148E-2</v>
      </c>
      <c r="GM88" s="117">
        <f>GM84+1</f>
        <v>19</v>
      </c>
      <c r="GN88" s="69">
        <f t="shared" si="331"/>
        <v>-6.8787401574803148E-2</v>
      </c>
      <c r="GO88" s="113"/>
      <c r="GP88" s="113"/>
      <c r="GQ88" s="113"/>
      <c r="GR88" s="113"/>
      <c r="GS88" s="113"/>
      <c r="GT88" s="113"/>
      <c r="GU88" s="113"/>
      <c r="HO88" s="57"/>
      <c r="HP88" s="57"/>
      <c r="HQ88" s="57"/>
      <c r="HR88" s="57"/>
      <c r="HS88" s="57"/>
      <c r="HT88" s="57"/>
      <c r="HU88" s="57"/>
      <c r="HV88" s="57"/>
      <c r="HW88" s="57"/>
      <c r="HX88" s="57"/>
      <c r="HY88" s="57"/>
      <c r="HZ88" s="57"/>
      <c r="IA88" s="57"/>
      <c r="IB88" s="57"/>
      <c r="IC88" s="57"/>
      <c r="ID88" s="57"/>
      <c r="IE88" s="57"/>
      <c r="IF88" s="57"/>
      <c r="IG88" s="57"/>
      <c r="IH88" s="57"/>
      <c r="II88" s="57"/>
      <c r="IJ88" s="57"/>
      <c r="IK88" s="57"/>
      <c r="IL88" s="57"/>
      <c r="IM88" s="57"/>
      <c r="IN88" s="57"/>
      <c r="IO88" s="57"/>
      <c r="IP88" s="57"/>
    </row>
    <row r="89" spans="1:250" x14ac:dyDescent="0.3">
      <c r="A89" s="169"/>
      <c r="B89" s="36"/>
      <c r="C89" s="36"/>
      <c r="D89" s="36"/>
      <c r="E89" s="170"/>
      <c r="F89" s="36"/>
      <c r="G89" s="169"/>
      <c r="H89" s="169"/>
      <c r="I89" s="169"/>
      <c r="J89" s="169"/>
      <c r="K89" s="169"/>
      <c r="AB89" s="36"/>
      <c r="AC89" s="122"/>
      <c r="AD89" s="123">
        <f t="shared" ref="AD89:AF91" ca="1" si="355">I55</f>
        <v>1.0913936421275139E-11</v>
      </c>
      <c r="AE89" s="123">
        <f t="shared" ca="1" si="355"/>
        <v>2.7284841053187847E-12</v>
      </c>
      <c r="AF89" s="123">
        <f t="shared" ca="1" si="355"/>
        <v>0</v>
      </c>
      <c r="AG89" s="123">
        <f t="shared" ref="AG89:AI91" ca="1" si="356">I58</f>
        <v>2682.4807469250877</v>
      </c>
      <c r="AH89" s="123">
        <f t="shared" ca="1" si="356"/>
        <v>786.55405357835616</v>
      </c>
      <c r="AI89" s="123">
        <f t="shared" ca="1" si="356"/>
        <v>0</v>
      </c>
      <c r="AK89" s="124">
        <f ca="1"/>
        <v>-4.3880188829557493E-21</v>
      </c>
      <c r="AL89" s="124">
        <f ca="1"/>
        <v>1.5942485619828241E-21</v>
      </c>
      <c r="AM89" s="124">
        <f ca="1"/>
        <v>0</v>
      </c>
      <c r="AN89" s="124">
        <f ca="1"/>
        <v>4.0785558693642073E-4</v>
      </c>
      <c r="AO89" s="124">
        <f ca="1"/>
        <v>-1.1959096651379625E-4</v>
      </c>
      <c r="AP89" s="124">
        <f ca="1"/>
        <v>0</v>
      </c>
      <c r="AR89" s="125">
        <f>F76</f>
        <v>280</v>
      </c>
      <c r="AT89" s="126">
        <f ca="1"/>
        <v>9.9848648360542247E-2</v>
      </c>
      <c r="CR89" s="77"/>
      <c r="CS89" s="44"/>
      <c r="CT89" s="44"/>
      <c r="CU89" s="48" t="s">
        <v>131</v>
      </c>
      <c r="CV89" s="92">
        <f ca="1">AE71</f>
        <v>4.0799587495451728E-5</v>
      </c>
      <c r="CW89" s="57"/>
      <c r="CX89" s="90">
        <f ca="1">BG40</f>
        <v>0</v>
      </c>
      <c r="CY89" s="83">
        <f ca="1">BE40</f>
        <v>0</v>
      </c>
      <c r="CZ89" s="91">
        <f ca="1">BK40</f>
        <v>0</v>
      </c>
      <c r="DA89" s="57"/>
      <c r="DB89" s="78">
        <f ca="1"/>
        <v>0</v>
      </c>
      <c r="DC89" s="57"/>
      <c r="DD89" s="96"/>
      <c r="DE89" s="97"/>
      <c r="DF89" s="97"/>
      <c r="DG89" s="97"/>
      <c r="DH89" s="97"/>
      <c r="DI89" s="98"/>
      <c r="DJ89" s="57"/>
      <c r="DK89" s="57"/>
      <c r="DL89" s="57"/>
      <c r="DM89" s="87" t="s">
        <v>131</v>
      </c>
      <c r="DN89" s="99">
        <f ca="1">INDEX(DG16:DG115,MATCH(DJ88,A16:A50,0))</f>
        <v>0</v>
      </c>
      <c r="DO89" s="57"/>
      <c r="DP89" s="57"/>
      <c r="DQ89" s="87" t="s">
        <v>132</v>
      </c>
      <c r="DR89" s="99">
        <f ca="1">INDEX(DF16:DF115,MATCH(DJ88,A16:A50,0))</f>
        <v>0</v>
      </c>
      <c r="DS89" s="57"/>
      <c r="DT89" s="90">
        <f t="shared" ref="DT89:DT90" ca="1" si="357">CX89</f>
        <v>0</v>
      </c>
      <c r="DU89" s="83">
        <f t="shared" ca="1" si="342"/>
        <v>0</v>
      </c>
      <c r="DV89" s="91">
        <f t="shared" ca="1" si="343"/>
        <v>0</v>
      </c>
      <c r="DW89" s="57"/>
      <c r="DX89" s="80">
        <f ca="1"/>
        <v>0</v>
      </c>
      <c r="DY89" s="80"/>
      <c r="DZ89" s="80">
        <f ca="1"/>
        <v>0</v>
      </c>
      <c r="FJ89" s="129">
        <f ca="1">INDEX(A16:A50,MATCH(FJ88,FJ52:FJ86,0))</f>
        <v>20</v>
      </c>
      <c r="FK89" s="129">
        <f ca="1">INDEX(A16:A50,MATCH(FK88,FK52:FK86,0))</f>
        <v>20</v>
      </c>
      <c r="FL89" s="129">
        <f ca="1">INDEX(A16:A50,MATCH(FL88,FL52:FL86,0))</f>
        <v>1</v>
      </c>
      <c r="FM89" s="129">
        <f ca="1">INDEX(A16:A50,MATCH(FM88,FM52:FM86,0))</f>
        <v>1</v>
      </c>
      <c r="FN89" s="129">
        <f ca="1">INDEX(A16:A50,MATCH(FN88,FN52:FN86,0))</f>
        <v>2</v>
      </c>
      <c r="FO89" s="107"/>
      <c r="FP89" s="107"/>
      <c r="FR89" s="82"/>
      <c r="FS89" s="69">
        <f ca="1">INDEX(EB16:EB115,MATCH(GF88,A16:A115,0))</f>
        <v>3546.9813186371889</v>
      </c>
      <c r="FT89" s="69">
        <f>FT88</f>
        <v>-6.8787401574803148E-2</v>
      </c>
      <c r="FU89" s="69">
        <f ca="1">INDEX(EC16:EC115,MATCH(GF88,A16:A115,0))</f>
        <v>523.53150187562358</v>
      </c>
      <c r="FV89" s="69">
        <f t="shared" ref="FV89:FV91" si="358">FT89</f>
        <v>-6.8787401574803148E-2</v>
      </c>
      <c r="FW89" s="69">
        <f ca="1">INDEX(ED16:ED115,MATCH(GF88,A16:A115,0))</f>
        <v>-155.18705741647139</v>
      </c>
      <c r="FX89" s="70">
        <f t="shared" ref="FX89:FX91" si="359">FV89</f>
        <v>-6.8787401574803148E-2</v>
      </c>
      <c r="FY89" s="82"/>
      <c r="FZ89" s="101">
        <f ca="1">INDEX(EE16:EE115,MATCH(GF88,A16:A115,0))</f>
        <v>53573.121578995786</v>
      </c>
      <c r="GA89" s="69">
        <f>GA88</f>
        <v>-6.8787401574803148E-2</v>
      </c>
      <c r="GB89" s="61">
        <f ca="1">INDEX(EG16:EG115,MATCH(GF88,A16:A115,0))</f>
        <v>11350.599388681221</v>
      </c>
      <c r="GC89" s="109">
        <f t="shared" si="191"/>
        <v>-6.8787401574803148E-2</v>
      </c>
      <c r="GD89" s="69">
        <f ca="1">INDEX(EI16:EI115,MATCH(GF88,A16:A115,0))</f>
        <v>-4637.5896439263097</v>
      </c>
      <c r="GE89" s="110">
        <f t="shared" ref="GE89:GE91" si="360">GC89</f>
        <v>-6.8787401574803148E-2</v>
      </c>
      <c r="GF89" s="84"/>
      <c r="GG89" s="111">
        <f ca="1">FS89+FZ89</f>
        <v>57120.102897632976</v>
      </c>
      <c r="GH89" s="85">
        <f>GH88</f>
        <v>-6.8787401574803148E-2</v>
      </c>
      <c r="GI89" s="111">
        <f ca="1">FU89+GB89</f>
        <v>11874.130890556844</v>
      </c>
      <c r="GJ89" s="112">
        <f t="shared" si="192"/>
        <v>-6.8787401574803148E-2</v>
      </c>
      <c r="GK89" s="111">
        <f ca="1">FW89+GD89</f>
        <v>-4792.7767013427811</v>
      </c>
      <c r="GL89" s="112">
        <f t="shared" si="193"/>
        <v>-6.8787401574803148E-2</v>
      </c>
      <c r="GN89" s="69">
        <f t="shared" si="331"/>
        <v>-6.8787401574803148E-2</v>
      </c>
      <c r="GO89" s="113">
        <f ca="1">INDEX(FJ16:FJ115,MATCH(GM88,A16:A115,0))</f>
        <v>-0.18253326658530811</v>
      </c>
      <c r="GP89" s="113">
        <f ca="1">INDEX(FK16:FK115,MATCH(GM88,A16:A115,0))</f>
        <v>0.21771570534597906</v>
      </c>
      <c r="GQ89" s="113">
        <f ca="1">INDEX(FL16:FL115,MATCH(GM88,A16:A115,0))</f>
        <v>0.61248538284205645</v>
      </c>
      <c r="GR89" s="113">
        <f ca="1">INDEX(FM16:FM115,MATCH(GM88,A16:A115,0))</f>
        <v>0.62854965051015799</v>
      </c>
      <c r="GS89" s="113">
        <f ca="1">INDEX(FN16:FN115,MATCH(GM88,A16:A115,0))</f>
        <v>0.35226979511512035</v>
      </c>
      <c r="GT89" s="113">
        <f ca="1">INDEX(FO16:FO115,MATCH(GM88,A16:A115,0))</f>
        <v>4.3026837411894086</v>
      </c>
      <c r="GU89" s="113">
        <f ca="1">INDEX(FP16:FP115,MATCH(GM88,A16:A115,0))</f>
        <v>1.078726281705241</v>
      </c>
      <c r="HO89" s="57"/>
      <c r="HP89" s="57"/>
      <c r="HQ89" s="57"/>
      <c r="HR89" s="57"/>
      <c r="HS89" s="57"/>
      <c r="HT89" s="57"/>
      <c r="HU89" s="57"/>
      <c r="HV89" s="57"/>
      <c r="HW89" s="57"/>
      <c r="HX89" s="57"/>
      <c r="HY89" s="57"/>
      <c r="HZ89" s="57"/>
      <c r="IA89" s="57"/>
      <c r="IB89" s="57"/>
      <c r="IC89" s="57"/>
      <c r="ID89" s="57"/>
      <c r="IE89" s="57"/>
      <c r="IF89" s="57"/>
      <c r="IG89" s="57"/>
      <c r="IH89" s="57"/>
      <c r="II89" s="57"/>
      <c r="IJ89" s="57"/>
      <c r="IK89" s="57"/>
      <c r="IL89" s="57"/>
      <c r="IM89" s="57"/>
      <c r="IN89" s="57"/>
      <c r="IO89" s="57"/>
      <c r="IP89" s="57"/>
    </row>
    <row r="90" spans="1:250" x14ac:dyDescent="0.3">
      <c r="A90" s="169"/>
      <c r="B90" s="36"/>
      <c r="C90" s="36"/>
      <c r="D90" s="36"/>
      <c r="E90" s="170"/>
      <c r="F90" s="36"/>
      <c r="G90" s="169"/>
      <c r="H90" s="169"/>
      <c r="I90" s="169"/>
      <c r="J90" s="169"/>
      <c r="K90" s="169"/>
      <c r="AB90" s="36"/>
      <c r="AC90" s="122"/>
      <c r="AD90" s="123">
        <f t="shared" ca="1" si="355"/>
        <v>2.7284841053187847E-12</v>
      </c>
      <c r="AE90" s="123">
        <f t="shared" ca="1" si="355"/>
        <v>1.0913936421275139E-11</v>
      </c>
      <c r="AF90" s="123">
        <f t="shared" ca="1" si="355"/>
        <v>0</v>
      </c>
      <c r="AG90" s="123">
        <f t="shared" ca="1" si="356"/>
        <v>786.55405357835616</v>
      </c>
      <c r="AH90" s="123">
        <f t="shared" ca="1" si="356"/>
        <v>2682.4807469250877</v>
      </c>
      <c r="AI90" s="123">
        <f t="shared" ca="1" si="356"/>
        <v>0</v>
      </c>
      <c r="AK90" s="124">
        <f ca="1"/>
        <v>1.5942485619828245E-21</v>
      </c>
      <c r="AL90" s="124">
        <f ca="1"/>
        <v>-4.3880188829557493E-21</v>
      </c>
      <c r="AM90" s="124">
        <f ca="1"/>
        <v>0</v>
      </c>
      <c r="AN90" s="124">
        <f ca="1"/>
        <v>-1.1959096651379627E-4</v>
      </c>
      <c r="AO90" s="124">
        <f ca="1"/>
        <v>4.0785558693642073E-4</v>
      </c>
      <c r="AP90" s="124">
        <f ca="1"/>
        <v>0</v>
      </c>
      <c r="AR90" s="125">
        <f>F77</f>
        <v>120</v>
      </c>
      <c r="AT90" s="127">
        <f ca="1"/>
        <v>1.545719980850753E-2</v>
      </c>
      <c r="CR90" s="77"/>
      <c r="CS90" s="44"/>
      <c r="CT90" s="44"/>
      <c r="CU90" s="48" t="s">
        <v>133</v>
      </c>
      <c r="CV90" s="92">
        <f ca="1">AE72</f>
        <v>-2.771243444540907E-4</v>
      </c>
      <c r="CW90" s="57"/>
      <c r="CX90" s="114">
        <f ca="1">BI40</f>
        <v>0</v>
      </c>
      <c r="CY90" s="115">
        <f ca="1">BJ40</f>
        <v>0</v>
      </c>
      <c r="CZ90" s="116">
        <f ca="1">BL40</f>
        <v>0</v>
      </c>
      <c r="DA90" s="57"/>
      <c r="DB90" s="78">
        <f ca="1"/>
        <v>0</v>
      </c>
      <c r="DC90" s="57"/>
      <c r="DD90" s="96"/>
      <c r="DE90" s="97"/>
      <c r="DF90" s="97"/>
      <c r="DG90" s="97"/>
      <c r="DH90" s="97"/>
      <c r="DI90" s="98"/>
      <c r="DJ90" s="57"/>
      <c r="DK90" s="57"/>
      <c r="DL90" s="57"/>
      <c r="DM90" s="87" t="s">
        <v>133</v>
      </c>
      <c r="DN90" s="99">
        <f ca="1">INDEX(DI16:DI115,MATCH(DJ88,A16:A50,0))</f>
        <v>0</v>
      </c>
      <c r="DO90" s="57"/>
      <c r="DP90" s="57"/>
      <c r="DQ90" s="87" t="s">
        <v>134</v>
      </c>
      <c r="DR90" s="99">
        <f ca="1">INDEX(DH16:DH115,MATCH(DJ88,A16:A50,0))</f>
        <v>0</v>
      </c>
      <c r="DS90" s="57"/>
      <c r="DT90" s="114">
        <f t="shared" ca="1" si="357"/>
        <v>0</v>
      </c>
      <c r="DU90" s="115">
        <f t="shared" ca="1" si="342"/>
        <v>0</v>
      </c>
      <c r="DV90" s="116">
        <f t="shared" ca="1" si="343"/>
        <v>0</v>
      </c>
      <c r="DW90" s="57"/>
      <c r="DX90" s="80">
        <f ca="1"/>
        <v>0</v>
      </c>
      <c r="DY90" s="80"/>
      <c r="DZ90" s="80">
        <f ca="1"/>
        <v>0</v>
      </c>
      <c r="FR90" s="82"/>
      <c r="FS90" s="69">
        <f ca="1">FS89</f>
        <v>3546.9813186371889</v>
      </c>
      <c r="FT90" s="69">
        <f>INDEX(AE16:AE115,MATCH(GF88,A16:A115,0))</f>
        <v>-7.7385826771653538E-2</v>
      </c>
      <c r="FU90" s="69">
        <f ca="1">FU89</f>
        <v>523.53150187562358</v>
      </c>
      <c r="FV90" s="69">
        <f t="shared" si="358"/>
        <v>-7.7385826771653538E-2</v>
      </c>
      <c r="FW90" s="69">
        <f ca="1">FW89</f>
        <v>-155.18705741647139</v>
      </c>
      <c r="FX90" s="70">
        <f t="shared" si="359"/>
        <v>-7.7385826771653538E-2</v>
      </c>
      <c r="FY90" s="82"/>
      <c r="FZ90" s="101">
        <f ca="1">INDEX(EF16:EF115,MATCH(GF88,A16:A115,0))</f>
        <v>60269.761776370258</v>
      </c>
      <c r="GA90" s="69">
        <f>FT90</f>
        <v>-7.7385826771653538E-2</v>
      </c>
      <c r="GB90" s="61">
        <f ca="1">INDEX(EH16:EH115,MATCH(GF88,A16:A115,0))</f>
        <v>12769.424312266376</v>
      </c>
      <c r="GC90" s="109">
        <f t="shared" si="191"/>
        <v>-7.7385826771653538E-2</v>
      </c>
      <c r="GD90" s="69">
        <f ca="1">INDEX(EJ16:EJ115,MATCH(GF88,A16:A115,0))</f>
        <v>-5217.2883494170983</v>
      </c>
      <c r="GE90" s="110">
        <f t="shared" si="360"/>
        <v>-7.7385826771653538E-2</v>
      </c>
      <c r="GF90" s="84"/>
      <c r="GG90" s="111">
        <f ca="1">FS90+FZ90</f>
        <v>63816.743095007449</v>
      </c>
      <c r="GH90" s="85">
        <f>FT90</f>
        <v>-7.7385826771653538E-2</v>
      </c>
      <c r="GI90" s="111">
        <f ca="1">FU90+GB90</f>
        <v>13292.955814141998</v>
      </c>
      <c r="GJ90" s="112">
        <f t="shared" si="192"/>
        <v>-7.7385826771653538E-2</v>
      </c>
      <c r="GK90" s="111">
        <f ca="1">FW90+GD90</f>
        <v>-5372.4754068335697</v>
      </c>
      <c r="GL90" s="112">
        <f t="shared" si="193"/>
        <v>-7.7385826771653538E-2</v>
      </c>
      <c r="GN90" s="69">
        <f t="shared" si="331"/>
        <v>-7.7385826771653538E-2</v>
      </c>
      <c r="GO90" s="113">
        <f ca="1">GO89</f>
        <v>-0.18253326658530811</v>
      </c>
      <c r="GP90" s="113">
        <f t="shared" ref="GP90" ca="1" si="361">GP89</f>
        <v>0.21771570534597906</v>
      </c>
      <c r="GQ90" s="113">
        <f t="shared" ref="GQ90" ca="1" si="362">GQ89</f>
        <v>0.61248538284205645</v>
      </c>
      <c r="GR90" s="113">
        <f t="shared" ref="GR90" ca="1" si="363">GR89</f>
        <v>0.62854965051015799</v>
      </c>
      <c r="GS90" s="113">
        <f t="shared" ref="GS90" ca="1" si="364">GS89</f>
        <v>0.35226979511512035</v>
      </c>
      <c r="GT90" s="113">
        <f t="shared" ref="GT90" ca="1" si="365">GT89</f>
        <v>4.3026837411894086</v>
      </c>
      <c r="GU90" s="113">
        <f t="shared" ref="GU90" ca="1" si="366">GU89</f>
        <v>1.078726281705241</v>
      </c>
      <c r="HO90" s="57"/>
      <c r="HP90" s="57"/>
      <c r="HQ90" s="57"/>
      <c r="HR90" s="57"/>
      <c r="HS90" s="57"/>
      <c r="HT90" s="57"/>
      <c r="HU90" s="57"/>
      <c r="HV90" s="57"/>
      <c r="HW90" s="57"/>
      <c r="HX90" s="57"/>
      <c r="HY90" s="57"/>
      <c r="HZ90" s="57"/>
      <c r="IA90" s="57"/>
      <c r="IB90" s="57"/>
      <c r="IC90" s="57"/>
      <c r="ID90" s="57"/>
      <c r="IE90" s="57"/>
      <c r="IF90" s="57"/>
      <c r="IG90" s="57"/>
      <c r="IH90" s="57"/>
      <c r="II90" s="57"/>
      <c r="IJ90" s="57"/>
      <c r="IK90" s="57"/>
      <c r="IL90" s="57"/>
      <c r="IM90" s="57"/>
      <c r="IN90" s="57"/>
      <c r="IO90" s="57"/>
      <c r="IP90" s="57"/>
    </row>
    <row r="91" spans="1:250" x14ac:dyDescent="0.3">
      <c r="A91" s="169"/>
      <c r="B91" s="211"/>
      <c r="C91" s="86"/>
      <c r="D91" s="86"/>
      <c r="E91" s="170"/>
      <c r="F91" s="170"/>
      <c r="G91" s="169"/>
      <c r="H91" s="169"/>
      <c r="I91" s="169"/>
      <c r="J91" s="169"/>
      <c r="K91" s="169"/>
      <c r="AB91" s="36"/>
      <c r="AC91" s="122"/>
      <c r="AD91" s="123">
        <f t="shared" ca="1" si="355"/>
        <v>0</v>
      </c>
      <c r="AE91" s="123">
        <f t="shared" ca="1" si="355"/>
        <v>0</v>
      </c>
      <c r="AF91" s="123">
        <f t="shared" ca="1" si="355"/>
        <v>5.0022208597511053E-12</v>
      </c>
      <c r="AG91" s="123">
        <f t="shared" ca="1" si="356"/>
        <v>0</v>
      </c>
      <c r="AH91" s="123">
        <f t="shared" ca="1" si="356"/>
        <v>0</v>
      </c>
      <c r="AI91" s="123">
        <f t="shared" ca="1" si="356"/>
        <v>830.61047997166725</v>
      </c>
      <c r="AK91" s="124">
        <f ca="1"/>
        <v>0</v>
      </c>
      <c r="AL91" s="124">
        <f ca="1"/>
        <v>0</v>
      </c>
      <c r="AM91" s="124">
        <f ca="1"/>
        <v>-1.6689377391679397E-20</v>
      </c>
      <c r="AN91" s="124">
        <f ca="1"/>
        <v>0</v>
      </c>
      <c r="AO91" s="124">
        <f ca="1"/>
        <v>0</v>
      </c>
      <c r="AP91" s="124">
        <f ca="1"/>
        <v>1.2039337621096602E-3</v>
      </c>
      <c r="AR91" s="125">
        <f>F78</f>
        <v>-100</v>
      </c>
      <c r="AT91" s="128">
        <f ca="1"/>
        <v>-0.12039337621096602</v>
      </c>
      <c r="CR91" s="77">
        <f>CR88+1</f>
        <v>26</v>
      </c>
      <c r="CS91" s="44"/>
      <c r="CT91" s="44"/>
      <c r="CU91" s="48" t="s">
        <v>129</v>
      </c>
      <c r="CV91" s="92">
        <f ca="1">AE70</f>
        <v>4.5648610417658959E-4</v>
      </c>
      <c r="CW91" s="57"/>
      <c r="CX91" s="93">
        <f ca="1">BD41</f>
        <v>0</v>
      </c>
      <c r="CY91" s="94">
        <f ca="1">BF41</f>
        <v>0</v>
      </c>
      <c r="CZ91" s="95">
        <f ca="1">BH41</f>
        <v>0</v>
      </c>
      <c r="DA91" s="57"/>
      <c r="DB91" s="78">
        <f t="array" aca="1" ref="DB91:DB93" ca="1">MMULT(CX91:CZ93,CV91:CV93)</f>
        <v>0</v>
      </c>
      <c r="DC91" s="57"/>
      <c r="DD91" s="96"/>
      <c r="DE91" s="97"/>
      <c r="DF91" s="97"/>
      <c r="DG91" s="97"/>
      <c r="DH91" s="97"/>
      <c r="DI91" s="98"/>
      <c r="DJ91" s="57">
        <f>DJ88+1</f>
        <v>26</v>
      </c>
      <c r="DK91" s="57"/>
      <c r="DL91" s="57"/>
      <c r="DM91" s="87" t="s">
        <v>129</v>
      </c>
      <c r="DN91" s="99">
        <f ca="1">INDEX(DE16:DE115,MATCH(DJ91,A16:A50,0))</f>
        <v>0</v>
      </c>
      <c r="DO91" s="57"/>
      <c r="DP91" s="57"/>
      <c r="DQ91" s="87" t="s">
        <v>130</v>
      </c>
      <c r="DR91" s="99">
        <f ca="1">INDEX(DD16:DD115,MATCH(DJ91,A16:A50,0))</f>
        <v>0</v>
      </c>
      <c r="DS91" s="57"/>
      <c r="DT91" s="93">
        <f ca="1">CX91</f>
        <v>0</v>
      </c>
      <c r="DU91" s="94">
        <f t="shared" ca="1" si="342"/>
        <v>0</v>
      </c>
      <c r="DV91" s="95">
        <f t="shared" ca="1" si="343"/>
        <v>0</v>
      </c>
      <c r="DW91" s="57"/>
      <c r="DX91" s="80">
        <f t="array" aca="1" ref="DX91:DX93" ca="1">MMULT(DT91:DV93,DN91:DN93)</f>
        <v>0</v>
      </c>
      <c r="DY91" s="80"/>
      <c r="DZ91" s="80">
        <f t="array" aca="1" ref="DZ91:DZ93" ca="1">MMULT(DT91:DV93,DR91:DR93)</f>
        <v>0</v>
      </c>
      <c r="FR91" s="82"/>
      <c r="FS91" s="61">
        <v>0</v>
      </c>
      <c r="FT91" s="69">
        <f>FT90</f>
        <v>-7.7385826771653538E-2</v>
      </c>
      <c r="FU91" s="61">
        <v>0</v>
      </c>
      <c r="FV91" s="69">
        <f t="shared" si="358"/>
        <v>-7.7385826771653538E-2</v>
      </c>
      <c r="FW91" s="69">
        <v>0</v>
      </c>
      <c r="FX91" s="70">
        <f t="shared" si="359"/>
        <v>-7.7385826771653538E-2</v>
      </c>
      <c r="FY91" s="82"/>
      <c r="FZ91" s="61">
        <v>0</v>
      </c>
      <c r="GA91" s="69">
        <f>GA90</f>
        <v>-7.7385826771653538E-2</v>
      </c>
      <c r="GB91" s="61">
        <v>0</v>
      </c>
      <c r="GC91" s="109">
        <f t="shared" si="191"/>
        <v>-7.7385826771653538E-2</v>
      </c>
      <c r="GD91" s="61">
        <v>0</v>
      </c>
      <c r="GE91" s="110">
        <f t="shared" si="360"/>
        <v>-7.7385826771653538E-2</v>
      </c>
      <c r="GF91" s="84"/>
      <c r="GG91" s="111">
        <v>0</v>
      </c>
      <c r="GH91" s="85">
        <f>GH90</f>
        <v>-7.7385826771653538E-2</v>
      </c>
      <c r="GI91" s="112">
        <v>0</v>
      </c>
      <c r="GJ91" s="112">
        <f t="shared" si="192"/>
        <v>-7.7385826771653538E-2</v>
      </c>
      <c r="GK91" s="112">
        <v>0</v>
      </c>
      <c r="GL91" s="112">
        <f t="shared" si="193"/>
        <v>-7.7385826771653538E-2</v>
      </c>
      <c r="GN91" s="69">
        <f t="shared" si="331"/>
        <v>-7.7385826771653538E-2</v>
      </c>
      <c r="GO91" s="113"/>
      <c r="GP91" s="113"/>
      <c r="GQ91" s="113"/>
      <c r="GR91" s="113"/>
      <c r="GS91" s="113"/>
      <c r="GT91" s="113"/>
      <c r="GU91" s="113"/>
      <c r="HO91" s="57"/>
      <c r="HP91" s="57"/>
      <c r="HQ91" s="57"/>
      <c r="HR91" s="57"/>
      <c r="HS91" s="57"/>
      <c r="HT91" s="57"/>
      <c r="HU91" s="57"/>
      <c r="HV91" s="57"/>
      <c r="HW91" s="57"/>
      <c r="HX91" s="57"/>
      <c r="HY91" s="57"/>
      <c r="HZ91" s="57"/>
      <c r="IA91" s="57"/>
      <c r="IB91" s="57"/>
      <c r="IC91" s="57"/>
      <c r="ID91" s="57"/>
      <c r="IE91" s="57"/>
      <c r="IF91" s="57"/>
      <c r="IG91" s="57"/>
      <c r="IH91" s="57"/>
      <c r="II91" s="57"/>
      <c r="IJ91" s="57"/>
      <c r="IK91" s="57"/>
      <c r="IL91" s="57"/>
      <c r="IM91" s="57"/>
      <c r="IN91" s="57"/>
      <c r="IO91" s="57"/>
      <c r="IP91" s="57"/>
    </row>
    <row r="92" spans="1:250" x14ac:dyDescent="0.3">
      <c r="A92" s="169"/>
      <c r="B92" s="74"/>
      <c r="C92" s="74"/>
      <c r="D92" s="74"/>
      <c r="E92" s="170"/>
      <c r="F92" s="170"/>
      <c r="G92" s="169"/>
      <c r="H92" s="169"/>
      <c r="I92" s="169"/>
      <c r="J92" s="169"/>
      <c r="K92" s="169"/>
      <c r="AB92" s="36"/>
      <c r="AC92" s="122"/>
      <c r="AD92" s="122"/>
      <c r="AE92" s="122"/>
      <c r="AF92" s="122"/>
      <c r="AG92" s="122"/>
      <c r="AH92" s="122"/>
      <c r="AI92" s="36"/>
      <c r="CR92" s="77"/>
      <c r="CS92" s="44"/>
      <c r="CT92" s="44"/>
      <c r="CU92" s="48" t="s">
        <v>131</v>
      </c>
      <c r="CV92" s="92">
        <f ca="1">AE71</f>
        <v>4.0799587495451728E-5</v>
      </c>
      <c r="CW92" s="57"/>
      <c r="CX92" s="90">
        <f ca="1">BG41</f>
        <v>0</v>
      </c>
      <c r="CY92" s="83">
        <f ca="1">BE41</f>
        <v>0</v>
      </c>
      <c r="CZ92" s="91">
        <f ca="1">BK41</f>
        <v>0</v>
      </c>
      <c r="DA92" s="57"/>
      <c r="DB92" s="78">
        <f ca="1"/>
        <v>0</v>
      </c>
      <c r="DC92" s="57"/>
      <c r="DD92" s="96"/>
      <c r="DE92" s="97"/>
      <c r="DF92" s="97"/>
      <c r="DG92" s="97"/>
      <c r="DH92" s="97"/>
      <c r="DI92" s="98"/>
      <c r="DJ92" s="57"/>
      <c r="DK92" s="57"/>
      <c r="DL92" s="57"/>
      <c r="DM92" s="87" t="s">
        <v>131</v>
      </c>
      <c r="DN92" s="99">
        <f ca="1">INDEX(DG16:DG115,MATCH(DJ91,A16:A50,0))</f>
        <v>0</v>
      </c>
      <c r="DO92" s="57"/>
      <c r="DP92" s="57"/>
      <c r="DQ92" s="87" t="s">
        <v>132</v>
      </c>
      <c r="DR92" s="99">
        <f ca="1">INDEX(DF16:DF115,MATCH(DJ91,A16:A50,0))</f>
        <v>0</v>
      </c>
      <c r="DS92" s="57"/>
      <c r="DT92" s="90">
        <f t="shared" ref="DT92:DT93" ca="1" si="367">CX92</f>
        <v>0</v>
      </c>
      <c r="DU92" s="83">
        <f t="shared" ca="1" si="342"/>
        <v>0</v>
      </c>
      <c r="DV92" s="91">
        <f t="shared" ca="1" si="343"/>
        <v>0</v>
      </c>
      <c r="DW92" s="57"/>
      <c r="DX92" s="80">
        <f ca="1"/>
        <v>0</v>
      </c>
      <c r="DY92" s="80"/>
      <c r="DZ92" s="80">
        <f ca="1"/>
        <v>0</v>
      </c>
      <c r="FR92" s="82">
        <f>FR88+1</f>
        <v>20</v>
      </c>
      <c r="FS92" s="61">
        <v>0</v>
      </c>
      <c r="FT92" s="69">
        <f>INDEX(AF16:AF115,MATCH(GF92,A16:A115,0))</f>
        <v>-7.7385826771653538E-2</v>
      </c>
      <c r="FU92" s="61">
        <v>0</v>
      </c>
      <c r="FV92" s="69">
        <f>FT92</f>
        <v>-7.7385826771653538E-2</v>
      </c>
      <c r="FW92" s="69">
        <v>0</v>
      </c>
      <c r="FX92" s="70">
        <f>FV92</f>
        <v>-7.7385826771653538E-2</v>
      </c>
      <c r="FY92" s="82">
        <f>FY88+1</f>
        <v>20</v>
      </c>
      <c r="FZ92" s="61">
        <v>0</v>
      </c>
      <c r="GA92" s="69">
        <f>FT92</f>
        <v>-7.7385826771653538E-2</v>
      </c>
      <c r="GB92" s="108">
        <v>0</v>
      </c>
      <c r="GC92" s="109">
        <f t="shared" si="191"/>
        <v>-7.7385826771653538E-2</v>
      </c>
      <c r="GD92" s="61">
        <v>0</v>
      </c>
      <c r="GE92" s="110">
        <f>GC92</f>
        <v>-7.7385826771653538E-2</v>
      </c>
      <c r="GF92" s="84">
        <f>GF88+1</f>
        <v>20</v>
      </c>
      <c r="GG92" s="111">
        <v>0</v>
      </c>
      <c r="GH92" s="85">
        <f>FT92</f>
        <v>-7.7385826771653538E-2</v>
      </c>
      <c r="GI92" s="112">
        <v>0</v>
      </c>
      <c r="GJ92" s="112">
        <f t="shared" si="192"/>
        <v>-7.7385826771653538E-2</v>
      </c>
      <c r="GK92" s="112">
        <v>0</v>
      </c>
      <c r="GL92" s="112">
        <f t="shared" si="193"/>
        <v>-7.7385826771653538E-2</v>
      </c>
      <c r="GM92" s="117">
        <f>GM88+1</f>
        <v>20</v>
      </c>
      <c r="GN92" s="69">
        <f t="shared" si="331"/>
        <v>-7.7385826771653538E-2</v>
      </c>
      <c r="GO92" s="113"/>
      <c r="GP92" s="113"/>
      <c r="GQ92" s="113"/>
      <c r="GR92" s="113"/>
      <c r="GS92" s="113"/>
      <c r="GT92" s="113"/>
      <c r="GU92" s="113"/>
      <c r="HO92" s="57"/>
      <c r="HP92" s="57"/>
      <c r="HQ92" s="57"/>
      <c r="HR92" s="57"/>
      <c r="HS92" s="57"/>
      <c r="HT92" s="57"/>
      <c r="HU92" s="57"/>
      <c r="HV92" s="57"/>
      <c r="HW92" s="57"/>
      <c r="HX92" s="57"/>
      <c r="HY92" s="57"/>
      <c r="HZ92" s="57"/>
      <c r="IA92" s="57"/>
      <c r="IB92" s="57"/>
      <c r="IC92" s="57"/>
      <c r="ID92" s="57"/>
      <c r="IE92" s="57"/>
      <c r="IF92" s="57"/>
      <c r="IG92" s="57"/>
      <c r="IH92" s="57"/>
      <c r="II92" s="57"/>
      <c r="IJ92" s="57"/>
      <c r="IK92" s="57"/>
      <c r="IL92" s="57"/>
      <c r="IM92" s="57"/>
      <c r="IN92" s="57"/>
      <c r="IO92" s="57"/>
      <c r="IP92" s="57"/>
    </row>
    <row r="93" spans="1:250" x14ac:dyDescent="0.3">
      <c r="A93" s="169"/>
      <c r="B93" s="74"/>
      <c r="C93" s="74"/>
      <c r="D93" s="74"/>
      <c r="E93" s="170"/>
      <c r="F93" s="170"/>
      <c r="G93" s="169"/>
      <c r="H93" s="169"/>
      <c r="I93" s="169"/>
      <c r="J93" s="169"/>
      <c r="K93" s="169"/>
      <c r="AB93" s="36"/>
      <c r="AC93" s="122"/>
      <c r="AD93" s="122"/>
      <c r="AE93" s="122"/>
      <c r="AF93" s="122"/>
      <c r="AG93" s="122"/>
      <c r="AH93" s="122"/>
      <c r="AI93" s="36"/>
      <c r="CR93" s="77"/>
      <c r="CS93" s="44"/>
      <c r="CT93" s="44"/>
      <c r="CU93" s="48" t="s">
        <v>133</v>
      </c>
      <c r="CV93" s="92">
        <f ca="1">AE72</f>
        <v>-2.771243444540907E-4</v>
      </c>
      <c r="CW93" s="57"/>
      <c r="CX93" s="114">
        <f ca="1">BI41</f>
        <v>0</v>
      </c>
      <c r="CY93" s="115">
        <f ca="1">BJ41</f>
        <v>0</v>
      </c>
      <c r="CZ93" s="116">
        <f ca="1">BL41</f>
        <v>0</v>
      </c>
      <c r="DA93" s="57"/>
      <c r="DB93" s="78">
        <f ca="1"/>
        <v>0</v>
      </c>
      <c r="DC93" s="57"/>
      <c r="DD93" s="96"/>
      <c r="DE93" s="97"/>
      <c r="DF93" s="97"/>
      <c r="DG93" s="97"/>
      <c r="DH93" s="97"/>
      <c r="DI93" s="98"/>
      <c r="DJ93" s="57"/>
      <c r="DK93" s="57"/>
      <c r="DL93" s="57"/>
      <c r="DM93" s="87" t="s">
        <v>133</v>
      </c>
      <c r="DN93" s="99">
        <f ca="1">INDEX(DI16:DI115,MATCH(DJ91,A16:A50,0))</f>
        <v>0</v>
      </c>
      <c r="DO93" s="57"/>
      <c r="DP93" s="57"/>
      <c r="DQ93" s="87" t="s">
        <v>134</v>
      </c>
      <c r="DR93" s="99">
        <f ca="1">INDEX(DH16:DH115,MATCH(DJ91,A16:A50,0))</f>
        <v>0</v>
      </c>
      <c r="DS93" s="57"/>
      <c r="DT93" s="114">
        <f t="shared" ca="1" si="367"/>
        <v>0</v>
      </c>
      <c r="DU93" s="115">
        <f t="shared" ca="1" si="342"/>
        <v>0</v>
      </c>
      <c r="DV93" s="116">
        <f t="shared" ca="1" si="343"/>
        <v>0</v>
      </c>
      <c r="DW93" s="57"/>
      <c r="DX93" s="80">
        <f ca="1"/>
        <v>0</v>
      </c>
      <c r="DY93" s="80"/>
      <c r="DZ93" s="80">
        <f ca="1"/>
        <v>0</v>
      </c>
      <c r="FR93" s="82"/>
      <c r="FS93" s="69">
        <f ca="1">INDEX(EB16:EB115,MATCH(GF92,A16:A115,0))</f>
        <v>2268.0369963811145</v>
      </c>
      <c r="FT93" s="69">
        <f>FT92</f>
        <v>-7.7385826771653538E-2</v>
      </c>
      <c r="FU93" s="69">
        <f ca="1">INDEX(EC16:EC115,MATCH(GF92,A16:A115,0))</f>
        <v>1802.4758241316983</v>
      </c>
      <c r="FV93" s="69">
        <f t="shared" ref="FV93:FV95" si="368">FT93</f>
        <v>-7.7385826771653538E-2</v>
      </c>
      <c r="FW93" s="69">
        <f ca="1">INDEX(ED16:ED115,MATCH(GF92,A16:A115,0))</f>
        <v>-1007.8166055871841</v>
      </c>
      <c r="FX93" s="70">
        <f t="shared" ref="FX93:FX95" si="369">FV93</f>
        <v>-7.7385826771653538E-2</v>
      </c>
      <c r="FY93" s="82"/>
      <c r="FZ93" s="101">
        <f ca="1">INDEX(EE16:EE115,MATCH(GF92,A16:A115,0))</f>
        <v>40176.725481151327</v>
      </c>
      <c r="GA93" s="69">
        <f>GA92</f>
        <v>-7.7385826771653538E-2</v>
      </c>
      <c r="GB93" s="61">
        <f ca="1">INDEX(EG16:EG115,MATCH(GF92,A16:A115,0))</f>
        <v>32862.460607485315</v>
      </c>
      <c r="GC93" s="109">
        <f t="shared" si="191"/>
        <v>-7.7385826771653538E-2</v>
      </c>
      <c r="GD93" s="69">
        <f ca="1">INDEX(EI16:EI115,MATCH(GF92,A16:A115,0))</f>
        <v>-33882.141476322729</v>
      </c>
      <c r="GE93" s="110">
        <f t="shared" ref="GE93:GE95" si="370">GC93</f>
        <v>-7.7385826771653538E-2</v>
      </c>
      <c r="GF93" s="84"/>
      <c r="GG93" s="111">
        <f ca="1">FS93+FZ93</f>
        <v>42444.762477532444</v>
      </c>
      <c r="GH93" s="85">
        <f>GH92</f>
        <v>-7.7385826771653538E-2</v>
      </c>
      <c r="GI93" s="111">
        <f ca="1">FU93+GB93</f>
        <v>34664.93643161701</v>
      </c>
      <c r="GJ93" s="112">
        <f t="shared" si="192"/>
        <v>-7.7385826771653538E-2</v>
      </c>
      <c r="GK93" s="111">
        <f ca="1">FW93+GD93</f>
        <v>-34889.958081909914</v>
      </c>
      <c r="GL93" s="112">
        <f t="shared" si="193"/>
        <v>-7.7385826771653538E-2</v>
      </c>
      <c r="GN93" s="69">
        <f t="shared" si="331"/>
        <v>-7.7385826771653538E-2</v>
      </c>
      <c r="GO93" s="113">
        <f ca="1">INDEX(FJ16:FJ115,MATCH(GM92,A16:A115,0))</f>
        <v>-0.72003332113961616</v>
      </c>
      <c r="GP93" s="113">
        <f ca="1">INDEX(FK16:FK115,MATCH(GM92,A16:A115,0))</f>
        <v>-0.71458330929133007</v>
      </c>
      <c r="GQ93" s="113">
        <f ca="1">INDEX(FL16:FL115,MATCH(GM92,A16:A115,0))</f>
        <v>-0.10903986082912465</v>
      </c>
      <c r="GR93" s="113">
        <f ca="1">INDEX(FM16:FM115,MATCH(GM92,A16:A115,0))</f>
        <v>-0.10835640828708193</v>
      </c>
      <c r="GS93" s="113">
        <f ca="1">INDEX(FN16:FN115,MATCH(GM92,A16:A115,0))</f>
        <v>0.83968412844411255</v>
      </c>
      <c r="GT93" s="113">
        <f ca="1">INDEX(FO16:FO115,MATCH(GM92,A16:A115,0))</f>
        <v>0.83964271444092353</v>
      </c>
      <c r="GU93" s="113">
        <f ca="1">INDEX(FP16:FP115,MATCH(GM92,A16:A115,0))</f>
        <v>-0.71108499029510452</v>
      </c>
      <c r="HO93" s="57"/>
      <c r="HP93" s="57"/>
      <c r="HQ93" s="57"/>
      <c r="HR93" s="57"/>
      <c r="HS93" s="57"/>
      <c r="HT93" s="57"/>
      <c r="HU93" s="57"/>
      <c r="HV93" s="57"/>
      <c r="HW93" s="57"/>
      <c r="HX93" s="57"/>
      <c r="HY93" s="57"/>
      <c r="HZ93" s="57"/>
      <c r="IA93" s="57"/>
      <c r="IB93" s="57"/>
      <c r="IC93" s="57"/>
      <c r="ID93" s="57"/>
      <c r="IE93" s="57"/>
      <c r="IF93" s="57"/>
      <c r="IG93" s="57"/>
      <c r="IH93" s="57"/>
      <c r="II93" s="57"/>
      <c r="IJ93" s="57"/>
      <c r="IK93" s="57"/>
      <c r="IL93" s="57"/>
      <c r="IM93" s="57"/>
      <c r="IN93" s="57"/>
      <c r="IO93" s="57"/>
      <c r="IP93" s="57"/>
    </row>
    <row r="94" spans="1:250" x14ac:dyDescent="0.3">
      <c r="A94" s="169"/>
      <c r="B94" s="74"/>
      <c r="C94" s="74"/>
      <c r="D94" s="74"/>
      <c r="E94" s="170"/>
      <c r="F94" s="170"/>
      <c r="G94" s="169"/>
      <c r="H94" s="169"/>
      <c r="I94" s="169"/>
      <c r="J94" s="169"/>
      <c r="K94" s="169"/>
      <c r="AB94" s="36"/>
      <c r="AC94" s="122"/>
      <c r="AD94" s="122"/>
      <c r="AE94" s="122"/>
      <c r="AF94" s="122"/>
      <c r="AG94" s="122"/>
      <c r="AH94" s="122"/>
      <c r="AI94" s="36"/>
      <c r="CR94" s="77">
        <f>CR91+1</f>
        <v>27</v>
      </c>
      <c r="CS94" s="44"/>
      <c r="CT94" s="44"/>
      <c r="CU94" s="48" t="s">
        <v>129</v>
      </c>
      <c r="CV94" s="92">
        <f ca="1">AE70</f>
        <v>4.5648610417658959E-4</v>
      </c>
      <c r="CW94" s="57"/>
      <c r="CX94" s="93">
        <f ca="1">BD42</f>
        <v>0</v>
      </c>
      <c r="CY94" s="94">
        <f ca="1">BF42</f>
        <v>0</v>
      </c>
      <c r="CZ94" s="95">
        <f ca="1">BH42</f>
        <v>0</v>
      </c>
      <c r="DA94" s="57"/>
      <c r="DB94" s="78">
        <f t="array" aca="1" ref="DB94:DB96" ca="1">MMULT(CX94:CZ96,CV94:CV96)</f>
        <v>0</v>
      </c>
      <c r="DC94" s="57"/>
      <c r="DD94" s="96"/>
      <c r="DE94" s="97"/>
      <c r="DF94" s="97"/>
      <c r="DG94" s="97"/>
      <c r="DH94" s="97"/>
      <c r="DI94" s="98"/>
      <c r="DJ94" s="57">
        <f>DJ91+1</f>
        <v>27</v>
      </c>
      <c r="DK94" s="57"/>
      <c r="DL94" s="57"/>
      <c r="DM94" s="87" t="s">
        <v>129</v>
      </c>
      <c r="DN94" s="99">
        <f ca="1">INDEX(DE16:DE115,MATCH(DJ94,A16:A50,0))</f>
        <v>0</v>
      </c>
      <c r="DO94" s="57"/>
      <c r="DP94" s="57"/>
      <c r="DQ94" s="87" t="s">
        <v>130</v>
      </c>
      <c r="DR94" s="99">
        <f ca="1">INDEX(DD16:DD115,MATCH(DJ94,A16:A50,0))</f>
        <v>0</v>
      </c>
      <c r="DS94" s="57"/>
      <c r="DT94" s="93">
        <f ca="1">CX94</f>
        <v>0</v>
      </c>
      <c r="DU94" s="94">
        <f t="shared" ca="1" si="342"/>
        <v>0</v>
      </c>
      <c r="DV94" s="95">
        <f t="shared" ca="1" si="343"/>
        <v>0</v>
      </c>
      <c r="DW94" s="57"/>
      <c r="DX94" s="80">
        <f t="array" aca="1" ref="DX94:DX96" ca="1">MMULT(DT94:DV96,DN94:DN96)</f>
        <v>0</v>
      </c>
      <c r="DY94" s="80"/>
      <c r="DZ94" s="80">
        <f t="array" aca="1" ref="DZ94:DZ96" ca="1">MMULT(DT94:DV96,DR94:DR96)</f>
        <v>0</v>
      </c>
      <c r="FR94" s="82"/>
      <c r="FS94" s="69">
        <f ca="1">FS93</f>
        <v>2268.0369963811145</v>
      </c>
      <c r="FT94" s="69">
        <f>INDEX(AE16:AE115,MATCH(GF92,A16:A115,0))</f>
        <v>-8.5984251968503927E-2</v>
      </c>
      <c r="FU94" s="69">
        <f ca="1">FU93</f>
        <v>1802.4758241316983</v>
      </c>
      <c r="FV94" s="69">
        <f t="shared" si="368"/>
        <v>-8.5984251968503927E-2</v>
      </c>
      <c r="FW94" s="69">
        <f ca="1">FW93</f>
        <v>-1007.8166055871841</v>
      </c>
      <c r="FX94" s="70">
        <f t="shared" si="369"/>
        <v>-8.5984251968503927E-2</v>
      </c>
      <c r="FY94" s="82"/>
      <c r="FZ94" s="101">
        <f ca="1">INDEX(EF16:EF115,MATCH(GF92,A16:A115,0))</f>
        <v>44640.806090168131</v>
      </c>
      <c r="GA94" s="69">
        <f>FT94</f>
        <v>-8.5984251968503927E-2</v>
      </c>
      <c r="GB94" s="61">
        <f ca="1">INDEX(EH16:EH115,MATCH(GF92,A16:A115,0))</f>
        <v>36513.845119428122</v>
      </c>
      <c r="GC94" s="109">
        <f t="shared" si="191"/>
        <v>-8.5984251968503927E-2</v>
      </c>
      <c r="GD94" s="69">
        <f ca="1">INDEX(EJ16:EJ115,MATCH(GF92,A16:A115,0))</f>
        <v>-37646.823862580801</v>
      </c>
      <c r="GE94" s="110">
        <f t="shared" si="370"/>
        <v>-8.5984251968503927E-2</v>
      </c>
      <c r="GF94" s="84"/>
      <c r="GG94" s="111">
        <f ca="1">FS94+FZ94</f>
        <v>46908.843086549248</v>
      </c>
      <c r="GH94" s="85">
        <f>FT94</f>
        <v>-8.5984251968503927E-2</v>
      </c>
      <c r="GI94" s="111">
        <f ca="1">FU94+GB94</f>
        <v>38316.320943559818</v>
      </c>
      <c r="GJ94" s="112">
        <f t="shared" si="192"/>
        <v>-8.5984251968503927E-2</v>
      </c>
      <c r="GK94" s="111">
        <f ca="1">FW94+GD94</f>
        <v>-38654.640468167985</v>
      </c>
      <c r="GL94" s="112">
        <f t="shared" si="193"/>
        <v>-8.5984251968503927E-2</v>
      </c>
      <c r="GN94" s="69">
        <f t="shared" si="331"/>
        <v>-8.5984251968503927E-2</v>
      </c>
      <c r="GO94" s="113">
        <f ca="1">GO93</f>
        <v>-0.72003332113961616</v>
      </c>
      <c r="GP94" s="113">
        <f t="shared" ref="GP94" ca="1" si="371">GP93</f>
        <v>-0.71458330929133007</v>
      </c>
      <c r="GQ94" s="113">
        <f t="shared" ref="GQ94" ca="1" si="372">GQ93</f>
        <v>-0.10903986082912465</v>
      </c>
      <c r="GR94" s="113">
        <f t="shared" ref="GR94" ca="1" si="373">GR93</f>
        <v>-0.10835640828708193</v>
      </c>
      <c r="GS94" s="113">
        <f t="shared" ref="GS94" ca="1" si="374">GS93</f>
        <v>0.83968412844411255</v>
      </c>
      <c r="GT94" s="113">
        <f t="shared" ref="GT94" ca="1" si="375">GT93</f>
        <v>0.83964271444092353</v>
      </c>
      <c r="GU94" s="113">
        <f t="shared" ref="GU94" ca="1" si="376">GU93</f>
        <v>-0.71108499029510452</v>
      </c>
      <c r="HO94" s="57"/>
      <c r="HP94" s="57"/>
      <c r="HQ94" s="57"/>
      <c r="HR94" s="57"/>
      <c r="HS94" s="57"/>
      <c r="HT94" s="57"/>
      <c r="HU94" s="57"/>
      <c r="HV94" s="57"/>
      <c r="HW94" s="57"/>
      <c r="HX94" s="57"/>
      <c r="HY94" s="57"/>
      <c r="HZ94" s="57"/>
      <c r="IA94" s="57"/>
      <c r="IB94" s="57"/>
      <c r="IC94" s="57"/>
      <c r="ID94" s="57"/>
      <c r="IE94" s="57"/>
      <c r="IF94" s="57"/>
      <c r="IG94" s="57"/>
      <c r="IH94" s="57"/>
      <c r="II94" s="57"/>
      <c r="IJ94" s="57"/>
      <c r="IK94" s="57"/>
      <c r="IL94" s="57"/>
      <c r="IM94" s="57"/>
      <c r="IN94" s="57"/>
      <c r="IO94" s="57"/>
      <c r="IP94" s="57"/>
    </row>
    <row r="95" spans="1:250" x14ac:dyDescent="0.3">
      <c r="A95" s="139"/>
      <c r="B95" s="86"/>
      <c r="C95" s="86"/>
      <c r="D95" s="86"/>
      <c r="E95" s="86"/>
      <c r="F95" s="86"/>
      <c r="G95" s="139"/>
      <c r="H95" s="139"/>
      <c r="I95" s="139"/>
      <c r="J95" s="139"/>
      <c r="K95" s="139"/>
      <c r="AB95" s="36"/>
      <c r="AC95" s="122"/>
      <c r="AD95" s="122"/>
      <c r="AE95" s="122"/>
      <c r="AF95" s="122"/>
      <c r="AG95" s="122"/>
      <c r="AH95" s="122"/>
      <c r="AI95" s="36"/>
      <c r="CR95" s="77"/>
      <c r="CS95" s="44"/>
      <c r="CT95" s="44"/>
      <c r="CU95" s="48" t="s">
        <v>131</v>
      </c>
      <c r="CV95" s="92">
        <f ca="1">AE71</f>
        <v>4.0799587495451728E-5</v>
      </c>
      <c r="CW95" s="57"/>
      <c r="CX95" s="90">
        <f ca="1">BG42</f>
        <v>0</v>
      </c>
      <c r="CY95" s="83">
        <f ca="1">BE42</f>
        <v>0</v>
      </c>
      <c r="CZ95" s="91">
        <f ca="1">BK42</f>
        <v>0</v>
      </c>
      <c r="DA95" s="57"/>
      <c r="DB95" s="78">
        <f ca="1"/>
        <v>0</v>
      </c>
      <c r="DC95" s="57"/>
      <c r="DD95" s="96"/>
      <c r="DE95" s="97"/>
      <c r="DF95" s="97"/>
      <c r="DG95" s="97"/>
      <c r="DH95" s="97"/>
      <c r="DI95" s="98"/>
      <c r="DJ95" s="57"/>
      <c r="DK95" s="57"/>
      <c r="DL95" s="57"/>
      <c r="DM95" s="87" t="s">
        <v>131</v>
      </c>
      <c r="DN95" s="99">
        <f ca="1">INDEX(DG16:DG115,MATCH(DJ94,A16:A50,0))</f>
        <v>0</v>
      </c>
      <c r="DO95" s="57"/>
      <c r="DP95" s="57"/>
      <c r="DQ95" s="87" t="s">
        <v>132</v>
      </c>
      <c r="DR95" s="99">
        <f ca="1">INDEX(DF16:DF115,MATCH(DJ94,A16:A50,0))</f>
        <v>0</v>
      </c>
      <c r="DS95" s="57"/>
      <c r="DT95" s="90">
        <f t="shared" ref="DT95:DT96" ca="1" si="377">CX95</f>
        <v>0</v>
      </c>
      <c r="DU95" s="83">
        <f t="shared" ca="1" si="342"/>
        <v>0</v>
      </c>
      <c r="DV95" s="91">
        <f t="shared" ca="1" si="343"/>
        <v>0</v>
      </c>
      <c r="DW95" s="57"/>
      <c r="DX95" s="80">
        <f ca="1"/>
        <v>0</v>
      </c>
      <c r="DY95" s="80"/>
      <c r="DZ95" s="80">
        <f ca="1"/>
        <v>0</v>
      </c>
      <c r="FR95" s="82"/>
      <c r="FS95" s="61">
        <v>0</v>
      </c>
      <c r="FT95" s="69">
        <f>FT94</f>
        <v>-8.5984251968503927E-2</v>
      </c>
      <c r="FU95" s="61">
        <v>0</v>
      </c>
      <c r="FV95" s="69">
        <f t="shared" si="368"/>
        <v>-8.5984251968503927E-2</v>
      </c>
      <c r="FW95" s="69">
        <v>0</v>
      </c>
      <c r="FX95" s="70">
        <f t="shared" si="369"/>
        <v>-8.5984251968503927E-2</v>
      </c>
      <c r="FY95" s="82"/>
      <c r="FZ95" s="61">
        <v>0</v>
      </c>
      <c r="GA95" s="69">
        <f>GA94</f>
        <v>-8.5984251968503927E-2</v>
      </c>
      <c r="GB95" s="61">
        <v>0</v>
      </c>
      <c r="GC95" s="109">
        <f t="shared" si="191"/>
        <v>-8.5984251968503927E-2</v>
      </c>
      <c r="GD95" s="61">
        <v>0</v>
      </c>
      <c r="GE95" s="110">
        <f t="shared" si="370"/>
        <v>-8.5984251968503927E-2</v>
      </c>
      <c r="GF95" s="84"/>
      <c r="GG95" s="111">
        <v>0</v>
      </c>
      <c r="GH95" s="85">
        <f>GH94</f>
        <v>-8.5984251968503927E-2</v>
      </c>
      <c r="GI95" s="112">
        <v>0</v>
      </c>
      <c r="GJ95" s="112">
        <f t="shared" si="192"/>
        <v>-8.5984251968503927E-2</v>
      </c>
      <c r="GK95" s="112">
        <v>0</v>
      </c>
      <c r="GL95" s="112">
        <f t="shared" si="193"/>
        <v>-8.5984251968503927E-2</v>
      </c>
      <c r="GN95" s="69">
        <f t="shared" si="331"/>
        <v>-8.5984251968503927E-2</v>
      </c>
      <c r="GO95" s="113"/>
      <c r="GP95" s="113"/>
      <c r="GQ95" s="113"/>
      <c r="GR95" s="113"/>
      <c r="GS95" s="113"/>
      <c r="GT95" s="113"/>
      <c r="GU95" s="113"/>
      <c r="HO95" s="57"/>
      <c r="HP95" s="57"/>
      <c r="HQ95" s="57"/>
      <c r="HR95" s="57"/>
      <c r="HS95" s="57"/>
      <c r="HT95" s="57"/>
      <c r="HU95" s="57"/>
      <c r="HV95" s="57"/>
      <c r="HW95" s="57"/>
      <c r="HX95" s="57"/>
      <c r="HY95" s="57"/>
      <c r="HZ95" s="57"/>
      <c r="IA95" s="57"/>
      <c r="IB95" s="57"/>
      <c r="IC95" s="57"/>
      <c r="ID95" s="57"/>
      <c r="IE95" s="57"/>
      <c r="IF95" s="57"/>
      <c r="IG95" s="57"/>
      <c r="IH95" s="57"/>
      <c r="II95" s="57"/>
      <c r="IJ95" s="57"/>
      <c r="IK95" s="57"/>
      <c r="IL95" s="57"/>
      <c r="IM95" s="57"/>
      <c r="IN95" s="57"/>
      <c r="IO95" s="57"/>
      <c r="IP95" s="57"/>
    </row>
    <row r="96" spans="1:250" x14ac:dyDescent="0.3">
      <c r="A96" s="139"/>
      <c r="B96" s="139"/>
      <c r="C96" s="139"/>
      <c r="D96" s="139"/>
      <c r="E96" s="139"/>
      <c r="F96" s="139"/>
      <c r="G96" s="139"/>
      <c r="H96" s="139"/>
      <c r="I96" s="139"/>
      <c r="J96" s="139"/>
      <c r="K96" s="139"/>
      <c r="AB96" s="36"/>
      <c r="AC96" s="36"/>
      <c r="AD96" s="36"/>
      <c r="AE96" s="36"/>
      <c r="AF96" s="50"/>
      <c r="AG96" s="50"/>
      <c r="AH96" s="50"/>
      <c r="AI96" s="36"/>
      <c r="CR96" s="77"/>
      <c r="CS96" s="44"/>
      <c r="CT96" s="44"/>
      <c r="CU96" s="48" t="s">
        <v>133</v>
      </c>
      <c r="CV96" s="92">
        <f ca="1">AE72</f>
        <v>-2.771243444540907E-4</v>
      </c>
      <c r="CW96" s="57"/>
      <c r="CX96" s="114">
        <f ca="1">BI42</f>
        <v>0</v>
      </c>
      <c r="CY96" s="115">
        <f ca="1">BJ42</f>
        <v>0</v>
      </c>
      <c r="CZ96" s="116">
        <f ca="1">BL42</f>
        <v>0</v>
      </c>
      <c r="DA96" s="57"/>
      <c r="DB96" s="78">
        <f ca="1"/>
        <v>0</v>
      </c>
      <c r="DC96" s="57"/>
      <c r="DD96" s="96"/>
      <c r="DE96" s="97"/>
      <c r="DF96" s="97"/>
      <c r="DG96" s="97"/>
      <c r="DH96" s="97"/>
      <c r="DI96" s="98"/>
      <c r="DJ96" s="57"/>
      <c r="DK96" s="57"/>
      <c r="DL96" s="57"/>
      <c r="DM96" s="87" t="s">
        <v>133</v>
      </c>
      <c r="DN96" s="99">
        <f ca="1">INDEX(DI16:DI115,MATCH(DJ94,A16:A50,0))</f>
        <v>0</v>
      </c>
      <c r="DO96" s="57"/>
      <c r="DP96" s="57"/>
      <c r="DQ96" s="87" t="s">
        <v>134</v>
      </c>
      <c r="DR96" s="99">
        <f ca="1">INDEX(DH16:DH115,MATCH(DJ94,A16:A50,0))</f>
        <v>0</v>
      </c>
      <c r="DS96" s="57"/>
      <c r="DT96" s="114">
        <f t="shared" ca="1" si="377"/>
        <v>0</v>
      </c>
      <c r="DU96" s="115">
        <f t="shared" ca="1" si="342"/>
        <v>0</v>
      </c>
      <c r="DV96" s="116">
        <f t="shared" ca="1" si="343"/>
        <v>0</v>
      </c>
      <c r="DW96" s="57"/>
      <c r="DX96" s="80">
        <f ca="1"/>
        <v>0</v>
      </c>
      <c r="DY96" s="80"/>
      <c r="DZ96" s="80">
        <f ca="1"/>
        <v>0</v>
      </c>
      <c r="FR96" s="82">
        <f>FR92+1</f>
        <v>21</v>
      </c>
      <c r="FS96" s="61">
        <v>0</v>
      </c>
      <c r="FT96" s="69">
        <f>INDEX(AF16:AF115,MATCH(GF96,A16:A115,0))</f>
        <v>0</v>
      </c>
      <c r="FU96" s="61">
        <v>0</v>
      </c>
      <c r="FV96" s="69">
        <f>FT96</f>
        <v>0</v>
      </c>
      <c r="FW96" s="69">
        <v>0</v>
      </c>
      <c r="FX96" s="70">
        <f>FV96</f>
        <v>0</v>
      </c>
      <c r="FY96" s="82">
        <f>FY92+1</f>
        <v>21</v>
      </c>
      <c r="FZ96" s="61">
        <v>0</v>
      </c>
      <c r="GA96" s="69">
        <f>FT96</f>
        <v>0</v>
      </c>
      <c r="GB96" s="108">
        <v>0</v>
      </c>
      <c r="GC96" s="109">
        <f t="shared" si="191"/>
        <v>0</v>
      </c>
      <c r="GD96" s="61">
        <v>0</v>
      </c>
      <c r="GE96" s="110">
        <f>GC96</f>
        <v>0</v>
      </c>
      <c r="GF96" s="84">
        <f>GF92+1</f>
        <v>21</v>
      </c>
      <c r="GG96" s="111">
        <v>0</v>
      </c>
      <c r="GH96" s="85">
        <f>FT96</f>
        <v>0</v>
      </c>
      <c r="GI96" s="112">
        <v>0</v>
      </c>
      <c r="GJ96" s="112">
        <f t="shared" si="192"/>
        <v>0</v>
      </c>
      <c r="GK96" s="112">
        <v>0</v>
      </c>
      <c r="GL96" s="112">
        <f t="shared" si="193"/>
        <v>0</v>
      </c>
      <c r="GM96" s="117">
        <f>GM92+1</f>
        <v>21</v>
      </c>
      <c r="GN96" s="69">
        <f t="shared" si="331"/>
        <v>0</v>
      </c>
      <c r="GO96" s="113"/>
      <c r="GP96" s="113"/>
      <c r="GQ96" s="113"/>
      <c r="GR96" s="113"/>
      <c r="GS96" s="113"/>
      <c r="GT96" s="113"/>
      <c r="GU96" s="113"/>
      <c r="HO96" s="57"/>
      <c r="HP96" s="57"/>
      <c r="HQ96" s="57"/>
      <c r="HR96" s="57"/>
      <c r="HS96" s="57"/>
      <c r="HT96" s="57"/>
      <c r="HU96" s="57"/>
      <c r="HV96" s="57"/>
      <c r="HW96" s="57" t="s">
        <v>54</v>
      </c>
      <c r="HX96" s="57"/>
      <c r="HY96" s="57"/>
      <c r="HZ96" s="57"/>
      <c r="IA96" s="57"/>
      <c r="IB96" s="57"/>
      <c r="IC96" s="57"/>
      <c r="ID96" s="57"/>
      <c r="IE96" s="57"/>
      <c r="IF96" s="57"/>
      <c r="IG96" s="57"/>
      <c r="IH96" s="57"/>
      <c r="II96" s="57"/>
      <c r="IJ96" s="57"/>
      <c r="IK96" s="57"/>
      <c r="IL96" s="57"/>
      <c r="IM96" s="57"/>
      <c r="IN96" s="57"/>
      <c r="IO96" s="57"/>
      <c r="IP96" s="57"/>
    </row>
    <row r="97" spans="1:255" x14ac:dyDescent="0.3">
      <c r="A97" s="139"/>
      <c r="B97" s="139"/>
      <c r="C97" s="139"/>
      <c r="D97" s="139"/>
      <c r="E97" s="139"/>
      <c r="F97" s="139"/>
      <c r="G97" s="139"/>
      <c r="H97" s="139"/>
      <c r="I97" s="139"/>
      <c r="J97" s="139"/>
      <c r="K97" s="139"/>
      <c r="AB97" s="36"/>
      <c r="AC97" s="36"/>
      <c r="AD97" s="36"/>
      <c r="AE97" s="36"/>
      <c r="AF97" s="50"/>
      <c r="AG97" s="50"/>
      <c r="AH97" s="50"/>
      <c r="AI97" s="36"/>
      <c r="CR97" s="77">
        <f>CR94+1</f>
        <v>28</v>
      </c>
      <c r="CS97" s="44"/>
      <c r="CT97" s="44"/>
      <c r="CU97" s="48" t="s">
        <v>129</v>
      </c>
      <c r="CV97" s="92">
        <f ca="1">AE70</f>
        <v>4.5648610417658959E-4</v>
      </c>
      <c r="CW97" s="57"/>
      <c r="CX97" s="93">
        <f ca="1">BD43</f>
        <v>0</v>
      </c>
      <c r="CY97" s="94">
        <f ca="1">BF43</f>
        <v>0</v>
      </c>
      <c r="CZ97" s="95">
        <f ca="1">BH43</f>
        <v>0</v>
      </c>
      <c r="DA97" s="57"/>
      <c r="DB97" s="78">
        <f t="array" aca="1" ref="DB97:DB99" ca="1">MMULT(CX97:CZ99,CV97:CV99)</f>
        <v>0</v>
      </c>
      <c r="DC97" s="57"/>
      <c r="DD97" s="96"/>
      <c r="DE97" s="97"/>
      <c r="DF97" s="97"/>
      <c r="DG97" s="97"/>
      <c r="DH97" s="97"/>
      <c r="DI97" s="98"/>
      <c r="DJ97" s="57">
        <f>DJ94+1</f>
        <v>28</v>
      </c>
      <c r="DK97" s="57"/>
      <c r="DL97" s="57"/>
      <c r="DM97" s="87" t="s">
        <v>129</v>
      </c>
      <c r="DN97" s="99">
        <f ca="1">INDEX(DE16:DE115,MATCH(DJ97,A16:A50,0))</f>
        <v>0</v>
      </c>
      <c r="DO97" s="57"/>
      <c r="DP97" s="57"/>
      <c r="DQ97" s="87" t="s">
        <v>130</v>
      </c>
      <c r="DR97" s="99">
        <f ca="1">INDEX(DD16:DD115,MATCH(DJ97,A16:A50,0))</f>
        <v>0</v>
      </c>
      <c r="DS97" s="57"/>
      <c r="DT97" s="93">
        <f ca="1">CX97</f>
        <v>0</v>
      </c>
      <c r="DU97" s="94">
        <f t="shared" ca="1" si="342"/>
        <v>0</v>
      </c>
      <c r="DV97" s="95">
        <f t="shared" ca="1" si="343"/>
        <v>0</v>
      </c>
      <c r="DW97" s="57"/>
      <c r="DX97" s="80">
        <f t="array" aca="1" ref="DX97:DX99" ca="1">MMULT(DT97:DV99,DN97:DN99)</f>
        <v>0</v>
      </c>
      <c r="DY97" s="80"/>
      <c r="DZ97" s="80">
        <f t="array" aca="1" ref="DZ97:DZ99" ca="1">MMULT(DT97:DV99,DR97:DR99)</f>
        <v>0</v>
      </c>
      <c r="FR97" s="82"/>
      <c r="FS97" s="69">
        <f ca="1">INDEX(EB16:EB115,MATCH(GF96,A16:A115,0))</f>
        <v>0</v>
      </c>
      <c r="FT97" s="69">
        <f>FT96</f>
        <v>0</v>
      </c>
      <c r="FU97" s="69">
        <f ca="1">INDEX(EC16:EC115,MATCH(GF96,A16:A115,0))</f>
        <v>0</v>
      </c>
      <c r="FV97" s="69">
        <f t="shared" ref="FV97:FV99" si="378">FT97</f>
        <v>0</v>
      </c>
      <c r="FW97" s="69">
        <f ca="1">INDEX(ED16:ED115,MATCH(GF96,A16:A115,0))</f>
        <v>0</v>
      </c>
      <c r="FX97" s="70">
        <f t="shared" ref="FX97:FX99" si="379">FV97</f>
        <v>0</v>
      </c>
      <c r="FY97" s="82"/>
      <c r="FZ97" s="101">
        <f ca="1">INDEX(EE16:EE115,MATCH(GF96,A16:A115,0))</f>
        <v>0</v>
      </c>
      <c r="GA97" s="69">
        <f>GA96</f>
        <v>0</v>
      </c>
      <c r="GB97" s="61">
        <f ca="1">INDEX(EG16:EG115,MATCH(GF96,A16:A115,0))</f>
        <v>0</v>
      </c>
      <c r="GC97" s="109">
        <f t="shared" si="191"/>
        <v>0</v>
      </c>
      <c r="GD97" s="69">
        <f ca="1">INDEX(EI16:EI115,MATCH(GF96,A16:A115,0))</f>
        <v>0</v>
      </c>
      <c r="GE97" s="110">
        <f t="shared" ref="GE97:GE99" si="380">GC97</f>
        <v>0</v>
      </c>
      <c r="GF97" s="84"/>
      <c r="GG97" s="111">
        <f ca="1">FS97+FZ97</f>
        <v>0</v>
      </c>
      <c r="GH97" s="85">
        <f>GH96</f>
        <v>0</v>
      </c>
      <c r="GI97" s="111">
        <f ca="1">FU97+GB97</f>
        <v>0</v>
      </c>
      <c r="GJ97" s="112">
        <f t="shared" si="192"/>
        <v>0</v>
      </c>
      <c r="GK97" s="111">
        <f ca="1">FW97+GD97</f>
        <v>0</v>
      </c>
      <c r="GL97" s="112">
        <f t="shared" si="193"/>
        <v>0</v>
      </c>
      <c r="GN97" s="69">
        <f t="shared" si="331"/>
        <v>0</v>
      </c>
      <c r="GO97" s="113" t="e">
        <f ca="1">INDEX(FJ16:FJ115,MATCH(GM96,A16:A115,0))</f>
        <v>#DIV/0!</v>
      </c>
      <c r="GP97" s="113" t="e">
        <f ca="1">INDEX(FK16:FK115,MATCH(GM96,A16:A115,0))</f>
        <v>#DIV/0!</v>
      </c>
      <c r="GQ97" s="113" t="e">
        <f ca="1">INDEX(FL16:FL115,MATCH(GM96,A16:A115,0))</f>
        <v>#DIV/0!</v>
      </c>
      <c r="GR97" s="113" t="e">
        <f ca="1">INDEX(FM16:FM115,MATCH(GM96,A16:A115,0))</f>
        <v>#DIV/0!</v>
      </c>
      <c r="GS97" s="113" t="e">
        <f ca="1">INDEX(FN16:FN115,MATCH(GM96,A16:A115,0))</f>
        <v>#DIV/0!</v>
      </c>
      <c r="GT97" s="113" t="e">
        <f ca="1">INDEX(FO16:FO115,MATCH(GM96,A16:A115,0))</f>
        <v>#DIV/0!</v>
      </c>
      <c r="GU97" s="113" t="e">
        <f ca="1">INDEX(FP16:FP115,MATCH(GM96,A16:A115,0))</f>
        <v>#DIV/0!</v>
      </c>
      <c r="HO97" s="57"/>
      <c r="HP97" s="57"/>
      <c r="HQ97" s="57"/>
      <c r="HR97" s="57"/>
      <c r="HS97" s="57"/>
      <c r="HT97" s="57"/>
      <c r="HU97" s="57"/>
      <c r="HV97" s="57"/>
      <c r="HW97" s="57" t="s">
        <v>55</v>
      </c>
      <c r="HX97" s="57"/>
      <c r="HY97" s="57"/>
      <c r="HZ97" s="57"/>
      <c r="IA97" s="57"/>
      <c r="IB97" s="57"/>
      <c r="IC97" s="57"/>
      <c r="ID97" s="57"/>
      <c r="IE97" s="57"/>
      <c r="IF97" s="57"/>
      <c r="IG97" s="57"/>
      <c r="IH97" s="57"/>
      <c r="II97" s="57"/>
      <c r="IJ97" s="57"/>
      <c r="IK97" s="57"/>
      <c r="IL97" s="57"/>
      <c r="IM97" s="57"/>
      <c r="IN97" s="57"/>
      <c r="IO97" s="57"/>
      <c r="IP97" s="57"/>
    </row>
    <row r="98" spans="1:255" x14ac:dyDescent="0.3">
      <c r="A98" s="139"/>
      <c r="B98" s="139"/>
      <c r="C98" s="139"/>
      <c r="D98" s="139"/>
      <c r="E98" s="139"/>
      <c r="F98" s="139"/>
      <c r="G98" s="139"/>
      <c r="H98" s="139"/>
      <c r="I98" s="139"/>
      <c r="J98" s="139"/>
      <c r="K98" s="139"/>
      <c r="AB98" s="36"/>
      <c r="AC98" s="36"/>
      <c r="AD98" s="36"/>
      <c r="AE98" s="36"/>
      <c r="AF98" s="50"/>
      <c r="AG98" s="50"/>
      <c r="AH98" s="50"/>
      <c r="AI98" s="36"/>
      <c r="CR98" s="77"/>
      <c r="CS98" s="44"/>
      <c r="CT98" s="44"/>
      <c r="CU98" s="48" t="s">
        <v>131</v>
      </c>
      <c r="CV98" s="92">
        <f ca="1">AE71</f>
        <v>4.0799587495451728E-5</v>
      </c>
      <c r="CW98" s="57"/>
      <c r="CX98" s="90">
        <f ca="1">BG43</f>
        <v>0</v>
      </c>
      <c r="CY98" s="83">
        <f ca="1">BE43</f>
        <v>0</v>
      </c>
      <c r="CZ98" s="91">
        <f ca="1">BK43</f>
        <v>0</v>
      </c>
      <c r="DA98" s="57"/>
      <c r="DB98" s="78">
        <f ca="1"/>
        <v>0</v>
      </c>
      <c r="DC98" s="57"/>
      <c r="DD98" s="96"/>
      <c r="DE98" s="97"/>
      <c r="DF98" s="97"/>
      <c r="DG98" s="97"/>
      <c r="DH98" s="97"/>
      <c r="DI98" s="98"/>
      <c r="DJ98" s="57"/>
      <c r="DK98" s="57"/>
      <c r="DL98" s="57"/>
      <c r="DM98" s="87" t="s">
        <v>131</v>
      </c>
      <c r="DN98" s="99">
        <f ca="1">INDEX(DG16:DG115,MATCH(DJ97,A16:A50,0))</f>
        <v>0</v>
      </c>
      <c r="DO98" s="57"/>
      <c r="DP98" s="57"/>
      <c r="DQ98" s="87" t="s">
        <v>132</v>
      </c>
      <c r="DR98" s="99">
        <f ca="1">INDEX(DF16:DF115,MATCH(DJ97,A16:A50,0))</f>
        <v>0</v>
      </c>
      <c r="DS98" s="57"/>
      <c r="DT98" s="90">
        <f t="shared" ref="DT98:DT99" ca="1" si="381">CX98</f>
        <v>0</v>
      </c>
      <c r="DU98" s="83">
        <f t="shared" ca="1" si="342"/>
        <v>0</v>
      </c>
      <c r="DV98" s="91">
        <f t="shared" ca="1" si="343"/>
        <v>0</v>
      </c>
      <c r="DW98" s="57"/>
      <c r="DX98" s="80">
        <f ca="1"/>
        <v>0</v>
      </c>
      <c r="DY98" s="80"/>
      <c r="DZ98" s="80">
        <f ca="1"/>
        <v>0</v>
      </c>
      <c r="FR98" s="82"/>
      <c r="FS98" s="69">
        <f ca="1">FS97</f>
        <v>0</v>
      </c>
      <c r="FT98" s="69">
        <f>INDEX(AE16:AE115,MATCH(GF96,A16:A115,0))</f>
        <v>0</v>
      </c>
      <c r="FU98" s="69">
        <f ca="1">FU97</f>
        <v>0</v>
      </c>
      <c r="FV98" s="69">
        <f t="shared" si="378"/>
        <v>0</v>
      </c>
      <c r="FW98" s="69">
        <f ca="1">FW97</f>
        <v>0</v>
      </c>
      <c r="FX98" s="70">
        <f t="shared" si="379"/>
        <v>0</v>
      </c>
      <c r="FY98" s="82"/>
      <c r="FZ98" s="101">
        <f ca="1">INDEX(EF16:EF115,MATCH(GF96,A16:A115,0))</f>
        <v>0</v>
      </c>
      <c r="GA98" s="69">
        <f>FT98</f>
        <v>0</v>
      </c>
      <c r="GB98" s="61">
        <f ca="1">INDEX(EH16:EH115,MATCH(GF96,A16:A115,0))</f>
        <v>0</v>
      </c>
      <c r="GC98" s="109">
        <f t="shared" si="191"/>
        <v>0</v>
      </c>
      <c r="GD98" s="69">
        <f ca="1">INDEX(EJ16:EJ115,MATCH(GF96,A16:A115,0))</f>
        <v>0</v>
      </c>
      <c r="GE98" s="110">
        <f t="shared" si="380"/>
        <v>0</v>
      </c>
      <c r="GF98" s="84"/>
      <c r="GG98" s="111">
        <f ca="1">FS98+FZ98</f>
        <v>0</v>
      </c>
      <c r="GH98" s="85">
        <f>FT98</f>
        <v>0</v>
      </c>
      <c r="GI98" s="111">
        <f ca="1">FU98+GB98</f>
        <v>0</v>
      </c>
      <c r="GJ98" s="112">
        <f t="shared" si="192"/>
        <v>0</v>
      </c>
      <c r="GK98" s="111">
        <f ca="1">FW98+GD98</f>
        <v>0</v>
      </c>
      <c r="GL98" s="112">
        <f t="shared" si="193"/>
        <v>0</v>
      </c>
      <c r="GN98" s="69">
        <f t="shared" si="331"/>
        <v>0</v>
      </c>
      <c r="GO98" s="113" t="e">
        <f ca="1">GO97</f>
        <v>#DIV/0!</v>
      </c>
      <c r="GP98" s="113" t="e">
        <f t="shared" ref="GP98" ca="1" si="382">GP97</f>
        <v>#DIV/0!</v>
      </c>
      <c r="GQ98" s="113" t="e">
        <f t="shared" ref="GQ98" ca="1" si="383">GQ97</f>
        <v>#DIV/0!</v>
      </c>
      <c r="GR98" s="113" t="e">
        <f t="shared" ref="GR98" ca="1" si="384">GR97</f>
        <v>#DIV/0!</v>
      </c>
      <c r="GS98" s="113" t="e">
        <f t="shared" ref="GS98" ca="1" si="385">GS97</f>
        <v>#DIV/0!</v>
      </c>
      <c r="GT98" s="113" t="e">
        <f t="shared" ref="GT98" ca="1" si="386">GT97</f>
        <v>#DIV/0!</v>
      </c>
      <c r="GU98" s="113" t="e">
        <f t="shared" ref="GU98" ca="1" si="387">GU97</f>
        <v>#DIV/0!</v>
      </c>
      <c r="HO98" s="57"/>
      <c r="HP98" s="57"/>
      <c r="HQ98" s="57"/>
      <c r="HR98" s="57"/>
      <c r="HS98" s="57"/>
      <c r="HT98" s="57"/>
      <c r="HU98" s="57"/>
      <c r="HV98" s="57"/>
      <c r="HW98" s="130" t="s">
        <v>60</v>
      </c>
      <c r="HX98" s="130"/>
      <c r="HY98" s="130" t="s">
        <v>62</v>
      </c>
      <c r="HZ98" s="130"/>
      <c r="IA98" s="57"/>
      <c r="IB98" s="130" t="s">
        <v>64</v>
      </c>
      <c r="IC98" s="130"/>
      <c r="ID98" s="57"/>
      <c r="IE98" s="57"/>
      <c r="IF98" s="57"/>
      <c r="IG98" s="57"/>
      <c r="IH98" s="57"/>
      <c r="II98" s="57"/>
      <c r="IJ98" s="57"/>
      <c r="IK98" s="57"/>
      <c r="IL98" s="57"/>
      <c r="IM98" s="57"/>
      <c r="IN98" s="57"/>
      <c r="IO98" s="57"/>
      <c r="IP98" s="57"/>
    </row>
    <row r="99" spans="1:255" x14ac:dyDescent="0.3">
      <c r="A99" s="169"/>
      <c r="B99" s="139"/>
      <c r="C99" s="139"/>
      <c r="D99" s="139"/>
      <c r="E99" s="169"/>
      <c r="F99" s="169"/>
      <c r="G99" s="169"/>
      <c r="H99" s="169"/>
      <c r="I99" s="169"/>
      <c r="J99" s="169"/>
      <c r="K99" s="169"/>
      <c r="AB99" s="36"/>
      <c r="AC99" s="36"/>
      <c r="AD99" s="36"/>
      <c r="AE99" s="36"/>
      <c r="AF99" s="50"/>
      <c r="AG99" s="50"/>
      <c r="AH99" s="50"/>
      <c r="AI99" s="36"/>
      <c r="CR99" s="77"/>
      <c r="CS99" s="44"/>
      <c r="CT99" s="44"/>
      <c r="CU99" s="48" t="s">
        <v>133</v>
      </c>
      <c r="CV99" s="92">
        <f ca="1">AE72</f>
        <v>-2.771243444540907E-4</v>
      </c>
      <c r="CW99" s="57"/>
      <c r="CX99" s="114">
        <f ca="1">BI43</f>
        <v>0</v>
      </c>
      <c r="CY99" s="115">
        <f ca="1">BJ43</f>
        <v>0</v>
      </c>
      <c r="CZ99" s="116">
        <f ca="1">BL43</f>
        <v>0</v>
      </c>
      <c r="DA99" s="57"/>
      <c r="DB99" s="78">
        <f ca="1"/>
        <v>0</v>
      </c>
      <c r="DC99" s="57"/>
      <c r="DD99" s="96"/>
      <c r="DE99" s="97"/>
      <c r="DF99" s="97"/>
      <c r="DG99" s="97"/>
      <c r="DH99" s="97"/>
      <c r="DI99" s="98"/>
      <c r="DJ99" s="57"/>
      <c r="DK99" s="57"/>
      <c r="DL99" s="57"/>
      <c r="DM99" s="87" t="s">
        <v>133</v>
      </c>
      <c r="DN99" s="99">
        <f ca="1">INDEX(DI16:DI115,MATCH(DJ97,A16:A50,0))</f>
        <v>0</v>
      </c>
      <c r="DO99" s="57"/>
      <c r="DP99" s="57"/>
      <c r="DQ99" s="87" t="s">
        <v>134</v>
      </c>
      <c r="DR99" s="99">
        <f ca="1">INDEX(DH16:DH115,MATCH(DJ97,A16:A50,0))</f>
        <v>0</v>
      </c>
      <c r="DS99" s="57"/>
      <c r="DT99" s="114">
        <f t="shared" ca="1" si="381"/>
        <v>0</v>
      </c>
      <c r="DU99" s="115">
        <f t="shared" ca="1" si="342"/>
        <v>0</v>
      </c>
      <c r="DV99" s="116">
        <f t="shared" ca="1" si="343"/>
        <v>0</v>
      </c>
      <c r="DW99" s="57"/>
      <c r="DX99" s="80">
        <f ca="1"/>
        <v>0</v>
      </c>
      <c r="DY99" s="80"/>
      <c r="DZ99" s="80">
        <f ca="1"/>
        <v>0</v>
      </c>
      <c r="FR99" s="82"/>
      <c r="FS99" s="61">
        <v>0</v>
      </c>
      <c r="FT99" s="69">
        <f>FT98</f>
        <v>0</v>
      </c>
      <c r="FU99" s="61">
        <v>0</v>
      </c>
      <c r="FV99" s="69">
        <f t="shared" si="378"/>
        <v>0</v>
      </c>
      <c r="FW99" s="69">
        <v>0</v>
      </c>
      <c r="FX99" s="70">
        <f t="shared" si="379"/>
        <v>0</v>
      </c>
      <c r="FY99" s="82"/>
      <c r="FZ99" s="61">
        <v>0</v>
      </c>
      <c r="GA99" s="69">
        <f>GA98</f>
        <v>0</v>
      </c>
      <c r="GB99" s="61">
        <v>0</v>
      </c>
      <c r="GC99" s="109">
        <f t="shared" si="191"/>
        <v>0</v>
      </c>
      <c r="GD99" s="61">
        <v>0</v>
      </c>
      <c r="GE99" s="110">
        <f t="shared" si="380"/>
        <v>0</v>
      </c>
      <c r="GF99" s="84"/>
      <c r="GG99" s="111">
        <v>0</v>
      </c>
      <c r="GH99" s="85">
        <f>GH98</f>
        <v>0</v>
      </c>
      <c r="GI99" s="112">
        <v>0</v>
      </c>
      <c r="GJ99" s="112">
        <f t="shared" si="192"/>
        <v>0</v>
      </c>
      <c r="GK99" s="112">
        <v>0</v>
      </c>
      <c r="GL99" s="112">
        <f t="shared" si="193"/>
        <v>0</v>
      </c>
      <c r="GN99" s="69">
        <f t="shared" si="331"/>
        <v>0</v>
      </c>
      <c r="GO99" s="113"/>
      <c r="GP99" s="113"/>
      <c r="GQ99" s="113"/>
      <c r="GR99" s="113"/>
      <c r="GS99" s="113"/>
      <c r="GT99" s="113"/>
      <c r="GU99" s="113"/>
      <c r="HO99" s="57"/>
      <c r="HP99" s="57" t="s">
        <v>40</v>
      </c>
      <c r="HQ99" s="57"/>
      <c r="HR99" s="57"/>
      <c r="HS99" s="57"/>
      <c r="HT99" s="58" t="s">
        <v>52</v>
      </c>
      <c r="HU99" s="58" t="s">
        <v>53</v>
      </c>
      <c r="HV99" s="57"/>
      <c r="HW99" s="130" t="s">
        <v>61</v>
      </c>
      <c r="HX99" s="130"/>
      <c r="HY99" s="130" t="s">
        <v>63</v>
      </c>
      <c r="HZ99" s="130"/>
      <c r="IA99" s="57"/>
      <c r="IB99" s="57"/>
      <c r="IC99" s="57"/>
      <c r="ID99" s="57"/>
      <c r="IE99" s="57"/>
      <c r="IF99" s="57"/>
      <c r="IG99" s="57"/>
      <c r="IH99" s="57"/>
      <c r="II99" s="57"/>
      <c r="IJ99" s="57"/>
      <c r="IK99" s="57"/>
      <c r="IL99" s="57"/>
      <c r="IM99" s="57"/>
      <c r="IN99" s="57"/>
      <c r="IO99" s="57"/>
      <c r="IP99" s="57"/>
    </row>
    <row r="100" spans="1:255" x14ac:dyDescent="0.3">
      <c r="A100" s="169"/>
      <c r="B100" s="139"/>
      <c r="C100" s="139"/>
      <c r="D100" s="139"/>
      <c r="E100" s="169"/>
      <c r="F100" s="169"/>
      <c r="G100" s="169"/>
      <c r="H100" s="169"/>
      <c r="I100" s="169"/>
      <c r="J100" s="169"/>
      <c r="K100" s="169"/>
      <c r="AB100" s="36"/>
      <c r="AC100" s="36"/>
      <c r="AD100" s="36"/>
      <c r="AE100" s="36"/>
      <c r="AF100" s="50"/>
      <c r="AG100" s="50"/>
      <c r="AH100" s="50"/>
      <c r="AI100" s="36"/>
      <c r="CR100" s="77">
        <f>CR97+1</f>
        <v>29</v>
      </c>
      <c r="CS100" s="44"/>
      <c r="CT100" s="44"/>
      <c r="CU100" s="48" t="s">
        <v>129</v>
      </c>
      <c r="CV100" s="92">
        <f ca="1">AE70</f>
        <v>4.5648610417658959E-4</v>
      </c>
      <c r="CW100" s="57"/>
      <c r="CX100" s="93">
        <f ca="1">BD44</f>
        <v>0</v>
      </c>
      <c r="CY100" s="94">
        <f ca="1">BF44</f>
        <v>0</v>
      </c>
      <c r="CZ100" s="95">
        <f ca="1">BH44</f>
        <v>0</v>
      </c>
      <c r="DA100" s="57"/>
      <c r="DB100" s="78">
        <f t="array" aca="1" ref="DB100:DB102" ca="1">MMULT(CX100:CZ102,CV100:CV102)</f>
        <v>0</v>
      </c>
      <c r="DC100" s="57"/>
      <c r="DD100" s="96"/>
      <c r="DE100" s="97"/>
      <c r="DF100" s="97"/>
      <c r="DG100" s="97"/>
      <c r="DH100" s="97"/>
      <c r="DI100" s="98"/>
      <c r="DJ100" s="57">
        <f>DJ97+1</f>
        <v>29</v>
      </c>
      <c r="DK100" s="57"/>
      <c r="DL100" s="57"/>
      <c r="DM100" s="87" t="s">
        <v>129</v>
      </c>
      <c r="DN100" s="99">
        <f ca="1">INDEX(DE16:DE115,MATCH(DJ100,A16:A50,0))</f>
        <v>0</v>
      </c>
      <c r="DO100" s="57"/>
      <c r="DP100" s="57"/>
      <c r="DQ100" s="87" t="s">
        <v>130</v>
      </c>
      <c r="DR100" s="99">
        <f ca="1">INDEX(DD16:DD115,MATCH(DJ100,A16:A50,0))</f>
        <v>0</v>
      </c>
      <c r="DS100" s="57"/>
      <c r="DT100" s="93">
        <f ca="1">CX100</f>
        <v>0</v>
      </c>
      <c r="DU100" s="94">
        <f t="shared" ca="1" si="342"/>
        <v>0</v>
      </c>
      <c r="DV100" s="95">
        <f t="shared" ca="1" si="343"/>
        <v>0</v>
      </c>
      <c r="DW100" s="57"/>
      <c r="DX100" s="80">
        <f t="array" aca="1" ref="DX100:DX102" ca="1">MMULT(DT100:DV102,DN100:DN102)</f>
        <v>0</v>
      </c>
      <c r="DY100" s="80"/>
      <c r="DZ100" s="80">
        <f t="array" aca="1" ref="DZ100:DZ102" ca="1">MMULT(DT100:DV102,DR100:DR102)</f>
        <v>0</v>
      </c>
      <c r="FR100" s="82">
        <f>FR96+1</f>
        <v>22</v>
      </c>
      <c r="FS100" s="61">
        <v>0</v>
      </c>
      <c r="FT100" s="69">
        <f>INDEX(AF16:AF115,MATCH(GF100,A16:A115,0))</f>
        <v>0</v>
      </c>
      <c r="FU100" s="61">
        <v>0</v>
      </c>
      <c r="FV100" s="69">
        <f>FT100</f>
        <v>0</v>
      </c>
      <c r="FW100" s="69">
        <v>0</v>
      </c>
      <c r="FX100" s="70">
        <f>FV100</f>
        <v>0</v>
      </c>
      <c r="FY100" s="82">
        <f>FY96+1</f>
        <v>22</v>
      </c>
      <c r="FZ100" s="61">
        <v>0</v>
      </c>
      <c r="GA100" s="69">
        <f>FT100</f>
        <v>0</v>
      </c>
      <c r="GB100" s="108">
        <v>0</v>
      </c>
      <c r="GC100" s="109">
        <f t="shared" si="191"/>
        <v>0</v>
      </c>
      <c r="GD100" s="61">
        <v>0</v>
      </c>
      <c r="GE100" s="110">
        <f>GC100</f>
        <v>0</v>
      </c>
      <c r="GF100" s="84">
        <f>GF96+1</f>
        <v>22</v>
      </c>
      <c r="GG100" s="111">
        <v>0</v>
      </c>
      <c r="GH100" s="85">
        <f>FT100</f>
        <v>0</v>
      </c>
      <c r="GI100" s="112">
        <v>0</v>
      </c>
      <c r="GJ100" s="112">
        <f t="shared" si="192"/>
        <v>0</v>
      </c>
      <c r="GK100" s="112">
        <v>0</v>
      </c>
      <c r="GL100" s="112">
        <f t="shared" si="193"/>
        <v>0</v>
      </c>
      <c r="GM100" s="117">
        <f>GM96+1</f>
        <v>22</v>
      </c>
      <c r="GN100" s="69">
        <f t="shared" si="331"/>
        <v>0</v>
      </c>
      <c r="GO100" s="113"/>
      <c r="GP100" s="113"/>
      <c r="GQ100" s="113"/>
      <c r="GR100" s="113"/>
      <c r="GS100" s="113"/>
      <c r="GT100" s="113"/>
      <c r="GU100" s="113"/>
      <c r="HO100" s="57"/>
      <c r="HP100" s="57">
        <v>0</v>
      </c>
      <c r="HQ100" s="57">
        <v>0</v>
      </c>
      <c r="HR100" s="57" t="e">
        <f>(HQ100-HQ101)/(HP100-HP101)</f>
        <v>#DIV/0!</v>
      </c>
      <c r="HS100" s="57"/>
      <c r="HT100" s="58">
        <f>IF(ISERROR(HR100)=TRUE,1,HR100)</f>
        <v>1</v>
      </c>
      <c r="HU100" s="58">
        <f>HQ100-HT100*HP100</f>
        <v>0</v>
      </c>
      <c r="HV100" s="57"/>
      <c r="HW100" s="57" t="s">
        <v>52</v>
      </c>
      <c r="HX100" s="57" t="s">
        <v>53</v>
      </c>
      <c r="HY100" s="57" t="s">
        <v>52</v>
      </c>
      <c r="HZ100" s="57" t="s">
        <v>53</v>
      </c>
      <c r="IA100" s="57"/>
      <c r="IB100" s="57" t="s">
        <v>7</v>
      </c>
      <c r="IC100" s="57" t="s">
        <v>8</v>
      </c>
      <c r="ID100" s="57"/>
      <c r="IE100" s="57"/>
      <c r="IF100" s="57"/>
      <c r="IG100" s="57"/>
      <c r="IH100" s="57"/>
      <c r="II100" s="57"/>
      <c r="IJ100" s="57"/>
      <c r="IK100" s="57"/>
      <c r="IL100" s="57"/>
      <c r="IM100" s="57"/>
      <c r="IN100" s="57"/>
      <c r="IO100" s="57"/>
      <c r="IP100" s="57"/>
    </row>
    <row r="101" spans="1:255" x14ac:dyDescent="0.3">
      <c r="A101" s="169"/>
      <c r="B101" s="139"/>
      <c r="C101" s="139"/>
      <c r="D101" s="139"/>
      <c r="E101" s="169"/>
      <c r="F101" s="169"/>
      <c r="G101" s="169"/>
      <c r="H101" s="169"/>
      <c r="I101" s="169"/>
      <c r="J101" s="169"/>
      <c r="K101" s="169"/>
      <c r="AF101" s="53"/>
      <c r="AG101" s="53"/>
      <c r="AH101" s="53"/>
      <c r="CR101" s="77"/>
      <c r="CS101" s="44"/>
      <c r="CT101" s="44"/>
      <c r="CU101" s="48" t="s">
        <v>131</v>
      </c>
      <c r="CV101" s="92">
        <f ca="1">AE71</f>
        <v>4.0799587495451728E-5</v>
      </c>
      <c r="CW101" s="57"/>
      <c r="CX101" s="90">
        <f ca="1">BG44</f>
        <v>0</v>
      </c>
      <c r="CY101" s="83">
        <f ca="1">BE44</f>
        <v>0</v>
      </c>
      <c r="CZ101" s="91">
        <f ca="1">BK44</f>
        <v>0</v>
      </c>
      <c r="DA101" s="57"/>
      <c r="DB101" s="78">
        <f ca="1"/>
        <v>0</v>
      </c>
      <c r="DC101" s="57"/>
      <c r="DD101" s="96"/>
      <c r="DE101" s="97"/>
      <c r="DF101" s="97"/>
      <c r="DG101" s="97"/>
      <c r="DH101" s="97"/>
      <c r="DI101" s="98"/>
      <c r="DJ101" s="57"/>
      <c r="DK101" s="57"/>
      <c r="DL101" s="57"/>
      <c r="DM101" s="87" t="s">
        <v>131</v>
      </c>
      <c r="DN101" s="99">
        <f ca="1">INDEX(DG16:DG115,MATCH(DJ100,A16:A50,0))</f>
        <v>0</v>
      </c>
      <c r="DO101" s="57"/>
      <c r="DP101" s="57"/>
      <c r="DQ101" s="87" t="s">
        <v>132</v>
      </c>
      <c r="DR101" s="99">
        <f ca="1">INDEX(DF16:DF115,MATCH(DJ100,A16:A50,0))</f>
        <v>0</v>
      </c>
      <c r="DS101" s="57"/>
      <c r="DT101" s="90">
        <f t="shared" ref="DT101:DT102" ca="1" si="388">CX101</f>
        <v>0</v>
      </c>
      <c r="DU101" s="83">
        <f t="shared" ca="1" si="342"/>
        <v>0</v>
      </c>
      <c r="DV101" s="91">
        <f t="shared" ca="1" si="343"/>
        <v>0</v>
      </c>
      <c r="DW101" s="57"/>
      <c r="DX101" s="80">
        <f ca="1"/>
        <v>0</v>
      </c>
      <c r="DY101" s="80"/>
      <c r="DZ101" s="80">
        <f ca="1"/>
        <v>0</v>
      </c>
      <c r="FR101" s="82"/>
      <c r="FS101" s="69">
        <f ca="1">INDEX(EB16:EB115,MATCH(GF100,A16:A115,0))</f>
        <v>0</v>
      </c>
      <c r="FT101" s="69">
        <f>FT100</f>
        <v>0</v>
      </c>
      <c r="FU101" s="69">
        <f ca="1">INDEX(EC16:EC115,MATCH(GF100,A16:A115,0))</f>
        <v>0</v>
      </c>
      <c r="FV101" s="69">
        <f t="shared" ref="FV101:FV103" si="389">FT101</f>
        <v>0</v>
      </c>
      <c r="FW101" s="69">
        <f ca="1">INDEX(ED16:ED115,MATCH(GF100,A16:A115,0))</f>
        <v>0</v>
      </c>
      <c r="FX101" s="70">
        <f t="shared" ref="FX101:FX103" si="390">FV101</f>
        <v>0</v>
      </c>
      <c r="FY101" s="82"/>
      <c r="FZ101" s="101">
        <f ca="1">INDEX(EE16:EE115,MATCH(GF100,A16:A115,0))</f>
        <v>0</v>
      </c>
      <c r="GA101" s="69">
        <f>GA100</f>
        <v>0</v>
      </c>
      <c r="GB101" s="61">
        <f ca="1">INDEX(EG16:EG115,MATCH(GF100,A16:A115,0))</f>
        <v>0</v>
      </c>
      <c r="GC101" s="109">
        <f t="shared" si="191"/>
        <v>0</v>
      </c>
      <c r="GD101" s="69">
        <f ca="1">INDEX(EI16:EI115,MATCH(GF100,A16:A115,0))</f>
        <v>0</v>
      </c>
      <c r="GE101" s="110">
        <f t="shared" ref="GE101:GE103" si="391">GC101</f>
        <v>0</v>
      </c>
      <c r="GF101" s="84"/>
      <c r="GG101" s="111">
        <f ca="1">FS101+FZ101</f>
        <v>0</v>
      </c>
      <c r="GH101" s="85">
        <f>GH100</f>
        <v>0</v>
      </c>
      <c r="GI101" s="111">
        <f ca="1">FU101+GB101</f>
        <v>0</v>
      </c>
      <c r="GJ101" s="112">
        <f t="shared" si="192"/>
        <v>0</v>
      </c>
      <c r="GK101" s="111">
        <f ca="1">FW101+GD101</f>
        <v>0</v>
      </c>
      <c r="GL101" s="112">
        <f t="shared" si="193"/>
        <v>0</v>
      </c>
      <c r="GN101" s="69">
        <f t="shared" si="331"/>
        <v>0</v>
      </c>
      <c r="GO101" s="113" t="e">
        <f ca="1">INDEX(FJ16:FJ115,MATCH(GM100,A16:A115,0))</f>
        <v>#DIV/0!</v>
      </c>
      <c r="GP101" s="113" t="e">
        <f ca="1">INDEX(FK16:FK115,MATCH(GM100,A16:A115,0))</f>
        <v>#DIV/0!</v>
      </c>
      <c r="GQ101" s="113" t="e">
        <f ca="1">INDEX(FL16:FL115,MATCH(GM100,A16:A115,0))</f>
        <v>#DIV/0!</v>
      </c>
      <c r="GR101" s="113" t="e">
        <f ca="1">INDEX(FM16:FM115,MATCH(GM100,A16:A115,0))</f>
        <v>#DIV/0!</v>
      </c>
      <c r="GS101" s="113" t="e">
        <f ca="1">INDEX(FN16:FN115,MATCH(GM100,A16:A115,0))</f>
        <v>#DIV/0!</v>
      </c>
      <c r="GT101" s="113" t="e">
        <f ca="1">INDEX(FO16:FO115,MATCH(GM100,A16:A115,0))</f>
        <v>#DIV/0!</v>
      </c>
      <c r="GU101" s="113" t="e">
        <f ca="1">INDEX(FP16:FP115,MATCH(GM100,A16:A115,0))</f>
        <v>#DIV/0!</v>
      </c>
      <c r="HO101" s="57"/>
      <c r="HP101" s="88">
        <f>IA17</f>
        <v>0</v>
      </c>
      <c r="HQ101" s="88">
        <f>IB17</f>
        <v>0</v>
      </c>
      <c r="HR101" s="57"/>
      <c r="HS101" s="57"/>
      <c r="HT101" s="58"/>
      <c r="HU101" s="58"/>
      <c r="HV101" s="57"/>
      <c r="HW101" s="57">
        <f>HT100</f>
        <v>1</v>
      </c>
      <c r="HX101" s="57">
        <f>HU100</f>
        <v>0</v>
      </c>
      <c r="HY101" s="57">
        <f>AG112</f>
        <v>0</v>
      </c>
      <c r="HZ101" s="57">
        <f>AH112</f>
        <v>0</v>
      </c>
      <c r="IA101" s="57"/>
      <c r="IB101" s="57">
        <f ca="1">ID25</f>
        <v>4500</v>
      </c>
      <c r="IC101" s="84">
        <f ca="1">(HW101*IB101)+HX101</f>
        <v>4500</v>
      </c>
      <c r="ID101" s="84">
        <f ca="1">IB101-IB109</f>
        <v>4500</v>
      </c>
      <c r="IE101" s="84">
        <f ca="1">IC101-IC109</f>
        <v>4500</v>
      </c>
      <c r="IF101" s="84">
        <f t="shared" ref="IF101:IF107" ca="1" si="392">(IB101^2+IC101^2)^0.5</f>
        <v>6363.9610306789273</v>
      </c>
      <c r="IG101" s="57" t="e">
        <f ca="1">IF(IF101=MIN(IF101:IF107),1,0)</f>
        <v>#DIV/0!</v>
      </c>
      <c r="IH101" s="84">
        <f t="shared" ref="IH101:IH107" ca="1" si="393">(IB101^2+IC101^2)^0.5</f>
        <v>6363.9610306789273</v>
      </c>
      <c r="II101" s="57"/>
      <c r="IJ101" s="57"/>
      <c r="IK101" s="57"/>
      <c r="IL101" s="57"/>
      <c r="IM101" s="57"/>
      <c r="IN101" s="57"/>
      <c r="IO101" s="57"/>
      <c r="IP101" s="57"/>
    </row>
    <row r="102" spans="1:255" x14ac:dyDescent="0.3">
      <c r="A102" s="86"/>
      <c r="B102" s="86"/>
      <c r="C102" s="86"/>
      <c r="D102" s="86"/>
      <c r="E102" s="86"/>
      <c r="F102" s="86"/>
      <c r="G102" s="86"/>
      <c r="H102" s="86"/>
      <c r="I102" s="86"/>
      <c r="J102" s="86"/>
      <c r="K102" s="86"/>
      <c r="AF102" s="53"/>
      <c r="AG102" s="53"/>
      <c r="AH102" s="53"/>
      <c r="CR102" s="77"/>
      <c r="CS102" s="44"/>
      <c r="CT102" s="44"/>
      <c r="CU102" s="48" t="s">
        <v>133</v>
      </c>
      <c r="CV102" s="92">
        <f ca="1">AE72</f>
        <v>-2.771243444540907E-4</v>
      </c>
      <c r="CW102" s="57"/>
      <c r="CX102" s="114">
        <f ca="1">BI44</f>
        <v>0</v>
      </c>
      <c r="CY102" s="115">
        <f ca="1">BJ44</f>
        <v>0</v>
      </c>
      <c r="CZ102" s="116">
        <f ca="1">BL44</f>
        <v>0</v>
      </c>
      <c r="DA102" s="57"/>
      <c r="DB102" s="78">
        <f ca="1"/>
        <v>0</v>
      </c>
      <c r="DC102" s="57"/>
      <c r="DD102" s="96"/>
      <c r="DE102" s="97"/>
      <c r="DF102" s="97"/>
      <c r="DG102" s="97"/>
      <c r="DH102" s="97"/>
      <c r="DI102" s="98"/>
      <c r="DJ102" s="57"/>
      <c r="DK102" s="57"/>
      <c r="DL102" s="57"/>
      <c r="DM102" s="87" t="s">
        <v>133</v>
      </c>
      <c r="DN102" s="99">
        <f ca="1">INDEX(DI16:DI115,MATCH(DJ100,A16:A50,0))</f>
        <v>0</v>
      </c>
      <c r="DO102" s="57"/>
      <c r="DP102" s="57"/>
      <c r="DQ102" s="87" t="s">
        <v>134</v>
      </c>
      <c r="DR102" s="99">
        <f ca="1">INDEX(DH16:DH115,MATCH(DJ100,A16:A50,0))</f>
        <v>0</v>
      </c>
      <c r="DS102" s="57"/>
      <c r="DT102" s="114">
        <f t="shared" ca="1" si="388"/>
        <v>0</v>
      </c>
      <c r="DU102" s="115">
        <f t="shared" ca="1" si="342"/>
        <v>0</v>
      </c>
      <c r="DV102" s="116">
        <f t="shared" ca="1" si="343"/>
        <v>0</v>
      </c>
      <c r="DW102" s="57"/>
      <c r="DX102" s="80">
        <f ca="1"/>
        <v>0</v>
      </c>
      <c r="DY102" s="80"/>
      <c r="DZ102" s="80">
        <f ca="1"/>
        <v>0</v>
      </c>
      <c r="FR102" s="82"/>
      <c r="FS102" s="69">
        <f ca="1">FS101</f>
        <v>0</v>
      </c>
      <c r="FT102" s="69">
        <f>INDEX(AE16:AE115,MATCH(GF100,A16:A115,0))</f>
        <v>0</v>
      </c>
      <c r="FU102" s="69">
        <f ca="1">FU101</f>
        <v>0</v>
      </c>
      <c r="FV102" s="69">
        <f t="shared" si="389"/>
        <v>0</v>
      </c>
      <c r="FW102" s="69">
        <f ca="1">FW101</f>
        <v>0</v>
      </c>
      <c r="FX102" s="70">
        <f t="shared" si="390"/>
        <v>0</v>
      </c>
      <c r="FY102" s="82"/>
      <c r="FZ102" s="101">
        <f ca="1">INDEX(EF16:EF115,MATCH(GF100,A16:A115,0))</f>
        <v>0</v>
      </c>
      <c r="GA102" s="69">
        <f>FT102</f>
        <v>0</v>
      </c>
      <c r="GB102" s="61">
        <f ca="1">INDEX(EH16:EH115,MATCH(GF100,A16:A115,0))</f>
        <v>0</v>
      </c>
      <c r="GC102" s="109">
        <f t="shared" si="191"/>
        <v>0</v>
      </c>
      <c r="GD102" s="69">
        <f ca="1">INDEX(EJ16:EJ115,MATCH(GF100,A16:A115,0))</f>
        <v>0</v>
      </c>
      <c r="GE102" s="110">
        <f t="shared" si="391"/>
        <v>0</v>
      </c>
      <c r="GF102" s="84"/>
      <c r="GG102" s="111">
        <f ca="1">FS102+FZ102</f>
        <v>0</v>
      </c>
      <c r="GH102" s="85">
        <f>FT102</f>
        <v>0</v>
      </c>
      <c r="GI102" s="111">
        <f ca="1">FU102+GB102</f>
        <v>0</v>
      </c>
      <c r="GJ102" s="112">
        <f t="shared" si="192"/>
        <v>0</v>
      </c>
      <c r="GK102" s="111">
        <f ca="1">FW102+GD102</f>
        <v>0</v>
      </c>
      <c r="GL102" s="112">
        <f t="shared" si="193"/>
        <v>0</v>
      </c>
      <c r="GN102" s="69">
        <f t="shared" si="331"/>
        <v>0</v>
      </c>
      <c r="GO102" s="113" t="e">
        <f ca="1">GO101</f>
        <v>#DIV/0!</v>
      </c>
      <c r="GP102" s="113" t="e">
        <f t="shared" ref="GP102" ca="1" si="394">GP101</f>
        <v>#DIV/0!</v>
      </c>
      <c r="GQ102" s="113" t="e">
        <f t="shared" ref="GQ102" ca="1" si="395">GQ101</f>
        <v>#DIV/0!</v>
      </c>
      <c r="GR102" s="113" t="e">
        <f t="shared" ref="GR102" ca="1" si="396">GR101</f>
        <v>#DIV/0!</v>
      </c>
      <c r="GS102" s="113" t="e">
        <f t="shared" ref="GS102" ca="1" si="397">GS101</f>
        <v>#DIV/0!</v>
      </c>
      <c r="GT102" s="113" t="e">
        <f t="shared" ref="GT102" ca="1" si="398">GT101</f>
        <v>#DIV/0!</v>
      </c>
      <c r="GU102" s="113" t="e">
        <f t="shared" ref="GU102" ca="1" si="399">GU101</f>
        <v>#DIV/0!</v>
      </c>
      <c r="HO102" s="57"/>
      <c r="HP102" s="57"/>
      <c r="HQ102" s="57"/>
      <c r="HR102" s="57"/>
      <c r="HS102" s="57"/>
      <c r="HT102" s="57"/>
      <c r="HU102" s="57"/>
      <c r="HV102" s="57"/>
      <c r="HW102" s="57">
        <f>HW101</f>
        <v>1</v>
      </c>
      <c r="HX102" s="57">
        <f>HX101</f>
        <v>0</v>
      </c>
      <c r="HY102" s="57">
        <f>AG115</f>
        <v>0</v>
      </c>
      <c r="HZ102" s="57">
        <f>AH115</f>
        <v>0</v>
      </c>
      <c r="IA102" s="57"/>
      <c r="IB102" s="57">
        <f>IF(IC109&gt;0,20000,-(HZ102-HX102)/(HY102-HW102))</f>
        <v>0</v>
      </c>
      <c r="IC102" s="84">
        <f>(HY102*IB102)+HZ102</f>
        <v>0</v>
      </c>
      <c r="ID102" s="84">
        <f>IB102-IB109</f>
        <v>0</v>
      </c>
      <c r="IE102" s="84">
        <f>IC102-IC109</f>
        <v>0</v>
      </c>
      <c r="IF102" s="84">
        <f t="shared" si="392"/>
        <v>0</v>
      </c>
      <c r="IG102" s="57" t="e">
        <f ca="1">IF(IF102=MIN(IF101:IF107),1,0)</f>
        <v>#DIV/0!</v>
      </c>
      <c r="IH102" s="84">
        <f t="shared" si="393"/>
        <v>0</v>
      </c>
      <c r="II102" s="57"/>
      <c r="IJ102" s="57"/>
      <c r="IK102" s="57"/>
      <c r="IL102" s="57"/>
      <c r="IM102" s="57"/>
      <c r="IN102" s="57"/>
      <c r="IO102" s="57"/>
      <c r="IP102" s="57"/>
    </row>
    <row r="103" spans="1:255" x14ac:dyDescent="0.3">
      <c r="A103" s="171"/>
      <c r="B103" s="36"/>
      <c r="C103" s="36"/>
      <c r="D103" s="36"/>
      <c r="E103" s="36"/>
      <c r="F103" s="36"/>
      <c r="G103" s="36"/>
      <c r="H103" s="36"/>
      <c r="I103" s="36"/>
      <c r="J103" s="36"/>
      <c r="K103" s="171"/>
      <c r="AF103" s="53"/>
      <c r="AG103" s="53"/>
      <c r="AH103" s="53"/>
      <c r="CR103" s="77">
        <f>CR100+1</f>
        <v>30</v>
      </c>
      <c r="CS103" s="44"/>
      <c r="CT103" s="44"/>
      <c r="CU103" s="48" t="s">
        <v>129</v>
      </c>
      <c r="CV103" s="92">
        <f ca="1">AE70</f>
        <v>4.5648610417658959E-4</v>
      </c>
      <c r="CW103" s="57"/>
      <c r="CX103" s="93">
        <f ca="1">BD45</f>
        <v>0</v>
      </c>
      <c r="CY103" s="94">
        <f ca="1">BF45</f>
        <v>0</v>
      </c>
      <c r="CZ103" s="95">
        <f ca="1">BH45</f>
        <v>0</v>
      </c>
      <c r="DA103" s="57"/>
      <c r="DB103" s="78">
        <f t="array" aca="1" ref="DB103:DB105" ca="1">MMULT(CX103:CZ105,CV103:CV105)</f>
        <v>0</v>
      </c>
      <c r="DC103" s="57"/>
      <c r="DD103" s="96"/>
      <c r="DE103" s="97"/>
      <c r="DF103" s="97"/>
      <c r="DG103" s="97"/>
      <c r="DH103" s="97"/>
      <c r="DI103" s="98"/>
      <c r="DJ103" s="57">
        <f>DJ100+1</f>
        <v>30</v>
      </c>
      <c r="DK103" s="57"/>
      <c r="DL103" s="57"/>
      <c r="DM103" s="87" t="s">
        <v>129</v>
      </c>
      <c r="DN103" s="99">
        <f ca="1">INDEX(DE16:DE115,MATCH(DJ103,A16:A50,0))</f>
        <v>0</v>
      </c>
      <c r="DO103" s="57"/>
      <c r="DP103" s="57"/>
      <c r="DQ103" s="87" t="s">
        <v>130</v>
      </c>
      <c r="DR103" s="99">
        <f ca="1">INDEX(DD16:DD115,MATCH(DJ103,A16:A50,0))</f>
        <v>0</v>
      </c>
      <c r="DS103" s="57"/>
      <c r="DT103" s="93">
        <f ca="1">CX103</f>
        <v>0</v>
      </c>
      <c r="DU103" s="94">
        <f t="shared" ca="1" si="342"/>
        <v>0</v>
      </c>
      <c r="DV103" s="95">
        <f t="shared" ca="1" si="343"/>
        <v>0</v>
      </c>
      <c r="DW103" s="57"/>
      <c r="DX103" s="80">
        <f t="array" aca="1" ref="DX103:DX105" ca="1">MMULT(DT103:DV105,DN103:DN105)</f>
        <v>0</v>
      </c>
      <c r="DY103" s="80"/>
      <c r="DZ103" s="80">
        <f t="array" aca="1" ref="DZ103:DZ105" ca="1">MMULT(DT103:DV105,DR103:DR105)</f>
        <v>0</v>
      </c>
      <c r="FR103" s="82"/>
      <c r="FS103" s="61">
        <v>0</v>
      </c>
      <c r="FT103" s="69">
        <f>FT102</f>
        <v>0</v>
      </c>
      <c r="FU103" s="61">
        <v>0</v>
      </c>
      <c r="FV103" s="69">
        <f t="shared" si="389"/>
        <v>0</v>
      </c>
      <c r="FW103" s="69">
        <v>0</v>
      </c>
      <c r="FX103" s="70">
        <f t="shared" si="390"/>
        <v>0</v>
      </c>
      <c r="FY103" s="82"/>
      <c r="FZ103" s="61">
        <v>0</v>
      </c>
      <c r="GA103" s="69">
        <f>GA102</f>
        <v>0</v>
      </c>
      <c r="GB103" s="61">
        <v>0</v>
      </c>
      <c r="GC103" s="109">
        <f t="shared" si="191"/>
        <v>0</v>
      </c>
      <c r="GD103" s="61">
        <v>0</v>
      </c>
      <c r="GE103" s="110">
        <f t="shared" si="391"/>
        <v>0</v>
      </c>
      <c r="GF103" s="84"/>
      <c r="GG103" s="111">
        <v>0</v>
      </c>
      <c r="GH103" s="85">
        <f>GH102</f>
        <v>0</v>
      </c>
      <c r="GI103" s="112">
        <v>0</v>
      </c>
      <c r="GJ103" s="112">
        <f t="shared" si="192"/>
        <v>0</v>
      </c>
      <c r="GK103" s="112">
        <v>0</v>
      </c>
      <c r="GL103" s="112">
        <f t="shared" si="193"/>
        <v>0</v>
      </c>
      <c r="GN103" s="69">
        <f t="shared" si="331"/>
        <v>0</v>
      </c>
      <c r="GO103" s="113"/>
      <c r="GP103" s="113"/>
      <c r="GQ103" s="113"/>
      <c r="GR103" s="113"/>
      <c r="GS103" s="113"/>
      <c r="GT103" s="113"/>
      <c r="GU103" s="113"/>
      <c r="HO103" s="57"/>
      <c r="HP103" s="57" t="s">
        <v>39</v>
      </c>
      <c r="HQ103" s="57"/>
      <c r="HR103" s="57"/>
      <c r="HS103" s="57"/>
      <c r="HT103" s="58" t="s">
        <v>52</v>
      </c>
      <c r="HU103" s="58" t="s">
        <v>53</v>
      </c>
      <c r="HV103" s="57"/>
      <c r="HW103" s="57">
        <f>HW101</f>
        <v>1</v>
      </c>
      <c r="HX103" s="57">
        <f>HX101</f>
        <v>0</v>
      </c>
      <c r="HY103" s="57">
        <f>AG118</f>
        <v>0</v>
      </c>
      <c r="HZ103" s="57">
        <f>AH118</f>
        <v>0</v>
      </c>
      <c r="IA103" s="57"/>
      <c r="IB103" s="57">
        <f>IF(IC109&gt;0,20000,-(HZ103-HX103)/(HY103-HW103))</f>
        <v>0</v>
      </c>
      <c r="IC103" s="84">
        <f>(HY103*IB103)+HZ103</f>
        <v>0</v>
      </c>
      <c r="ID103" s="84">
        <f>IB103-IB109</f>
        <v>0</v>
      </c>
      <c r="IE103" s="84">
        <f>IC103-IC109</f>
        <v>0</v>
      </c>
      <c r="IF103" s="84">
        <f t="shared" si="392"/>
        <v>0</v>
      </c>
      <c r="IG103" s="57" t="e">
        <f ca="1">IF(IF103=MIN(IF101:IF107),1,0)</f>
        <v>#DIV/0!</v>
      </c>
      <c r="IH103" s="84">
        <f t="shared" si="393"/>
        <v>0</v>
      </c>
      <c r="II103" s="57"/>
      <c r="IJ103" s="57"/>
      <c r="IK103" s="57"/>
      <c r="IL103" s="57"/>
      <c r="IM103" s="57"/>
      <c r="IN103" s="57"/>
      <c r="IO103" s="57"/>
      <c r="IP103" s="57"/>
    </row>
    <row r="104" spans="1:255" x14ac:dyDescent="0.3">
      <c r="A104" s="43"/>
      <c r="B104" s="44"/>
      <c r="C104" s="194"/>
      <c r="D104" s="194"/>
      <c r="E104" s="194"/>
      <c r="F104" s="194"/>
      <c r="G104" s="44"/>
      <c r="H104" s="44"/>
      <c r="I104" s="44"/>
      <c r="J104" s="44"/>
      <c r="K104" s="45"/>
      <c r="AF104" s="131"/>
      <c r="AG104" s="131"/>
      <c r="AH104" s="53"/>
      <c r="CR104" s="77"/>
      <c r="CS104" s="44"/>
      <c r="CT104" s="44"/>
      <c r="CU104" s="48" t="s">
        <v>131</v>
      </c>
      <c r="CV104" s="92">
        <f ca="1">AE71</f>
        <v>4.0799587495451728E-5</v>
      </c>
      <c r="CW104" s="57"/>
      <c r="CX104" s="90">
        <f ca="1">BG45</f>
        <v>0</v>
      </c>
      <c r="CY104" s="83">
        <f ca="1">BE45</f>
        <v>0</v>
      </c>
      <c r="CZ104" s="91">
        <f ca="1">BK45</f>
        <v>0</v>
      </c>
      <c r="DA104" s="57"/>
      <c r="DB104" s="78">
        <f ca="1"/>
        <v>0</v>
      </c>
      <c r="DC104" s="57"/>
      <c r="DD104" s="96"/>
      <c r="DE104" s="97"/>
      <c r="DF104" s="97"/>
      <c r="DG104" s="97"/>
      <c r="DH104" s="97"/>
      <c r="DI104" s="98"/>
      <c r="DJ104" s="57"/>
      <c r="DK104" s="57"/>
      <c r="DL104" s="57"/>
      <c r="DM104" s="87" t="s">
        <v>131</v>
      </c>
      <c r="DN104" s="99">
        <f ca="1">INDEX(DG16:DG115,MATCH(DJ103,A16:A50,0))</f>
        <v>0</v>
      </c>
      <c r="DO104" s="57"/>
      <c r="DP104" s="57"/>
      <c r="DQ104" s="87" t="s">
        <v>132</v>
      </c>
      <c r="DR104" s="99">
        <f ca="1">INDEX(DF16:DF115,MATCH(DJ103,A16:A50,0))</f>
        <v>0</v>
      </c>
      <c r="DS104" s="57"/>
      <c r="DT104" s="90">
        <f t="shared" ref="DT104:DT105" ca="1" si="400">CX104</f>
        <v>0</v>
      </c>
      <c r="DU104" s="83">
        <f t="shared" ca="1" si="342"/>
        <v>0</v>
      </c>
      <c r="DV104" s="91">
        <f t="shared" ca="1" si="343"/>
        <v>0</v>
      </c>
      <c r="DW104" s="57"/>
      <c r="DX104" s="80">
        <f ca="1"/>
        <v>0</v>
      </c>
      <c r="DY104" s="80"/>
      <c r="DZ104" s="80">
        <f ca="1"/>
        <v>0</v>
      </c>
      <c r="FR104" s="82">
        <f>FR100+1</f>
        <v>23</v>
      </c>
      <c r="FS104" s="61">
        <v>0</v>
      </c>
      <c r="FT104" s="69">
        <f>INDEX(AF16:AF115,MATCH(GF104,A16:A115,0))</f>
        <v>0</v>
      </c>
      <c r="FU104" s="61">
        <v>0</v>
      </c>
      <c r="FV104" s="69">
        <f>FT104</f>
        <v>0</v>
      </c>
      <c r="FW104" s="69">
        <v>0</v>
      </c>
      <c r="FX104" s="70">
        <f>FV104</f>
        <v>0</v>
      </c>
      <c r="FY104" s="82">
        <f>FY100+1</f>
        <v>23</v>
      </c>
      <c r="FZ104" s="61">
        <v>0</v>
      </c>
      <c r="GA104" s="69">
        <f>FT104</f>
        <v>0</v>
      </c>
      <c r="GB104" s="108">
        <v>0</v>
      </c>
      <c r="GC104" s="109">
        <f t="shared" ref="GC104:GC155" si="401">GA104</f>
        <v>0</v>
      </c>
      <c r="GD104" s="61">
        <v>0</v>
      </c>
      <c r="GE104" s="110">
        <f>GC104</f>
        <v>0</v>
      </c>
      <c r="GF104" s="84">
        <f>GF100+1</f>
        <v>23</v>
      </c>
      <c r="GG104" s="111">
        <v>0</v>
      </c>
      <c r="GH104" s="85">
        <f>FT104</f>
        <v>0</v>
      </c>
      <c r="GI104" s="112">
        <v>0</v>
      </c>
      <c r="GJ104" s="112">
        <f t="shared" ref="GJ104:GJ155" si="402">GH104</f>
        <v>0</v>
      </c>
      <c r="GK104" s="112">
        <v>0</v>
      </c>
      <c r="GL104" s="112">
        <f t="shared" ref="GL104:GL155" si="403">GH104</f>
        <v>0</v>
      </c>
      <c r="GM104" s="117">
        <f>GM100+1</f>
        <v>23</v>
      </c>
      <c r="GN104" s="69">
        <f t="shared" si="331"/>
        <v>0</v>
      </c>
      <c r="GO104" s="113"/>
      <c r="GP104" s="113"/>
      <c r="GQ104" s="113"/>
      <c r="GR104" s="113"/>
      <c r="GS104" s="113"/>
      <c r="GT104" s="113"/>
      <c r="GU104" s="113"/>
      <c r="HO104" s="57"/>
      <c r="HP104" s="57">
        <f>HP100</f>
        <v>0</v>
      </c>
      <c r="HQ104" s="57">
        <f>HQ100</f>
        <v>0</v>
      </c>
      <c r="HR104" s="57" t="e">
        <f>(HQ104-HQ105)/(HP104-HP105)</f>
        <v>#DIV/0!</v>
      </c>
      <c r="HS104" s="57"/>
      <c r="HT104" s="132">
        <f>IF(ISERROR(HR104)=TRUE,1,HR104)</f>
        <v>1</v>
      </c>
      <c r="HU104" s="132">
        <f>HQ104-HT104*HP104</f>
        <v>0</v>
      </c>
      <c r="HV104" s="57"/>
      <c r="HW104" s="57">
        <f>HW101</f>
        <v>1</v>
      </c>
      <c r="HX104" s="57">
        <f>HX101</f>
        <v>0</v>
      </c>
      <c r="HY104" s="57">
        <v>1</v>
      </c>
      <c r="HZ104" s="57">
        <v>0</v>
      </c>
      <c r="IA104" s="57"/>
      <c r="IB104" s="84">
        <f>IF(IB109&gt;0,20000,AD116)</f>
        <v>0</v>
      </c>
      <c r="IC104" s="84">
        <f>(HW104*IB104)+HX104</f>
        <v>0</v>
      </c>
      <c r="ID104" s="84">
        <f>IB104-IB109</f>
        <v>0</v>
      </c>
      <c r="IE104" s="84">
        <f>IC104-IC109</f>
        <v>0</v>
      </c>
      <c r="IF104" s="84">
        <f t="shared" si="392"/>
        <v>0</v>
      </c>
      <c r="IG104" s="57" t="e">
        <f ca="1">IF(IF104=MIN(IF101:IF107),1,0)</f>
        <v>#DIV/0!</v>
      </c>
      <c r="IH104" s="84">
        <f t="shared" si="393"/>
        <v>0</v>
      </c>
      <c r="II104" s="57"/>
      <c r="IJ104" s="57"/>
      <c r="IK104" s="57"/>
      <c r="IL104" s="57"/>
      <c r="IM104" s="57"/>
      <c r="IN104" s="57"/>
      <c r="IO104" s="57"/>
      <c r="IP104" s="57"/>
    </row>
    <row r="105" spans="1:255" s="53" customFormat="1" x14ac:dyDescent="0.3">
      <c r="A105" s="46"/>
      <c r="B105" s="47"/>
      <c r="C105" s="47"/>
      <c r="D105" s="61"/>
      <c r="E105" s="47"/>
      <c r="F105" s="47"/>
      <c r="G105" s="48"/>
      <c r="H105" s="48"/>
      <c r="I105" s="48"/>
      <c r="J105" s="48"/>
      <c r="K105" s="49"/>
      <c r="L105" s="50"/>
      <c r="M105" s="40"/>
      <c r="N105" s="40"/>
      <c r="O105" s="40"/>
      <c r="P105" s="41"/>
      <c r="Q105" s="41"/>
      <c r="R105" s="41"/>
      <c r="S105" s="41"/>
      <c r="T105" s="40"/>
      <c r="U105" s="50"/>
      <c r="V105" s="50"/>
      <c r="W105" s="50"/>
      <c r="X105" s="50"/>
      <c r="Y105" s="50"/>
      <c r="Z105" s="50"/>
      <c r="AA105" s="50"/>
      <c r="AF105" s="131"/>
      <c r="AG105" s="131"/>
      <c r="CR105" s="77"/>
      <c r="CS105" s="44"/>
      <c r="CT105" s="44"/>
      <c r="CU105" s="48" t="s">
        <v>133</v>
      </c>
      <c r="CV105" s="92">
        <f ca="1">AE72</f>
        <v>-2.771243444540907E-4</v>
      </c>
      <c r="CW105" s="57"/>
      <c r="CX105" s="114">
        <f ca="1">BI45</f>
        <v>0</v>
      </c>
      <c r="CY105" s="115">
        <f ca="1">BJ45</f>
        <v>0</v>
      </c>
      <c r="CZ105" s="116">
        <f ca="1">BL45</f>
        <v>0</v>
      </c>
      <c r="DA105" s="57"/>
      <c r="DB105" s="78">
        <f ca="1"/>
        <v>0</v>
      </c>
      <c r="DC105" s="57"/>
      <c r="DD105" s="96"/>
      <c r="DE105" s="97"/>
      <c r="DF105" s="97"/>
      <c r="DG105" s="97"/>
      <c r="DH105" s="97"/>
      <c r="DI105" s="98"/>
      <c r="DJ105" s="57"/>
      <c r="DK105" s="57"/>
      <c r="DL105" s="57"/>
      <c r="DM105" s="87" t="s">
        <v>133</v>
      </c>
      <c r="DN105" s="99">
        <f ca="1">INDEX(DI16:DI115,MATCH(DJ103,A16:A50,0))</f>
        <v>0</v>
      </c>
      <c r="DO105" s="57"/>
      <c r="DP105" s="57"/>
      <c r="DQ105" s="87" t="s">
        <v>134</v>
      </c>
      <c r="DR105" s="99">
        <f ca="1">INDEX(DH16:DH115,MATCH(DJ103,A16:A50,0))</f>
        <v>0</v>
      </c>
      <c r="DS105" s="57"/>
      <c r="DT105" s="114">
        <f t="shared" ca="1" si="400"/>
        <v>0</v>
      </c>
      <c r="DU105" s="115">
        <f t="shared" ca="1" si="342"/>
        <v>0</v>
      </c>
      <c r="DV105" s="116">
        <f t="shared" ca="1" si="343"/>
        <v>0</v>
      </c>
      <c r="DW105" s="57"/>
      <c r="DX105" s="80">
        <f ca="1"/>
        <v>0</v>
      </c>
      <c r="DY105" s="80"/>
      <c r="DZ105" s="80">
        <f ca="1"/>
        <v>0</v>
      </c>
      <c r="EA105" s="39"/>
      <c r="EB105" s="39"/>
      <c r="EC105" s="39"/>
      <c r="ED105" s="39"/>
      <c r="EE105" s="39"/>
      <c r="EF105" s="39"/>
      <c r="EG105" s="39"/>
      <c r="EH105" s="39"/>
      <c r="EI105" s="39"/>
      <c r="EJ105" s="39"/>
      <c r="EK105" s="39"/>
      <c r="EL105" s="39"/>
      <c r="EM105" s="39"/>
      <c r="EN105" s="39"/>
      <c r="EO105" s="39"/>
      <c r="EP105" s="39"/>
      <c r="EQ105" s="39"/>
      <c r="ER105" s="39"/>
      <c r="ES105" s="39"/>
      <c r="ET105" s="39"/>
      <c r="EU105" s="39"/>
      <c r="EV105" s="39"/>
      <c r="EW105" s="39"/>
      <c r="EX105" s="39"/>
      <c r="EY105" s="39"/>
      <c r="EZ105" s="39"/>
      <c r="FA105" s="39"/>
      <c r="FB105" s="39"/>
      <c r="FC105" s="39"/>
      <c r="FD105" s="39"/>
      <c r="FE105" s="39"/>
      <c r="FF105" s="39"/>
      <c r="FG105" s="39"/>
      <c r="FH105" s="39"/>
      <c r="FI105" s="39"/>
      <c r="FJ105" s="39"/>
      <c r="FK105" s="39"/>
      <c r="FL105" s="39"/>
      <c r="FM105" s="39"/>
      <c r="FN105" s="39"/>
      <c r="FO105" s="39"/>
      <c r="FP105" s="39"/>
      <c r="FQ105" s="39"/>
      <c r="FR105" s="82"/>
      <c r="FS105" s="69">
        <f ca="1">INDEX(EB16:EB115,MATCH(GF104,A16:A115,0))</f>
        <v>0</v>
      </c>
      <c r="FT105" s="69">
        <f>FT104</f>
        <v>0</v>
      </c>
      <c r="FU105" s="69">
        <f ca="1">INDEX(EC16:EC115,MATCH(GF104,A16:A115,0))</f>
        <v>0</v>
      </c>
      <c r="FV105" s="69">
        <f t="shared" ref="FV105:FV107" si="404">FT105</f>
        <v>0</v>
      </c>
      <c r="FW105" s="69">
        <f ca="1">INDEX(ED16:ED115,MATCH(GF104,A16:A115,0))</f>
        <v>0</v>
      </c>
      <c r="FX105" s="70">
        <f t="shared" ref="FX105:FX107" si="405">FV105</f>
        <v>0</v>
      </c>
      <c r="FY105" s="82"/>
      <c r="FZ105" s="101">
        <f ca="1">INDEX(EE16:EE115,MATCH(GF104,A16:A115,0))</f>
        <v>0</v>
      </c>
      <c r="GA105" s="69">
        <f>GA104</f>
        <v>0</v>
      </c>
      <c r="GB105" s="61">
        <f ca="1">INDEX(EG16:EG115,MATCH(GF104,A16:A115,0))</f>
        <v>0</v>
      </c>
      <c r="GC105" s="109">
        <f t="shared" si="401"/>
        <v>0</v>
      </c>
      <c r="GD105" s="69">
        <f ca="1">INDEX(EI16:EI115,MATCH(GF104,A16:A115,0))</f>
        <v>0</v>
      </c>
      <c r="GE105" s="110">
        <f t="shared" ref="GE105:GE107" si="406">GC105</f>
        <v>0</v>
      </c>
      <c r="GF105" s="84"/>
      <c r="GG105" s="111">
        <f ca="1">FS105+FZ105</f>
        <v>0</v>
      </c>
      <c r="GH105" s="85">
        <f>GH104</f>
        <v>0</v>
      </c>
      <c r="GI105" s="111">
        <f ca="1">FU105+GB105</f>
        <v>0</v>
      </c>
      <c r="GJ105" s="112">
        <f t="shared" si="402"/>
        <v>0</v>
      </c>
      <c r="GK105" s="111">
        <f ca="1">FW105+GD105</f>
        <v>0</v>
      </c>
      <c r="GL105" s="112">
        <f t="shared" si="403"/>
        <v>0</v>
      </c>
      <c r="GM105" s="39"/>
      <c r="GN105" s="69">
        <f t="shared" si="331"/>
        <v>0</v>
      </c>
      <c r="GO105" s="113" t="e">
        <f ca="1">INDEX(FJ16:FJ115,MATCH(GM104,A16:A115,0))</f>
        <v>#DIV/0!</v>
      </c>
      <c r="GP105" s="113" t="e">
        <f ca="1">INDEX(FK16:FK115,MATCH(GM104,A16:A115,0))</f>
        <v>#DIV/0!</v>
      </c>
      <c r="GQ105" s="113" t="e">
        <f ca="1">INDEX(FL16:FL115,MATCH(GM104,A16:A115,0))</f>
        <v>#DIV/0!</v>
      </c>
      <c r="GR105" s="113" t="e">
        <f ca="1">INDEX(FM16:FM115,MATCH(GM104,A16:A115,0))</f>
        <v>#DIV/0!</v>
      </c>
      <c r="GS105" s="113" t="e">
        <f ca="1">INDEX(FN16:FN115,MATCH(GM104,A16:A115,0))</f>
        <v>#DIV/0!</v>
      </c>
      <c r="GT105" s="113" t="e">
        <f ca="1">INDEX(FO16:FO115,MATCH(GM104,A16:A115,0))</f>
        <v>#DIV/0!</v>
      </c>
      <c r="GU105" s="113" t="e">
        <f ca="1">INDEX(FP16:FP115,MATCH(GM104,A16:A115,0))</f>
        <v>#DIV/0!</v>
      </c>
      <c r="GV105" s="39"/>
      <c r="GW105" s="39"/>
      <c r="GX105" s="39"/>
      <c r="GY105" s="39"/>
      <c r="GZ105" s="39"/>
      <c r="HA105" s="39"/>
      <c r="HB105" s="39"/>
      <c r="HC105" s="39"/>
      <c r="HD105" s="39"/>
      <c r="HE105" s="39"/>
      <c r="HF105" s="39"/>
      <c r="HG105" s="39"/>
      <c r="HH105" s="39"/>
      <c r="HI105" s="39"/>
      <c r="HJ105" s="39"/>
      <c r="HK105" s="39"/>
      <c r="HL105" s="39"/>
      <c r="HM105" s="39"/>
      <c r="HN105" s="39"/>
      <c r="HO105" s="57"/>
      <c r="HP105" s="88">
        <f>IA15</f>
        <v>0</v>
      </c>
      <c r="HQ105" s="88">
        <f>IB15</f>
        <v>0</v>
      </c>
      <c r="HR105" s="57"/>
      <c r="HS105" s="57"/>
      <c r="HT105" s="133"/>
      <c r="HU105" s="133"/>
      <c r="HV105" s="57"/>
      <c r="HW105" s="57">
        <f>HW101</f>
        <v>1</v>
      </c>
      <c r="HX105" s="57">
        <f>HX101</f>
        <v>0</v>
      </c>
      <c r="HY105" s="57">
        <f>AG141</f>
        <v>0</v>
      </c>
      <c r="HZ105" s="57">
        <f>AH141</f>
        <v>0</v>
      </c>
      <c r="IA105" s="57"/>
      <c r="IB105" s="84">
        <f>IF(IB109&gt;0,20000,IF(IC109&lt;0,20000,-(HZ105-HX105)/(HY105-HW105)))</f>
        <v>0</v>
      </c>
      <c r="IC105" s="84">
        <f>(HY105*IB105)+HZ105</f>
        <v>0</v>
      </c>
      <c r="ID105" s="84">
        <f>IB105-IB109</f>
        <v>0</v>
      </c>
      <c r="IE105" s="84">
        <f>IC105-IC109</f>
        <v>0</v>
      </c>
      <c r="IF105" s="84">
        <f t="shared" si="392"/>
        <v>0</v>
      </c>
      <c r="IG105" s="57" t="e">
        <f ca="1">IF(IF105=MIN(IF101:IF107),1,0)</f>
        <v>#DIV/0!</v>
      </c>
      <c r="IH105" s="84">
        <f t="shared" si="393"/>
        <v>0</v>
      </c>
      <c r="II105" s="57"/>
      <c r="IJ105" s="57"/>
      <c r="IK105" s="57"/>
      <c r="IL105" s="57"/>
      <c r="IM105" s="57"/>
      <c r="IN105" s="57"/>
      <c r="IO105" s="57"/>
      <c r="IP105" s="57"/>
      <c r="IQ105" s="39"/>
      <c r="IR105" s="39"/>
      <c r="IS105" s="39"/>
      <c r="IT105" s="39"/>
      <c r="IU105" s="39"/>
    </row>
    <row r="106" spans="1:255" x14ac:dyDescent="0.3">
      <c r="A106" s="54"/>
      <c r="B106" s="44"/>
      <c r="C106" s="378"/>
      <c r="D106" s="378"/>
      <c r="E106" s="378"/>
      <c r="F106" s="378"/>
      <c r="G106" s="55"/>
      <c r="H106" s="55"/>
      <c r="I106" s="55"/>
      <c r="J106" s="55"/>
      <c r="K106" s="49"/>
      <c r="AF106" s="131"/>
      <c r="AG106" s="131"/>
      <c r="AH106" s="53"/>
      <c r="CR106" s="77">
        <f>CR103+1</f>
        <v>31</v>
      </c>
      <c r="CS106" s="44"/>
      <c r="CT106" s="44"/>
      <c r="CU106" s="48" t="s">
        <v>129</v>
      </c>
      <c r="CV106" s="92">
        <f ca="1">AE70</f>
        <v>4.5648610417658959E-4</v>
      </c>
      <c r="CW106" s="57"/>
      <c r="CX106" s="93">
        <f ca="1">BD46</f>
        <v>0</v>
      </c>
      <c r="CY106" s="94">
        <f ca="1">BF46</f>
        <v>0</v>
      </c>
      <c r="CZ106" s="95">
        <f ca="1">BH46</f>
        <v>0</v>
      </c>
      <c r="DA106" s="57"/>
      <c r="DB106" s="78">
        <f t="array" aca="1" ref="DB106:DB108" ca="1">MMULT(CX106:CZ108,CV106:CV108)</f>
        <v>0</v>
      </c>
      <c r="DC106" s="57"/>
      <c r="DD106" s="96"/>
      <c r="DE106" s="97"/>
      <c r="DF106" s="97"/>
      <c r="DG106" s="97"/>
      <c r="DH106" s="97"/>
      <c r="DI106" s="98"/>
      <c r="DJ106" s="57">
        <f>DJ103+1</f>
        <v>31</v>
      </c>
      <c r="DK106" s="57"/>
      <c r="DL106" s="57"/>
      <c r="DM106" s="87" t="s">
        <v>129</v>
      </c>
      <c r="DN106" s="99">
        <f ca="1">INDEX(DE16:DE115,MATCH(DJ106,A16:A50,0))</f>
        <v>0</v>
      </c>
      <c r="DO106" s="57"/>
      <c r="DP106" s="57"/>
      <c r="DQ106" s="87" t="s">
        <v>130</v>
      </c>
      <c r="DR106" s="99">
        <f ca="1">INDEX(DD16:DD115,MATCH(DJ106,A16:A50,0))</f>
        <v>0</v>
      </c>
      <c r="DS106" s="57"/>
      <c r="DT106" s="93">
        <f ca="1">CX106</f>
        <v>0</v>
      </c>
      <c r="DU106" s="94">
        <f t="shared" ca="1" si="342"/>
        <v>0</v>
      </c>
      <c r="DV106" s="95">
        <f t="shared" ca="1" si="343"/>
        <v>0</v>
      </c>
      <c r="DW106" s="57"/>
      <c r="DX106" s="80">
        <f t="array" aca="1" ref="DX106:DX108" ca="1">MMULT(DT106:DV108,DN106:DN108)</f>
        <v>0</v>
      </c>
      <c r="DY106" s="80"/>
      <c r="DZ106" s="80">
        <f t="array" aca="1" ref="DZ106:DZ108" ca="1">MMULT(DT106:DV108,DR106:DR108)</f>
        <v>0</v>
      </c>
      <c r="EA106" s="53"/>
      <c r="EB106" s="53"/>
      <c r="EC106" s="53"/>
      <c r="ED106" s="53"/>
      <c r="EE106" s="53"/>
      <c r="EF106" s="53"/>
      <c r="EG106" s="53"/>
      <c r="EH106" s="53"/>
      <c r="EI106" s="53"/>
      <c r="EJ106" s="53"/>
      <c r="EK106" s="53"/>
      <c r="EL106" s="53"/>
      <c r="EM106" s="53"/>
      <c r="EN106" s="53"/>
      <c r="EO106" s="53"/>
      <c r="EP106" s="53"/>
      <c r="EQ106" s="53"/>
      <c r="ER106" s="53"/>
      <c r="ES106" s="53"/>
      <c r="ET106" s="53"/>
      <c r="EU106" s="53"/>
      <c r="EV106" s="53"/>
      <c r="EW106" s="53"/>
      <c r="EX106" s="53"/>
      <c r="EY106" s="53"/>
      <c r="EZ106" s="53"/>
      <c r="FA106" s="53"/>
      <c r="FB106" s="53"/>
      <c r="FC106" s="53"/>
      <c r="FD106" s="53"/>
      <c r="FE106" s="53"/>
      <c r="FF106" s="53"/>
      <c r="FG106" s="53"/>
      <c r="FH106" s="53"/>
      <c r="FI106" s="53"/>
      <c r="FJ106" s="53"/>
      <c r="FK106" s="53"/>
      <c r="FL106" s="53"/>
      <c r="FM106" s="53"/>
      <c r="FN106" s="53"/>
      <c r="FO106" s="53"/>
      <c r="FP106" s="53"/>
      <c r="FQ106" s="53"/>
      <c r="FR106" s="82"/>
      <c r="FS106" s="69">
        <f ca="1">FS105</f>
        <v>0</v>
      </c>
      <c r="FT106" s="69">
        <f>INDEX(AE16:AE115,MATCH(GF104,A16:A115,0))</f>
        <v>0</v>
      </c>
      <c r="FU106" s="69">
        <f ca="1">FU105</f>
        <v>0</v>
      </c>
      <c r="FV106" s="69">
        <f t="shared" si="404"/>
        <v>0</v>
      </c>
      <c r="FW106" s="69">
        <f ca="1">FW105</f>
        <v>0</v>
      </c>
      <c r="FX106" s="70">
        <f t="shared" si="405"/>
        <v>0</v>
      </c>
      <c r="FY106" s="82"/>
      <c r="FZ106" s="101">
        <f ca="1">INDEX(EF16:EF115,MATCH(GF104,A16:A115,0))</f>
        <v>0</v>
      </c>
      <c r="GA106" s="69">
        <f>FT106</f>
        <v>0</v>
      </c>
      <c r="GB106" s="61">
        <f ca="1">INDEX(EH16:EH115,MATCH(GF104,A16:A115,0))</f>
        <v>0</v>
      </c>
      <c r="GC106" s="109">
        <f t="shared" si="401"/>
        <v>0</v>
      </c>
      <c r="GD106" s="69">
        <f ca="1">INDEX(EJ16:EJ115,MATCH(GF104,A16:A115,0))</f>
        <v>0</v>
      </c>
      <c r="GE106" s="110">
        <f t="shared" si="406"/>
        <v>0</v>
      </c>
      <c r="GF106" s="84"/>
      <c r="GG106" s="111">
        <f ca="1">FS106+FZ106</f>
        <v>0</v>
      </c>
      <c r="GH106" s="85">
        <f>FT106</f>
        <v>0</v>
      </c>
      <c r="GI106" s="111">
        <f ca="1">FU106+GB106</f>
        <v>0</v>
      </c>
      <c r="GJ106" s="112">
        <f t="shared" si="402"/>
        <v>0</v>
      </c>
      <c r="GK106" s="111">
        <f ca="1">FW106+GD106</f>
        <v>0</v>
      </c>
      <c r="GL106" s="112">
        <f t="shared" si="403"/>
        <v>0</v>
      </c>
      <c r="GN106" s="69">
        <f t="shared" si="331"/>
        <v>0</v>
      </c>
      <c r="GO106" s="113" t="e">
        <f ca="1">GO105</f>
        <v>#DIV/0!</v>
      </c>
      <c r="GP106" s="113" t="e">
        <f t="shared" ref="GP106" ca="1" si="407">GP105</f>
        <v>#DIV/0!</v>
      </c>
      <c r="GQ106" s="113" t="e">
        <f t="shared" ref="GQ106" ca="1" si="408">GQ105</f>
        <v>#DIV/0!</v>
      </c>
      <c r="GR106" s="113" t="e">
        <f t="shared" ref="GR106" ca="1" si="409">GR105</f>
        <v>#DIV/0!</v>
      </c>
      <c r="GS106" s="113" t="e">
        <f t="shared" ref="GS106" ca="1" si="410">GS105</f>
        <v>#DIV/0!</v>
      </c>
      <c r="GT106" s="113" t="e">
        <f t="shared" ref="GT106" ca="1" si="411">GT105</f>
        <v>#DIV/0!</v>
      </c>
      <c r="GU106" s="113" t="e">
        <f t="shared" ref="GU106" ca="1" si="412">GU105</f>
        <v>#DIV/0!</v>
      </c>
      <c r="GV106" s="53"/>
      <c r="GW106" s="53"/>
      <c r="GX106" s="53"/>
      <c r="GY106" s="53"/>
      <c r="GZ106" s="53"/>
      <c r="HA106" s="53"/>
      <c r="HB106" s="53"/>
      <c r="HC106" s="53"/>
      <c r="HD106" s="53"/>
      <c r="HE106" s="53"/>
      <c r="HF106" s="53"/>
      <c r="HG106" s="53"/>
      <c r="HH106" s="53"/>
      <c r="HI106" s="53"/>
      <c r="HJ106" s="53"/>
      <c r="HK106" s="53"/>
      <c r="HL106" s="53"/>
      <c r="HM106" s="53"/>
      <c r="HN106" s="53"/>
      <c r="HO106" s="57"/>
      <c r="HP106" s="57"/>
      <c r="HQ106" s="57"/>
      <c r="HR106" s="57"/>
      <c r="HS106" s="57"/>
      <c r="HT106" s="57"/>
      <c r="HU106" s="57"/>
      <c r="HV106" s="57"/>
      <c r="HW106" s="57">
        <f>HW101</f>
        <v>1</v>
      </c>
      <c r="HX106" s="57">
        <f>HX101</f>
        <v>0</v>
      </c>
      <c r="HY106" s="57">
        <f>AG144</f>
        <v>0</v>
      </c>
      <c r="HZ106" s="57">
        <f>AH144</f>
        <v>0</v>
      </c>
      <c r="IA106" s="57"/>
      <c r="IB106" s="57">
        <f>-(HZ106-HX106)/(HY106-HW106)</f>
        <v>0</v>
      </c>
      <c r="IC106" s="84">
        <f>(HY106*IB106)+HZ106</f>
        <v>0</v>
      </c>
      <c r="ID106" s="84">
        <f>IB106-IB109</f>
        <v>0</v>
      </c>
      <c r="IE106" s="84">
        <f>IC106-IC109</f>
        <v>0</v>
      </c>
      <c r="IF106" s="84">
        <f t="shared" si="392"/>
        <v>0</v>
      </c>
      <c r="IG106" s="57" t="e">
        <f ca="1">IF(IF106=MIN(IF101:IF107),1,0)</f>
        <v>#DIV/0!</v>
      </c>
      <c r="IH106" s="84">
        <f t="shared" si="393"/>
        <v>0</v>
      </c>
      <c r="II106" s="53"/>
      <c r="IJ106" s="53"/>
      <c r="IK106" s="53"/>
      <c r="IL106" s="53"/>
      <c r="IM106" s="53"/>
      <c r="IN106" s="53"/>
      <c r="IO106" s="57"/>
      <c r="IP106" s="57"/>
      <c r="IQ106" s="53"/>
      <c r="IR106" s="53"/>
      <c r="IS106" s="53"/>
      <c r="IT106" s="53"/>
      <c r="IU106" s="53"/>
    </row>
    <row r="107" spans="1:255" x14ac:dyDescent="0.3">
      <c r="A107" s="139"/>
      <c r="B107" s="139"/>
      <c r="C107" s="139"/>
      <c r="D107" s="139"/>
      <c r="E107" s="139"/>
      <c r="F107" s="139"/>
      <c r="G107" s="139"/>
      <c r="H107" s="139"/>
      <c r="I107" s="139"/>
      <c r="J107" s="139"/>
      <c r="K107" s="139"/>
      <c r="AF107" s="131"/>
      <c r="AG107" s="131"/>
      <c r="AH107" s="53"/>
      <c r="CR107" s="77"/>
      <c r="CS107" s="44"/>
      <c r="CT107" s="44"/>
      <c r="CU107" s="48" t="s">
        <v>131</v>
      </c>
      <c r="CV107" s="92">
        <f ca="1">AE71</f>
        <v>4.0799587495451728E-5</v>
      </c>
      <c r="CW107" s="57"/>
      <c r="CX107" s="90">
        <f ca="1">BG46</f>
        <v>0</v>
      </c>
      <c r="CY107" s="83">
        <f ca="1">BE46</f>
        <v>0</v>
      </c>
      <c r="CZ107" s="91">
        <f ca="1">BK46</f>
        <v>0</v>
      </c>
      <c r="DA107" s="57"/>
      <c r="DB107" s="78">
        <f ca="1"/>
        <v>0</v>
      </c>
      <c r="DC107" s="57"/>
      <c r="DD107" s="96"/>
      <c r="DE107" s="97"/>
      <c r="DF107" s="97"/>
      <c r="DG107" s="97"/>
      <c r="DH107" s="97"/>
      <c r="DI107" s="98"/>
      <c r="DJ107" s="57"/>
      <c r="DK107" s="57"/>
      <c r="DL107" s="57"/>
      <c r="DM107" s="87" t="s">
        <v>131</v>
      </c>
      <c r="DN107" s="99">
        <f ca="1">INDEX(DG16:DG115,MATCH(DJ106,A16:A50,0))</f>
        <v>0</v>
      </c>
      <c r="DO107" s="57"/>
      <c r="DP107" s="57"/>
      <c r="DQ107" s="87" t="s">
        <v>132</v>
      </c>
      <c r="DR107" s="99">
        <f ca="1">INDEX(DF16:DF115,MATCH(DJ106,A16:A50,0))</f>
        <v>0</v>
      </c>
      <c r="DS107" s="57"/>
      <c r="DT107" s="90">
        <f t="shared" ref="DT107:DT108" ca="1" si="413">CX107</f>
        <v>0</v>
      </c>
      <c r="DU107" s="83">
        <f t="shared" ca="1" si="342"/>
        <v>0</v>
      </c>
      <c r="DV107" s="91">
        <f t="shared" ca="1" si="343"/>
        <v>0</v>
      </c>
      <c r="DW107" s="57"/>
      <c r="DX107" s="80">
        <f ca="1"/>
        <v>0</v>
      </c>
      <c r="DY107" s="80"/>
      <c r="DZ107" s="80">
        <f ca="1"/>
        <v>0</v>
      </c>
      <c r="FR107" s="82"/>
      <c r="FS107" s="61">
        <v>0</v>
      </c>
      <c r="FT107" s="69">
        <f>FT106</f>
        <v>0</v>
      </c>
      <c r="FU107" s="61">
        <v>0</v>
      </c>
      <c r="FV107" s="69">
        <f t="shared" si="404"/>
        <v>0</v>
      </c>
      <c r="FW107" s="69">
        <v>0</v>
      </c>
      <c r="FX107" s="70">
        <f t="shared" si="405"/>
        <v>0</v>
      </c>
      <c r="FY107" s="82"/>
      <c r="FZ107" s="61">
        <v>0</v>
      </c>
      <c r="GA107" s="69">
        <f>GA106</f>
        <v>0</v>
      </c>
      <c r="GB107" s="61">
        <v>0</v>
      </c>
      <c r="GC107" s="109">
        <f t="shared" si="401"/>
        <v>0</v>
      </c>
      <c r="GD107" s="61">
        <v>0</v>
      </c>
      <c r="GE107" s="110">
        <f t="shared" si="406"/>
        <v>0</v>
      </c>
      <c r="GF107" s="84"/>
      <c r="GG107" s="111">
        <v>0</v>
      </c>
      <c r="GH107" s="85">
        <f>GH106</f>
        <v>0</v>
      </c>
      <c r="GI107" s="112">
        <v>0</v>
      </c>
      <c r="GJ107" s="112">
        <f t="shared" si="402"/>
        <v>0</v>
      </c>
      <c r="GK107" s="112">
        <v>0</v>
      </c>
      <c r="GL107" s="112">
        <f t="shared" si="403"/>
        <v>0</v>
      </c>
      <c r="GN107" s="69">
        <f t="shared" si="331"/>
        <v>0</v>
      </c>
      <c r="GO107" s="113"/>
      <c r="GP107" s="113"/>
      <c r="GQ107" s="113"/>
      <c r="GR107" s="113"/>
      <c r="GS107" s="113"/>
      <c r="GT107" s="113"/>
      <c r="GU107" s="113"/>
      <c r="HO107" s="57"/>
      <c r="HP107" s="57"/>
      <c r="HQ107" s="57"/>
      <c r="HR107" s="57"/>
      <c r="HS107" s="57"/>
      <c r="HT107" s="57"/>
      <c r="HU107" s="57"/>
      <c r="HV107" s="57"/>
      <c r="HW107" s="57"/>
      <c r="HX107" s="57"/>
      <c r="HY107" s="57"/>
      <c r="HZ107" s="57"/>
      <c r="IA107" s="57"/>
      <c r="IB107" s="57" t="e">
        <f ca="1">IF(OR(IB109&gt;0,IC109&gt;0)=TRUE,20000,(-ABS(SIN(RADIANS(HZ109))*HX109)))</f>
        <v>#DIV/0!</v>
      </c>
      <c r="IC107" s="84" t="e">
        <f ca="1">-ABS(COS(RADIANS(HZ109))*HX109)</f>
        <v>#DIV/0!</v>
      </c>
      <c r="ID107" s="84" t="e">
        <f ca="1">IB107-IB109</f>
        <v>#DIV/0!</v>
      </c>
      <c r="IE107" s="84">
        <f>IF(OR(IB109,IC109)&gt;0,20000,IC107-IC109)</f>
        <v>20000</v>
      </c>
      <c r="IF107" s="84" t="e">
        <f t="shared" ca="1" si="392"/>
        <v>#DIV/0!</v>
      </c>
      <c r="IG107" s="57" t="e">
        <f ca="1">IF(IF107=MIN(IF101:IF107),1,0)</f>
        <v>#DIV/0!</v>
      </c>
      <c r="IH107" s="84" t="e">
        <f t="shared" ca="1" si="393"/>
        <v>#DIV/0!</v>
      </c>
      <c r="IO107" s="57"/>
      <c r="IP107" s="57"/>
    </row>
    <row r="108" spans="1:255" x14ac:dyDescent="0.3">
      <c r="I108" s="169"/>
      <c r="J108" s="169"/>
      <c r="K108" s="169"/>
      <c r="AF108" s="131"/>
      <c r="AG108" s="131"/>
      <c r="AH108" s="53"/>
      <c r="CR108" s="77"/>
      <c r="CS108" s="44"/>
      <c r="CT108" s="44"/>
      <c r="CU108" s="48" t="s">
        <v>133</v>
      </c>
      <c r="CV108" s="92">
        <f ca="1">AE72</f>
        <v>-2.771243444540907E-4</v>
      </c>
      <c r="CW108" s="57"/>
      <c r="CX108" s="114">
        <f ca="1">BI46</f>
        <v>0</v>
      </c>
      <c r="CY108" s="115">
        <f ca="1">BJ46</f>
        <v>0</v>
      </c>
      <c r="CZ108" s="116">
        <f ca="1">BL46</f>
        <v>0</v>
      </c>
      <c r="DA108" s="57"/>
      <c r="DB108" s="78">
        <f ca="1"/>
        <v>0</v>
      </c>
      <c r="DC108" s="57"/>
      <c r="DD108" s="96"/>
      <c r="DE108" s="97"/>
      <c r="DF108" s="97"/>
      <c r="DG108" s="97"/>
      <c r="DH108" s="97"/>
      <c r="DI108" s="98"/>
      <c r="DJ108" s="57"/>
      <c r="DK108" s="57"/>
      <c r="DL108" s="57"/>
      <c r="DM108" s="87" t="s">
        <v>133</v>
      </c>
      <c r="DN108" s="99">
        <f ca="1">INDEX(DI16:DI115,MATCH(DJ106,A16:A50,0))</f>
        <v>0</v>
      </c>
      <c r="DO108" s="57"/>
      <c r="DP108" s="57"/>
      <c r="DQ108" s="87" t="s">
        <v>134</v>
      </c>
      <c r="DR108" s="99">
        <f ca="1">INDEX(DH16:DH115,MATCH(DJ106,A16:A50,0))</f>
        <v>0</v>
      </c>
      <c r="DS108" s="57"/>
      <c r="DT108" s="114">
        <f t="shared" ca="1" si="413"/>
        <v>0</v>
      </c>
      <c r="DU108" s="115">
        <f t="shared" ca="1" si="342"/>
        <v>0</v>
      </c>
      <c r="DV108" s="116">
        <f t="shared" ca="1" si="343"/>
        <v>0</v>
      </c>
      <c r="DW108" s="57"/>
      <c r="DX108" s="80">
        <f ca="1"/>
        <v>0</v>
      </c>
      <c r="DY108" s="80"/>
      <c r="DZ108" s="80">
        <f ca="1"/>
        <v>0</v>
      </c>
      <c r="FR108" s="82">
        <f>FR104+1</f>
        <v>24</v>
      </c>
      <c r="FS108" s="61">
        <v>0</v>
      </c>
      <c r="FT108" s="69">
        <f>INDEX(AF16:AF115,MATCH(GF108,A16:A115,0))</f>
        <v>0</v>
      </c>
      <c r="FU108" s="61">
        <v>0</v>
      </c>
      <c r="FV108" s="69">
        <f>FT108</f>
        <v>0</v>
      </c>
      <c r="FW108" s="69">
        <v>0</v>
      </c>
      <c r="FX108" s="70">
        <f>FV108</f>
        <v>0</v>
      </c>
      <c r="FY108" s="82">
        <f>FY104+1</f>
        <v>24</v>
      </c>
      <c r="FZ108" s="61">
        <v>0</v>
      </c>
      <c r="GA108" s="69">
        <f>FT108</f>
        <v>0</v>
      </c>
      <c r="GB108" s="108">
        <v>0</v>
      </c>
      <c r="GC108" s="109">
        <f t="shared" si="401"/>
        <v>0</v>
      </c>
      <c r="GD108" s="61">
        <v>0</v>
      </c>
      <c r="GE108" s="110">
        <f>GC108</f>
        <v>0</v>
      </c>
      <c r="GF108" s="84">
        <f>GF104+1</f>
        <v>24</v>
      </c>
      <c r="GG108" s="111">
        <v>0</v>
      </c>
      <c r="GH108" s="85">
        <f>FT108</f>
        <v>0</v>
      </c>
      <c r="GI108" s="112">
        <v>0</v>
      </c>
      <c r="GJ108" s="112">
        <f t="shared" si="402"/>
        <v>0</v>
      </c>
      <c r="GK108" s="112">
        <v>0</v>
      </c>
      <c r="GL108" s="112">
        <f t="shared" si="403"/>
        <v>0</v>
      </c>
      <c r="GM108" s="117">
        <f>GM104+1</f>
        <v>24</v>
      </c>
      <c r="GN108" s="69">
        <f t="shared" si="331"/>
        <v>0</v>
      </c>
      <c r="GO108" s="113"/>
      <c r="GP108" s="113"/>
      <c r="GQ108" s="113"/>
      <c r="GR108" s="113"/>
      <c r="GS108" s="113"/>
      <c r="GT108" s="113"/>
      <c r="GU108" s="113"/>
      <c r="HO108" s="57"/>
      <c r="HP108" s="57"/>
      <c r="HQ108" s="57"/>
      <c r="HR108" s="57"/>
      <c r="HS108" s="57"/>
      <c r="HT108" s="57"/>
      <c r="HU108" s="57"/>
      <c r="HV108" s="57"/>
      <c r="HW108" s="57" t="s">
        <v>56</v>
      </c>
      <c r="HX108" s="57"/>
      <c r="HY108" s="57"/>
      <c r="HZ108" s="57"/>
      <c r="IA108" s="57"/>
      <c r="IB108" s="57"/>
      <c r="IC108" s="57"/>
      <c r="ID108" s="57"/>
      <c r="IE108" s="57"/>
      <c r="IF108" s="84"/>
      <c r="IG108" s="57"/>
      <c r="IH108" s="57"/>
      <c r="IO108" s="57"/>
      <c r="IP108" s="57"/>
    </row>
    <row r="109" spans="1:255" x14ac:dyDescent="0.3">
      <c r="I109" s="169"/>
      <c r="J109" s="169"/>
      <c r="K109" s="169"/>
      <c r="AC109" s="134"/>
      <c r="AF109" s="131"/>
      <c r="AG109" s="131"/>
      <c r="AH109" s="53"/>
      <c r="CR109" s="77">
        <f>CR106+1</f>
        <v>32</v>
      </c>
      <c r="CS109" s="44"/>
      <c r="CT109" s="44"/>
      <c r="CU109" s="48" t="s">
        <v>129</v>
      </c>
      <c r="CV109" s="92">
        <f ca="1">AE70</f>
        <v>4.5648610417658959E-4</v>
      </c>
      <c r="CW109" s="57"/>
      <c r="CX109" s="93">
        <f ca="1">BD47</f>
        <v>0</v>
      </c>
      <c r="CY109" s="94">
        <f ca="1">BF47</f>
        <v>0</v>
      </c>
      <c r="CZ109" s="95">
        <f ca="1">BH47</f>
        <v>0</v>
      </c>
      <c r="DA109" s="57"/>
      <c r="DB109" s="78">
        <f t="array" aca="1" ref="DB109:DB111" ca="1">MMULT(CX109:CZ111,CV109:CV111)</f>
        <v>0</v>
      </c>
      <c r="DC109" s="57"/>
      <c r="DD109" s="96"/>
      <c r="DE109" s="97"/>
      <c r="DF109" s="97"/>
      <c r="DG109" s="97"/>
      <c r="DH109" s="97"/>
      <c r="DI109" s="98"/>
      <c r="DJ109" s="57">
        <f>DJ106+1</f>
        <v>32</v>
      </c>
      <c r="DK109" s="57"/>
      <c r="DL109" s="57"/>
      <c r="DM109" s="87" t="s">
        <v>129</v>
      </c>
      <c r="DN109" s="99">
        <f ca="1">INDEX(DE16:DE115,MATCH(DJ109,A16:A50,0))</f>
        <v>0</v>
      </c>
      <c r="DO109" s="57"/>
      <c r="DP109" s="57"/>
      <c r="DQ109" s="87" t="s">
        <v>130</v>
      </c>
      <c r="DR109" s="99">
        <f ca="1">INDEX(DD16:DD115,MATCH(DJ109,A16:A50,0))</f>
        <v>0</v>
      </c>
      <c r="DS109" s="57"/>
      <c r="DT109" s="93">
        <f ca="1">CX109</f>
        <v>0</v>
      </c>
      <c r="DU109" s="94">
        <f t="shared" ca="1" si="342"/>
        <v>0</v>
      </c>
      <c r="DV109" s="95">
        <f t="shared" ca="1" si="343"/>
        <v>0</v>
      </c>
      <c r="DW109" s="57"/>
      <c r="DX109" s="80">
        <f t="array" aca="1" ref="DX109:DX111" ca="1">MMULT(DT109:DV111,DN109:DN111)</f>
        <v>0</v>
      </c>
      <c r="DY109" s="80"/>
      <c r="DZ109" s="80">
        <f t="array" aca="1" ref="DZ109:DZ111" ca="1">MMULT(DT109:DV111,DR109:DR111)</f>
        <v>0</v>
      </c>
      <c r="FR109" s="82"/>
      <c r="FS109" s="69">
        <f ca="1">INDEX(EB16:EB115,MATCH(GF108,A16:A115,0))</f>
        <v>0</v>
      </c>
      <c r="FT109" s="69">
        <f>FT108</f>
        <v>0</v>
      </c>
      <c r="FU109" s="69">
        <f ca="1">INDEX(EC16:EC115,MATCH(GF108,A16:A115,0))</f>
        <v>0</v>
      </c>
      <c r="FV109" s="69">
        <f t="shared" ref="FV109:FV111" si="414">FT109</f>
        <v>0</v>
      </c>
      <c r="FW109" s="69">
        <f ca="1">INDEX(ED16:ED115,MATCH(GF108,A16:A115,0))</f>
        <v>0</v>
      </c>
      <c r="FX109" s="70">
        <f t="shared" ref="FX109:FX111" si="415">FV109</f>
        <v>0</v>
      </c>
      <c r="FY109" s="82"/>
      <c r="FZ109" s="101">
        <f ca="1">INDEX(EE16:EE115,MATCH(GF108,A16:A115,0))</f>
        <v>0</v>
      </c>
      <c r="GA109" s="69">
        <f>GA108</f>
        <v>0</v>
      </c>
      <c r="GB109" s="61">
        <f ca="1">INDEX(EG16:EG115,MATCH(GF108,A16:A115,0))</f>
        <v>0</v>
      </c>
      <c r="GC109" s="109">
        <f t="shared" si="401"/>
        <v>0</v>
      </c>
      <c r="GD109" s="69">
        <f ca="1">INDEX(EI16:EI115,MATCH(GF108,A16:A115,0))</f>
        <v>0</v>
      </c>
      <c r="GE109" s="110">
        <f t="shared" ref="GE109:GE111" si="416">GC109</f>
        <v>0</v>
      </c>
      <c r="GF109" s="84"/>
      <c r="GG109" s="111">
        <f ca="1">FS109+FZ109</f>
        <v>0</v>
      </c>
      <c r="GH109" s="85">
        <f>GH108</f>
        <v>0</v>
      </c>
      <c r="GI109" s="111">
        <f ca="1">FU109+GB109</f>
        <v>0</v>
      </c>
      <c r="GJ109" s="112">
        <f t="shared" si="402"/>
        <v>0</v>
      </c>
      <c r="GK109" s="111">
        <f ca="1">FW109+GD109</f>
        <v>0</v>
      </c>
      <c r="GL109" s="112">
        <f t="shared" si="403"/>
        <v>0</v>
      </c>
      <c r="GN109" s="69">
        <f t="shared" si="331"/>
        <v>0</v>
      </c>
      <c r="GO109" s="113" t="e">
        <f ca="1">INDEX(FJ16:FJ115,MATCH(GM108,A16:A115,0))</f>
        <v>#DIV/0!</v>
      </c>
      <c r="GP109" s="113" t="e">
        <f ca="1">INDEX(FK16:FK115,MATCH(GM108,A16:A115,0))</f>
        <v>#DIV/0!</v>
      </c>
      <c r="GQ109" s="113" t="e">
        <f ca="1">INDEX(FL16:FL115,MATCH(GM108,A16:A115,0))</f>
        <v>#DIV/0!</v>
      </c>
      <c r="GR109" s="113" t="e">
        <f ca="1">INDEX(FM16:FM115,MATCH(GM108,A16:A115,0))</f>
        <v>#DIV/0!</v>
      </c>
      <c r="GS109" s="113" t="e">
        <f ca="1">INDEX(FN16:FN115,MATCH(GM108,A16:A115,0))</f>
        <v>#DIV/0!</v>
      </c>
      <c r="GT109" s="113" t="e">
        <f ca="1">INDEX(FO16:FO115,MATCH(GM108,A16:A115,0))</f>
        <v>#DIV/0!</v>
      </c>
      <c r="GU109" s="113" t="e">
        <f ca="1">INDEX(FP16:FP115,MATCH(GM108,A16:A115,0))</f>
        <v>#DIV/0!</v>
      </c>
      <c r="HO109" s="57"/>
      <c r="HP109" s="57"/>
      <c r="HQ109" s="57"/>
      <c r="HR109" s="57"/>
      <c r="HS109" s="57"/>
      <c r="HT109" s="57"/>
      <c r="HU109" s="57"/>
      <c r="HV109" s="57"/>
      <c r="HW109" s="57" t="s">
        <v>57</v>
      </c>
      <c r="HX109" s="57">
        <f ca="1">IL26</f>
        <v>3000</v>
      </c>
      <c r="HY109" s="57"/>
      <c r="HZ109" s="57" t="e">
        <f>DEGREES(ATAN(IA17/IB17))</f>
        <v>#DIV/0!</v>
      </c>
      <c r="IA109" s="57"/>
      <c r="IB109" s="88">
        <f>IA17</f>
        <v>0</v>
      </c>
      <c r="IC109" s="88">
        <f>IB17</f>
        <v>0</v>
      </c>
      <c r="ID109" s="57"/>
      <c r="IE109" s="57"/>
      <c r="IF109" s="84">
        <f>(AI125^2+AJ125^2)^0.5</f>
        <v>0</v>
      </c>
      <c r="IG109" s="57"/>
      <c r="IH109" s="57"/>
      <c r="II109" s="57"/>
      <c r="IJ109" s="57"/>
      <c r="IK109" s="57"/>
      <c r="IL109" s="57"/>
      <c r="IM109" s="58"/>
      <c r="IN109" s="57"/>
      <c r="IO109" s="57"/>
      <c r="IP109" s="57"/>
    </row>
    <row r="110" spans="1:255" x14ac:dyDescent="0.3">
      <c r="I110" s="139"/>
      <c r="J110" s="139"/>
      <c r="K110" s="169"/>
      <c r="AC110" s="61"/>
      <c r="AD110" s="61"/>
      <c r="AE110" s="44"/>
      <c r="AF110" s="44"/>
      <c r="AG110" s="44"/>
      <c r="AH110" s="44"/>
      <c r="AI110" s="36"/>
      <c r="AJ110" s="36"/>
      <c r="AK110" s="36"/>
      <c r="AL110" s="36"/>
      <c r="AM110" s="36"/>
      <c r="AN110" s="36"/>
      <c r="AO110" s="36"/>
      <c r="CR110" s="77"/>
      <c r="CS110" s="44"/>
      <c r="CT110" s="44"/>
      <c r="CU110" s="48" t="s">
        <v>131</v>
      </c>
      <c r="CV110" s="92">
        <f ca="1">AE71</f>
        <v>4.0799587495451728E-5</v>
      </c>
      <c r="CW110" s="57"/>
      <c r="CX110" s="90">
        <f ca="1">BG47</f>
        <v>0</v>
      </c>
      <c r="CY110" s="83">
        <f ca="1">BE47</f>
        <v>0</v>
      </c>
      <c r="CZ110" s="91">
        <f ca="1">BK47</f>
        <v>0</v>
      </c>
      <c r="DA110" s="57"/>
      <c r="DB110" s="78">
        <f ca="1"/>
        <v>0</v>
      </c>
      <c r="DC110" s="57"/>
      <c r="DD110" s="96"/>
      <c r="DE110" s="97"/>
      <c r="DF110" s="97"/>
      <c r="DG110" s="97"/>
      <c r="DH110" s="97"/>
      <c r="DI110" s="98"/>
      <c r="DJ110" s="57"/>
      <c r="DK110" s="57"/>
      <c r="DL110" s="57"/>
      <c r="DM110" s="87" t="s">
        <v>131</v>
      </c>
      <c r="DN110" s="99">
        <f ca="1">INDEX(DG16:DG115,MATCH(DJ109,A16:A50,0))</f>
        <v>0</v>
      </c>
      <c r="DO110" s="57"/>
      <c r="DP110" s="57"/>
      <c r="DQ110" s="87" t="s">
        <v>132</v>
      </c>
      <c r="DR110" s="99">
        <f ca="1">INDEX(DF16:DF115,MATCH(DJ109,A16:A50,0))</f>
        <v>0</v>
      </c>
      <c r="DS110" s="57"/>
      <c r="DT110" s="90">
        <f t="shared" ref="DT110:DT111" ca="1" si="417">CX110</f>
        <v>0</v>
      </c>
      <c r="DU110" s="83">
        <f t="shared" ca="1" si="342"/>
        <v>0</v>
      </c>
      <c r="DV110" s="91">
        <f t="shared" ca="1" si="343"/>
        <v>0</v>
      </c>
      <c r="DW110" s="57"/>
      <c r="DX110" s="80">
        <f ca="1"/>
        <v>0</v>
      </c>
      <c r="DY110" s="80"/>
      <c r="DZ110" s="80">
        <f ca="1"/>
        <v>0</v>
      </c>
      <c r="FR110" s="82"/>
      <c r="FS110" s="69">
        <f ca="1">FS109</f>
        <v>0</v>
      </c>
      <c r="FT110" s="69">
        <f>INDEX(AE16:AE115,MATCH(GF108,A16:A115,0))</f>
        <v>0</v>
      </c>
      <c r="FU110" s="69">
        <f ca="1">FU109</f>
        <v>0</v>
      </c>
      <c r="FV110" s="69">
        <f t="shared" si="414"/>
        <v>0</v>
      </c>
      <c r="FW110" s="69">
        <f ca="1">FW109</f>
        <v>0</v>
      </c>
      <c r="FX110" s="70">
        <f t="shared" si="415"/>
        <v>0</v>
      </c>
      <c r="FY110" s="82"/>
      <c r="FZ110" s="101">
        <f ca="1">INDEX(EF16:EF115,MATCH(GF108,A16:A115,0))</f>
        <v>0</v>
      </c>
      <c r="GA110" s="69">
        <f>FT110</f>
        <v>0</v>
      </c>
      <c r="GB110" s="61">
        <f ca="1">INDEX(EH16:EH115,MATCH(GF108,A16:A115,0))</f>
        <v>0</v>
      </c>
      <c r="GC110" s="109">
        <f t="shared" si="401"/>
        <v>0</v>
      </c>
      <c r="GD110" s="69">
        <f ca="1">INDEX(EJ16:EJ115,MATCH(GF108,A16:A115,0))</f>
        <v>0</v>
      </c>
      <c r="GE110" s="110">
        <f t="shared" si="416"/>
        <v>0</v>
      </c>
      <c r="GF110" s="84"/>
      <c r="GG110" s="111">
        <f ca="1">FS110+FZ110</f>
        <v>0</v>
      </c>
      <c r="GH110" s="85">
        <f>FT110</f>
        <v>0</v>
      </c>
      <c r="GI110" s="111">
        <f ca="1">FU110+GB110</f>
        <v>0</v>
      </c>
      <c r="GJ110" s="112">
        <f t="shared" si="402"/>
        <v>0</v>
      </c>
      <c r="GK110" s="111">
        <f ca="1">FW110+GD110</f>
        <v>0</v>
      </c>
      <c r="GL110" s="112">
        <f t="shared" si="403"/>
        <v>0</v>
      </c>
      <c r="GN110" s="69">
        <f t="shared" si="331"/>
        <v>0</v>
      </c>
      <c r="GO110" s="113" t="e">
        <f ca="1">GO109</f>
        <v>#DIV/0!</v>
      </c>
      <c r="GP110" s="113" t="e">
        <f t="shared" ref="GP110" ca="1" si="418">GP109</f>
        <v>#DIV/0!</v>
      </c>
      <c r="GQ110" s="113" t="e">
        <f t="shared" ref="GQ110" ca="1" si="419">GQ109</f>
        <v>#DIV/0!</v>
      </c>
      <c r="GR110" s="113" t="e">
        <f t="shared" ref="GR110" ca="1" si="420">GR109</f>
        <v>#DIV/0!</v>
      </c>
      <c r="GS110" s="113" t="e">
        <f t="shared" ref="GS110" ca="1" si="421">GS109</f>
        <v>#DIV/0!</v>
      </c>
      <c r="GT110" s="113" t="e">
        <f t="shared" ref="GT110" ca="1" si="422">GT109</f>
        <v>#DIV/0!</v>
      </c>
      <c r="GU110" s="113" t="e">
        <f t="shared" ref="GU110" ca="1" si="423">GU109</f>
        <v>#DIV/0!</v>
      </c>
      <c r="HO110" s="57"/>
      <c r="HP110" s="57"/>
      <c r="HQ110" s="57"/>
      <c r="HR110" s="57"/>
      <c r="HS110" s="57"/>
      <c r="HT110" s="57"/>
      <c r="HU110" s="57"/>
      <c r="HV110" s="57"/>
      <c r="HW110" s="57" t="s">
        <v>58</v>
      </c>
      <c r="HX110" s="88">
        <f>HW101</f>
        <v>1</v>
      </c>
      <c r="HY110" s="57"/>
      <c r="HZ110" s="57"/>
      <c r="IA110" s="57"/>
      <c r="IB110" s="57"/>
      <c r="IC110" s="57"/>
      <c r="ID110" s="57"/>
      <c r="IE110" s="57"/>
      <c r="IF110" s="57"/>
      <c r="IG110" s="57"/>
      <c r="IH110" s="57"/>
      <c r="II110" s="57"/>
      <c r="IJ110" s="57"/>
      <c r="IK110" s="57"/>
      <c r="IL110" s="57"/>
      <c r="IM110" s="58"/>
      <c r="IN110" s="57"/>
      <c r="IO110" s="57"/>
      <c r="IP110" s="57"/>
    </row>
    <row r="111" spans="1:255" x14ac:dyDescent="0.3">
      <c r="I111" s="139"/>
      <c r="J111" s="139"/>
      <c r="K111" s="169"/>
      <c r="AC111" s="44"/>
      <c r="AD111" s="44"/>
      <c r="AE111" s="44"/>
      <c r="AF111" s="44"/>
      <c r="AG111" s="61"/>
      <c r="AH111" s="61"/>
      <c r="AI111" s="36"/>
      <c r="AJ111" s="36"/>
      <c r="AK111" s="36"/>
      <c r="AL111" s="36"/>
      <c r="AM111" s="36"/>
      <c r="AN111" s="36"/>
      <c r="AO111" s="36"/>
      <c r="CR111" s="77"/>
      <c r="CS111" s="44"/>
      <c r="CT111" s="44"/>
      <c r="CU111" s="48" t="s">
        <v>133</v>
      </c>
      <c r="CV111" s="92">
        <f ca="1">AE72</f>
        <v>-2.771243444540907E-4</v>
      </c>
      <c r="CW111" s="57"/>
      <c r="CX111" s="114">
        <f ca="1">BI47</f>
        <v>0</v>
      </c>
      <c r="CY111" s="115">
        <f ca="1">BJ47</f>
        <v>0</v>
      </c>
      <c r="CZ111" s="116">
        <f ca="1">BL47</f>
        <v>0</v>
      </c>
      <c r="DA111" s="57"/>
      <c r="DB111" s="78">
        <f ca="1"/>
        <v>0</v>
      </c>
      <c r="DC111" s="57"/>
      <c r="DD111" s="96"/>
      <c r="DE111" s="97"/>
      <c r="DF111" s="97"/>
      <c r="DG111" s="97"/>
      <c r="DH111" s="97"/>
      <c r="DI111" s="98"/>
      <c r="DJ111" s="57"/>
      <c r="DK111" s="57"/>
      <c r="DL111" s="57"/>
      <c r="DM111" s="87" t="s">
        <v>133</v>
      </c>
      <c r="DN111" s="99">
        <f ca="1">INDEX(DI16:DI115,MATCH(DJ109,A16:A50,0))</f>
        <v>0</v>
      </c>
      <c r="DO111" s="57"/>
      <c r="DP111" s="57"/>
      <c r="DQ111" s="87" t="s">
        <v>134</v>
      </c>
      <c r="DR111" s="99">
        <f ca="1">INDEX(DH16:DH115,MATCH(DJ109,A16:A50,0))</f>
        <v>0</v>
      </c>
      <c r="DS111" s="57"/>
      <c r="DT111" s="114">
        <f t="shared" ca="1" si="417"/>
        <v>0</v>
      </c>
      <c r="DU111" s="115">
        <f t="shared" ca="1" si="342"/>
        <v>0</v>
      </c>
      <c r="DV111" s="116">
        <f t="shared" ca="1" si="343"/>
        <v>0</v>
      </c>
      <c r="DW111" s="57"/>
      <c r="DX111" s="80">
        <f ca="1"/>
        <v>0</v>
      </c>
      <c r="DY111" s="80"/>
      <c r="DZ111" s="80">
        <f ca="1"/>
        <v>0</v>
      </c>
      <c r="FR111" s="82"/>
      <c r="FS111" s="61">
        <v>0</v>
      </c>
      <c r="FT111" s="69">
        <f>FT110</f>
        <v>0</v>
      </c>
      <c r="FU111" s="61">
        <v>0</v>
      </c>
      <c r="FV111" s="69">
        <f t="shared" si="414"/>
        <v>0</v>
      </c>
      <c r="FW111" s="69">
        <v>0</v>
      </c>
      <c r="FX111" s="70">
        <f t="shared" si="415"/>
        <v>0</v>
      </c>
      <c r="FY111" s="82"/>
      <c r="FZ111" s="61">
        <v>0</v>
      </c>
      <c r="GA111" s="69">
        <f>GA110</f>
        <v>0</v>
      </c>
      <c r="GB111" s="61">
        <v>0</v>
      </c>
      <c r="GC111" s="109">
        <f t="shared" si="401"/>
        <v>0</v>
      </c>
      <c r="GD111" s="61">
        <v>0</v>
      </c>
      <c r="GE111" s="110">
        <f t="shared" si="416"/>
        <v>0</v>
      </c>
      <c r="GF111" s="84"/>
      <c r="GG111" s="111">
        <v>0</v>
      </c>
      <c r="GH111" s="85">
        <f>GH110</f>
        <v>0</v>
      </c>
      <c r="GI111" s="112">
        <v>0</v>
      </c>
      <c r="GJ111" s="112">
        <f t="shared" si="402"/>
        <v>0</v>
      </c>
      <c r="GK111" s="112">
        <v>0</v>
      </c>
      <c r="GL111" s="112">
        <f t="shared" si="403"/>
        <v>0</v>
      </c>
      <c r="GN111" s="69">
        <f t="shared" si="331"/>
        <v>0</v>
      </c>
      <c r="GO111" s="113"/>
      <c r="GP111" s="113"/>
      <c r="GQ111" s="113"/>
      <c r="GR111" s="113"/>
      <c r="GS111" s="113"/>
      <c r="GT111" s="113"/>
      <c r="GU111" s="113"/>
      <c r="HO111" s="57"/>
      <c r="HP111" s="57"/>
      <c r="HQ111" s="57"/>
      <c r="HR111" s="57"/>
      <c r="HS111" s="57"/>
      <c r="HT111" s="57"/>
      <c r="HU111" s="57"/>
      <c r="HV111" s="57"/>
      <c r="HW111" s="57" t="s">
        <v>59</v>
      </c>
      <c r="HX111" s="57">
        <f>HX102</f>
        <v>0</v>
      </c>
      <c r="HY111" s="57"/>
      <c r="HZ111" s="57"/>
      <c r="IA111" s="57"/>
      <c r="IB111" s="57"/>
      <c r="IC111" s="57"/>
      <c r="ID111" s="57"/>
      <c r="IE111" s="57"/>
      <c r="IF111" s="57"/>
      <c r="IG111" s="57"/>
      <c r="IH111" s="57"/>
      <c r="II111" s="57"/>
      <c r="IJ111" s="57"/>
      <c r="IK111" s="57"/>
      <c r="IL111" s="57"/>
      <c r="IM111" s="58"/>
      <c r="IN111" s="57"/>
      <c r="IO111" s="57"/>
      <c r="IP111" s="57"/>
    </row>
    <row r="112" spans="1:255" x14ac:dyDescent="0.3">
      <c r="I112" s="169"/>
      <c r="J112" s="169"/>
      <c r="K112" s="169"/>
      <c r="AC112" s="135"/>
      <c r="AD112" s="135"/>
      <c r="AE112" s="44"/>
      <c r="AF112" s="44"/>
      <c r="AG112" s="136"/>
      <c r="AH112" s="136"/>
      <c r="AI112" s="36"/>
      <c r="AJ112" s="36"/>
      <c r="AK112" s="36"/>
      <c r="AL112" s="36"/>
      <c r="AM112" s="36"/>
      <c r="AN112" s="36"/>
      <c r="AO112" s="36"/>
      <c r="CR112" s="77">
        <f>CR109+1</f>
        <v>33</v>
      </c>
      <c r="CS112" s="44"/>
      <c r="CT112" s="44"/>
      <c r="CU112" s="48" t="s">
        <v>129</v>
      </c>
      <c r="CV112" s="92">
        <f ca="1">AE70</f>
        <v>4.5648610417658959E-4</v>
      </c>
      <c r="CW112" s="57"/>
      <c r="CX112" s="93">
        <f ca="1">BD48</f>
        <v>0</v>
      </c>
      <c r="CY112" s="94">
        <f ca="1">BF48</f>
        <v>0</v>
      </c>
      <c r="CZ112" s="95">
        <f ca="1">BH48</f>
        <v>0</v>
      </c>
      <c r="DA112" s="57"/>
      <c r="DB112" s="78">
        <f t="array" aca="1" ref="DB112:DB114" ca="1">MMULT(CX112:CZ114,CV112:CV114)</f>
        <v>0</v>
      </c>
      <c r="DC112" s="57"/>
      <c r="DD112" s="96"/>
      <c r="DE112" s="97"/>
      <c r="DF112" s="97"/>
      <c r="DG112" s="97"/>
      <c r="DH112" s="97"/>
      <c r="DI112" s="98"/>
      <c r="DJ112" s="57">
        <f>DJ109+1</f>
        <v>33</v>
      </c>
      <c r="DK112" s="57"/>
      <c r="DL112" s="57"/>
      <c r="DM112" s="87" t="s">
        <v>129</v>
      </c>
      <c r="DN112" s="99">
        <f ca="1">INDEX(DE16:DE115,MATCH(DJ112,A16:A50,0))</f>
        <v>0</v>
      </c>
      <c r="DO112" s="57"/>
      <c r="DP112" s="57"/>
      <c r="DQ112" s="87" t="s">
        <v>130</v>
      </c>
      <c r="DR112" s="99">
        <f ca="1">INDEX(DD16:DD115,MATCH(DJ112,A16:A50,0))</f>
        <v>0</v>
      </c>
      <c r="DS112" s="57"/>
      <c r="DT112" s="93">
        <f ca="1">CX112</f>
        <v>0</v>
      </c>
      <c r="DU112" s="94">
        <f t="shared" ca="1" si="342"/>
        <v>0</v>
      </c>
      <c r="DV112" s="95">
        <f t="shared" ca="1" si="343"/>
        <v>0</v>
      </c>
      <c r="DW112" s="57"/>
      <c r="DX112" s="80">
        <f t="array" aca="1" ref="DX112:DX114" ca="1">MMULT(DT112:DV114,DN112:DN114)</f>
        <v>0</v>
      </c>
      <c r="DY112" s="80"/>
      <c r="DZ112" s="80">
        <f t="array" aca="1" ref="DZ112:DZ114" ca="1">MMULT(DT112:DV114,DR112:DR114)</f>
        <v>0</v>
      </c>
      <c r="FR112" s="82">
        <f>FR108+1</f>
        <v>25</v>
      </c>
      <c r="FS112" s="61">
        <v>0</v>
      </c>
      <c r="FT112" s="69">
        <f>INDEX(AF16:AF115,MATCH(GF112,A16:A115,0))</f>
        <v>0</v>
      </c>
      <c r="FU112" s="61">
        <v>0</v>
      </c>
      <c r="FV112" s="69">
        <f>FT112</f>
        <v>0</v>
      </c>
      <c r="FW112" s="69">
        <v>0</v>
      </c>
      <c r="FX112" s="70">
        <f>FV112</f>
        <v>0</v>
      </c>
      <c r="FY112" s="82">
        <f>FY108+1</f>
        <v>25</v>
      </c>
      <c r="FZ112" s="61">
        <v>0</v>
      </c>
      <c r="GA112" s="69">
        <f>FT112</f>
        <v>0</v>
      </c>
      <c r="GB112" s="108">
        <v>0</v>
      </c>
      <c r="GC112" s="109">
        <f t="shared" si="401"/>
        <v>0</v>
      </c>
      <c r="GD112" s="61">
        <v>0</v>
      </c>
      <c r="GE112" s="110">
        <f>GC112</f>
        <v>0</v>
      </c>
      <c r="GF112" s="84">
        <f>GF108+1</f>
        <v>25</v>
      </c>
      <c r="GG112" s="111">
        <v>0</v>
      </c>
      <c r="GH112" s="85">
        <f>FT112</f>
        <v>0</v>
      </c>
      <c r="GI112" s="112">
        <v>0</v>
      </c>
      <c r="GJ112" s="112">
        <f t="shared" si="402"/>
        <v>0</v>
      </c>
      <c r="GK112" s="112">
        <v>0</v>
      </c>
      <c r="GL112" s="112">
        <f t="shared" si="403"/>
        <v>0</v>
      </c>
      <c r="GM112" s="117">
        <f>GM108+1</f>
        <v>25</v>
      </c>
      <c r="GN112" s="69">
        <f t="shared" ref="GN112:GN143" si="424">GH112</f>
        <v>0</v>
      </c>
      <c r="GO112" s="113"/>
      <c r="GP112" s="113"/>
      <c r="GQ112" s="113"/>
      <c r="GR112" s="113"/>
      <c r="GS112" s="113"/>
      <c r="GT112" s="113"/>
      <c r="GU112" s="113"/>
      <c r="HO112" s="57"/>
      <c r="HP112" s="57"/>
      <c r="HQ112" s="57"/>
      <c r="HR112" s="57"/>
      <c r="HS112" s="57"/>
      <c r="HT112" s="57"/>
      <c r="HU112" s="57"/>
      <c r="HV112" s="57"/>
      <c r="HW112" s="57"/>
      <c r="HX112" s="57"/>
      <c r="HY112" s="57"/>
      <c r="HZ112" s="57"/>
      <c r="IA112" s="57"/>
      <c r="IB112" s="57"/>
      <c r="IC112" s="57"/>
      <c r="ID112" s="57"/>
      <c r="IE112" s="57"/>
      <c r="IF112" s="57"/>
      <c r="IG112" s="57"/>
      <c r="IH112" s="57"/>
      <c r="II112" s="57"/>
      <c r="IJ112" s="57"/>
      <c r="IK112" s="57"/>
      <c r="IL112" s="57"/>
      <c r="IM112" s="58"/>
      <c r="IN112" s="57"/>
      <c r="IO112" s="57"/>
      <c r="IP112" s="57"/>
    </row>
    <row r="113" spans="1:250" x14ac:dyDescent="0.3">
      <c r="I113" s="139"/>
      <c r="J113" s="139"/>
      <c r="K113" s="169"/>
      <c r="AC113" s="135"/>
      <c r="AD113" s="135"/>
      <c r="AE113" s="44"/>
      <c r="AF113" s="44"/>
      <c r="AG113" s="141"/>
      <c r="AH113" s="141"/>
      <c r="AI113" s="36"/>
      <c r="AJ113" s="36"/>
      <c r="AK113" s="36"/>
      <c r="AL113" s="36"/>
      <c r="AM113" s="36"/>
      <c r="AN113" s="36"/>
      <c r="AO113" s="36"/>
      <c r="CR113" s="77"/>
      <c r="CS113" s="44"/>
      <c r="CT113" s="44"/>
      <c r="CU113" s="48" t="s">
        <v>131</v>
      </c>
      <c r="CV113" s="92">
        <f ca="1">AE71</f>
        <v>4.0799587495451728E-5</v>
      </c>
      <c r="CW113" s="57"/>
      <c r="CX113" s="90">
        <f ca="1">BG48</f>
        <v>0</v>
      </c>
      <c r="CY113" s="83">
        <f ca="1">BE48</f>
        <v>0</v>
      </c>
      <c r="CZ113" s="91">
        <f ca="1">BK48</f>
        <v>0</v>
      </c>
      <c r="DA113" s="57"/>
      <c r="DB113" s="78">
        <f ca="1"/>
        <v>0</v>
      </c>
      <c r="DC113" s="57"/>
      <c r="DD113" s="96"/>
      <c r="DE113" s="97"/>
      <c r="DF113" s="97"/>
      <c r="DG113" s="97"/>
      <c r="DH113" s="97"/>
      <c r="DI113" s="98"/>
      <c r="DJ113" s="57"/>
      <c r="DK113" s="57"/>
      <c r="DL113" s="57"/>
      <c r="DM113" s="87" t="s">
        <v>131</v>
      </c>
      <c r="DN113" s="99">
        <f ca="1">INDEX(DG16:DG115,MATCH(DJ112,A16:A50,0))</f>
        <v>0</v>
      </c>
      <c r="DO113" s="57"/>
      <c r="DP113" s="57"/>
      <c r="DQ113" s="87" t="s">
        <v>132</v>
      </c>
      <c r="DR113" s="99">
        <f ca="1">INDEX(DF16:DF115,MATCH(DJ112,A16:A50,0))</f>
        <v>0</v>
      </c>
      <c r="DS113" s="57"/>
      <c r="DT113" s="90">
        <f t="shared" ref="DT113:DT114" ca="1" si="425">CX113</f>
        <v>0</v>
      </c>
      <c r="DU113" s="83">
        <f t="shared" ca="1" si="342"/>
        <v>0</v>
      </c>
      <c r="DV113" s="91">
        <f t="shared" ca="1" si="343"/>
        <v>0</v>
      </c>
      <c r="DW113" s="57"/>
      <c r="DX113" s="80">
        <f ca="1"/>
        <v>0</v>
      </c>
      <c r="DY113" s="80"/>
      <c r="DZ113" s="80">
        <f ca="1"/>
        <v>0</v>
      </c>
      <c r="FR113" s="82"/>
      <c r="FS113" s="69">
        <f ca="1">INDEX(EB16:EB115,MATCH(GF112,A16:A115,0))</f>
        <v>0</v>
      </c>
      <c r="FT113" s="69">
        <f>FT112</f>
        <v>0</v>
      </c>
      <c r="FU113" s="69">
        <f ca="1">INDEX(EC16:EC115,MATCH(GF112,A16:A115,0))</f>
        <v>0</v>
      </c>
      <c r="FV113" s="69">
        <f t="shared" ref="FV113:FV115" si="426">FT113</f>
        <v>0</v>
      </c>
      <c r="FW113" s="69">
        <f ca="1">INDEX(ED16:ED115,MATCH(GF112,A16:A115,0))</f>
        <v>0</v>
      </c>
      <c r="FX113" s="70">
        <f t="shared" ref="FX113:FX115" si="427">FV113</f>
        <v>0</v>
      </c>
      <c r="FY113" s="82"/>
      <c r="FZ113" s="101">
        <f ca="1">INDEX(EE16:EE115,MATCH(GF112,A16:A115,0))</f>
        <v>0</v>
      </c>
      <c r="GA113" s="69">
        <f>GA112</f>
        <v>0</v>
      </c>
      <c r="GB113" s="61">
        <f ca="1">INDEX(EG16:EG115,MATCH(GF112,A16:A115,0))</f>
        <v>0</v>
      </c>
      <c r="GC113" s="109">
        <f t="shared" si="401"/>
        <v>0</v>
      </c>
      <c r="GD113" s="69">
        <f ca="1">INDEX(EI16:EI115,MATCH(GF112,A16:A115,0))</f>
        <v>0</v>
      </c>
      <c r="GE113" s="110">
        <f t="shared" ref="GE113:GE115" si="428">GC113</f>
        <v>0</v>
      </c>
      <c r="GF113" s="84"/>
      <c r="GG113" s="111">
        <f ca="1">FS113+FZ113</f>
        <v>0</v>
      </c>
      <c r="GH113" s="85">
        <f>GH112</f>
        <v>0</v>
      </c>
      <c r="GI113" s="111">
        <f ca="1">FU113+GB113</f>
        <v>0</v>
      </c>
      <c r="GJ113" s="112">
        <f t="shared" si="402"/>
        <v>0</v>
      </c>
      <c r="GK113" s="111">
        <f ca="1">FW113+GD113</f>
        <v>0</v>
      </c>
      <c r="GL113" s="112">
        <f t="shared" si="403"/>
        <v>0</v>
      </c>
      <c r="GN113" s="69">
        <f t="shared" si="424"/>
        <v>0</v>
      </c>
      <c r="GO113" s="113" t="e">
        <f ca="1">INDEX(FJ16:FJ115,MATCH(GM112,A16:A115,0))</f>
        <v>#DIV/0!</v>
      </c>
      <c r="GP113" s="113" t="e">
        <f ca="1">INDEX(FK16:FK115,MATCH(GM112,A16:A115,0))</f>
        <v>#DIV/0!</v>
      </c>
      <c r="GQ113" s="113" t="e">
        <f ca="1">INDEX(FL16:FL115,MATCH(GM112,A16:A115,0))</f>
        <v>#DIV/0!</v>
      </c>
      <c r="GR113" s="113" t="e">
        <f ca="1">INDEX(FM16:FM115,MATCH(GM112,A16:A115,0))</f>
        <v>#DIV/0!</v>
      </c>
      <c r="GS113" s="113" t="e">
        <f ca="1">INDEX(FN16:FN115,MATCH(GM112,A16:A115,0))</f>
        <v>#DIV/0!</v>
      </c>
      <c r="GT113" s="113" t="e">
        <f ca="1">INDEX(FO16:FO115,MATCH(GM112,A16:A115,0))</f>
        <v>#DIV/0!</v>
      </c>
      <c r="GU113" s="113" t="e">
        <f ca="1">INDEX(FP16:FP115,MATCH(GM112,A16:A115,0))</f>
        <v>#DIV/0!</v>
      </c>
      <c r="HO113" s="57"/>
      <c r="HP113" s="57"/>
      <c r="HQ113" s="57"/>
      <c r="HR113" s="57"/>
      <c r="HS113" s="57"/>
      <c r="HT113" s="57"/>
      <c r="HU113" s="57"/>
      <c r="HV113" s="57"/>
      <c r="HW113" s="57"/>
      <c r="HX113" s="57"/>
      <c r="HY113" s="57"/>
      <c r="HZ113" s="57"/>
      <c r="IA113" s="57"/>
      <c r="IB113" s="57"/>
      <c r="IC113" s="57"/>
      <c r="ID113" s="57"/>
      <c r="IE113" s="57"/>
      <c r="IF113" s="57"/>
      <c r="IG113" s="57"/>
      <c r="IH113" s="57"/>
      <c r="II113" s="57"/>
      <c r="IJ113" s="57"/>
      <c r="IK113" s="57"/>
      <c r="IL113" s="57"/>
      <c r="IM113" s="58"/>
      <c r="IN113" s="57"/>
      <c r="IO113" s="57"/>
      <c r="IP113" s="57"/>
    </row>
    <row r="114" spans="1:250" x14ac:dyDescent="0.3">
      <c r="I114" s="139"/>
      <c r="J114" s="139"/>
      <c r="K114" s="169"/>
      <c r="AC114" s="135"/>
      <c r="AD114" s="135"/>
      <c r="AE114" s="44"/>
      <c r="AF114" s="44"/>
      <c r="AG114" s="61"/>
      <c r="AH114" s="61"/>
      <c r="AI114" s="36"/>
      <c r="AJ114" s="36"/>
      <c r="AK114" s="36"/>
      <c r="AL114" s="36"/>
      <c r="AM114" s="36"/>
      <c r="AN114" s="36"/>
      <c r="AO114" s="36"/>
      <c r="CR114" s="77"/>
      <c r="CS114" s="44"/>
      <c r="CT114" s="44"/>
      <c r="CU114" s="48" t="s">
        <v>133</v>
      </c>
      <c r="CV114" s="92">
        <f ca="1">AE72</f>
        <v>-2.771243444540907E-4</v>
      </c>
      <c r="CW114" s="57"/>
      <c r="CX114" s="114">
        <f ca="1">BI48</f>
        <v>0</v>
      </c>
      <c r="CY114" s="115">
        <f ca="1">BJ48</f>
        <v>0</v>
      </c>
      <c r="CZ114" s="116">
        <f ca="1">BL48</f>
        <v>0</v>
      </c>
      <c r="DA114" s="57"/>
      <c r="DB114" s="78">
        <f ca="1"/>
        <v>0</v>
      </c>
      <c r="DC114" s="57"/>
      <c r="DD114" s="96"/>
      <c r="DE114" s="97"/>
      <c r="DF114" s="97"/>
      <c r="DG114" s="97"/>
      <c r="DH114" s="97"/>
      <c r="DI114" s="98"/>
      <c r="DJ114" s="57"/>
      <c r="DK114" s="57"/>
      <c r="DL114" s="57"/>
      <c r="DM114" s="87" t="s">
        <v>133</v>
      </c>
      <c r="DN114" s="99">
        <f ca="1">INDEX(DI16:DI115,MATCH(DJ112,A16:A50,0))</f>
        <v>0</v>
      </c>
      <c r="DO114" s="57"/>
      <c r="DP114" s="57"/>
      <c r="DQ114" s="87" t="s">
        <v>134</v>
      </c>
      <c r="DR114" s="99">
        <f ca="1">INDEX(DH16:DH115,MATCH(DJ112,A16:A50,0))</f>
        <v>0</v>
      </c>
      <c r="DS114" s="57"/>
      <c r="DT114" s="114">
        <f t="shared" ca="1" si="425"/>
        <v>0</v>
      </c>
      <c r="DU114" s="115">
        <f t="shared" ca="1" si="342"/>
        <v>0</v>
      </c>
      <c r="DV114" s="116">
        <f t="shared" ca="1" si="343"/>
        <v>0</v>
      </c>
      <c r="DW114" s="57"/>
      <c r="DX114" s="80">
        <f ca="1"/>
        <v>0</v>
      </c>
      <c r="DY114" s="80"/>
      <c r="DZ114" s="80">
        <f ca="1"/>
        <v>0</v>
      </c>
      <c r="FR114" s="82"/>
      <c r="FS114" s="69">
        <f ca="1">FS113</f>
        <v>0</v>
      </c>
      <c r="FT114" s="69">
        <f>INDEX(AE16:AE115,MATCH(GF112,A16:A115,0))</f>
        <v>0</v>
      </c>
      <c r="FU114" s="69">
        <f ca="1">FU113</f>
        <v>0</v>
      </c>
      <c r="FV114" s="69">
        <f t="shared" si="426"/>
        <v>0</v>
      </c>
      <c r="FW114" s="69">
        <f ca="1">FW113</f>
        <v>0</v>
      </c>
      <c r="FX114" s="70">
        <f t="shared" si="427"/>
        <v>0</v>
      </c>
      <c r="FY114" s="82"/>
      <c r="FZ114" s="101">
        <f ca="1">INDEX(EF16:EF115,MATCH(GF112,A16:A115,0))</f>
        <v>0</v>
      </c>
      <c r="GA114" s="69">
        <f>FT114</f>
        <v>0</v>
      </c>
      <c r="GB114" s="61">
        <f ca="1">INDEX(EH16:EH115,MATCH(GF112,A16:A115,0))</f>
        <v>0</v>
      </c>
      <c r="GC114" s="109">
        <f t="shared" si="401"/>
        <v>0</v>
      </c>
      <c r="GD114" s="69">
        <f ca="1">INDEX(EJ16:EJ115,MATCH(GF112,A16:A115,0))</f>
        <v>0</v>
      </c>
      <c r="GE114" s="110">
        <f t="shared" si="428"/>
        <v>0</v>
      </c>
      <c r="GF114" s="84"/>
      <c r="GG114" s="111">
        <f ca="1">FS114+FZ114</f>
        <v>0</v>
      </c>
      <c r="GH114" s="85">
        <f>FT114</f>
        <v>0</v>
      </c>
      <c r="GI114" s="111">
        <f ca="1">FU114+GB114</f>
        <v>0</v>
      </c>
      <c r="GJ114" s="112">
        <f t="shared" si="402"/>
        <v>0</v>
      </c>
      <c r="GK114" s="111">
        <f ca="1">FW114+GD114</f>
        <v>0</v>
      </c>
      <c r="GL114" s="112">
        <f t="shared" si="403"/>
        <v>0</v>
      </c>
      <c r="GN114" s="69">
        <f t="shared" si="424"/>
        <v>0</v>
      </c>
      <c r="GO114" s="113" t="e">
        <f ca="1">GO113</f>
        <v>#DIV/0!</v>
      </c>
      <c r="GP114" s="113" t="e">
        <f t="shared" ref="GP114" ca="1" si="429">GP113</f>
        <v>#DIV/0!</v>
      </c>
      <c r="GQ114" s="113" t="e">
        <f t="shared" ref="GQ114" ca="1" si="430">GQ113</f>
        <v>#DIV/0!</v>
      </c>
      <c r="GR114" s="113" t="e">
        <f t="shared" ref="GR114" ca="1" si="431">GR113</f>
        <v>#DIV/0!</v>
      </c>
      <c r="GS114" s="113" t="e">
        <f t="shared" ref="GS114" ca="1" si="432">GS113</f>
        <v>#DIV/0!</v>
      </c>
      <c r="GT114" s="113" t="e">
        <f t="shared" ref="GT114" ca="1" si="433">GT113</f>
        <v>#DIV/0!</v>
      </c>
      <c r="GU114" s="113" t="e">
        <f t="shared" ref="GU114" ca="1" si="434">GU113</f>
        <v>#DIV/0!</v>
      </c>
      <c r="HO114" s="57"/>
      <c r="HP114" s="57"/>
      <c r="HQ114" s="57"/>
      <c r="HR114" s="57"/>
      <c r="HS114" s="57"/>
      <c r="HT114" s="57"/>
      <c r="HU114" s="57"/>
      <c r="HV114" s="57"/>
      <c r="HW114" s="57" t="s">
        <v>54</v>
      </c>
      <c r="HX114" s="57"/>
      <c r="HY114" s="57"/>
      <c r="HZ114" s="57"/>
      <c r="IA114" s="57"/>
      <c r="IB114" s="57"/>
      <c r="IC114" s="57"/>
      <c r="ID114" s="57"/>
      <c r="IE114" s="57"/>
      <c r="IF114" s="57"/>
      <c r="IG114" s="57"/>
      <c r="IH114" s="57"/>
      <c r="II114" s="57"/>
      <c r="IJ114" s="57"/>
      <c r="IK114" s="57"/>
      <c r="IL114" s="57"/>
      <c r="IM114" s="58"/>
      <c r="IN114" s="57"/>
      <c r="IO114" s="57"/>
      <c r="IP114" s="57"/>
    </row>
    <row r="115" spans="1:250" ht="6.6" customHeight="1" x14ac:dyDescent="0.3">
      <c r="A115" s="86"/>
      <c r="B115" s="58"/>
      <c r="C115" s="239"/>
      <c r="D115" s="86"/>
      <c r="E115" s="86"/>
      <c r="F115" s="86"/>
      <c r="G115" s="239"/>
      <c r="H115" s="86"/>
      <c r="I115" s="86"/>
      <c r="J115" s="86"/>
      <c r="K115" s="86"/>
      <c r="AC115" s="135"/>
      <c r="AD115" s="135"/>
      <c r="AE115" s="44"/>
      <c r="AF115" s="44"/>
      <c r="AG115" s="61"/>
      <c r="AH115" s="61"/>
      <c r="AI115" s="36"/>
      <c r="AJ115" s="36"/>
      <c r="AK115" s="36"/>
      <c r="AL115" s="36"/>
      <c r="AM115" s="36"/>
      <c r="AN115" s="36"/>
      <c r="AO115" s="36"/>
      <c r="CR115" s="77">
        <f>CR112+1</f>
        <v>34</v>
      </c>
      <c r="CS115" s="44"/>
      <c r="CT115" s="44"/>
      <c r="CU115" s="48" t="s">
        <v>129</v>
      </c>
      <c r="CV115" s="92">
        <f ca="1">AE70</f>
        <v>4.5648610417658959E-4</v>
      </c>
      <c r="CW115" s="57"/>
      <c r="CX115" s="93">
        <f ca="1">BD49</f>
        <v>0</v>
      </c>
      <c r="CY115" s="94">
        <f ca="1">BF49</f>
        <v>0</v>
      </c>
      <c r="CZ115" s="95">
        <f ca="1">BH49</f>
        <v>0</v>
      </c>
      <c r="DA115" s="57"/>
      <c r="DB115" s="78">
        <f t="array" aca="1" ref="DB115:DB117" ca="1">MMULT(CX115:CZ117,CV115:CV117)</f>
        <v>0</v>
      </c>
      <c r="DC115" s="57"/>
      <c r="DD115" s="96"/>
      <c r="DE115" s="97"/>
      <c r="DF115" s="97"/>
      <c r="DG115" s="97"/>
      <c r="DH115" s="97"/>
      <c r="DI115" s="98"/>
      <c r="DJ115" s="57">
        <f>DJ112+1</f>
        <v>34</v>
      </c>
      <c r="DK115" s="57"/>
      <c r="DL115" s="57"/>
      <c r="DM115" s="87" t="s">
        <v>129</v>
      </c>
      <c r="DN115" s="99">
        <f ca="1">INDEX(DE16:DE115,MATCH(DJ115,A16:A50,0))</f>
        <v>0</v>
      </c>
      <c r="DO115" s="57"/>
      <c r="DP115" s="57"/>
      <c r="DQ115" s="87" t="s">
        <v>130</v>
      </c>
      <c r="DR115" s="99">
        <f ca="1">INDEX(DD16:DD115,MATCH(DJ115,A16:A50,0))</f>
        <v>0</v>
      </c>
      <c r="DS115" s="57"/>
      <c r="DT115" s="93">
        <f ca="1">CX115</f>
        <v>0</v>
      </c>
      <c r="DU115" s="94">
        <f t="shared" ca="1" si="342"/>
        <v>0</v>
      </c>
      <c r="DV115" s="95">
        <f t="shared" ca="1" si="343"/>
        <v>0</v>
      </c>
      <c r="DW115" s="57"/>
      <c r="DX115" s="80">
        <f t="array" aca="1" ref="DX115:DX117" ca="1">MMULT(DT115:DV117,DN115:DN117)</f>
        <v>0</v>
      </c>
      <c r="DY115" s="80"/>
      <c r="DZ115" s="80">
        <f t="array" aca="1" ref="DZ115:DZ117" ca="1">MMULT(DT115:DV117,DR115:DR117)</f>
        <v>0</v>
      </c>
      <c r="FR115" s="82"/>
      <c r="FS115" s="61">
        <v>0</v>
      </c>
      <c r="FT115" s="69">
        <f>FT114</f>
        <v>0</v>
      </c>
      <c r="FU115" s="61">
        <v>0</v>
      </c>
      <c r="FV115" s="69">
        <f t="shared" si="426"/>
        <v>0</v>
      </c>
      <c r="FW115" s="69">
        <v>0</v>
      </c>
      <c r="FX115" s="70">
        <f t="shared" si="427"/>
        <v>0</v>
      </c>
      <c r="FY115" s="82"/>
      <c r="FZ115" s="61">
        <v>0</v>
      </c>
      <c r="GA115" s="69">
        <f>GA114</f>
        <v>0</v>
      </c>
      <c r="GB115" s="61">
        <v>0</v>
      </c>
      <c r="GC115" s="109">
        <f t="shared" si="401"/>
        <v>0</v>
      </c>
      <c r="GD115" s="61">
        <v>0</v>
      </c>
      <c r="GE115" s="110">
        <f t="shared" si="428"/>
        <v>0</v>
      </c>
      <c r="GF115" s="84"/>
      <c r="GG115" s="111">
        <v>0</v>
      </c>
      <c r="GH115" s="85">
        <f>GH114</f>
        <v>0</v>
      </c>
      <c r="GI115" s="112">
        <v>0</v>
      </c>
      <c r="GJ115" s="112">
        <f t="shared" si="402"/>
        <v>0</v>
      </c>
      <c r="GK115" s="112">
        <v>0</v>
      </c>
      <c r="GL115" s="112">
        <f t="shared" si="403"/>
        <v>0</v>
      </c>
      <c r="GN115" s="69">
        <f t="shared" si="424"/>
        <v>0</v>
      </c>
      <c r="GO115" s="113"/>
      <c r="GP115" s="113"/>
      <c r="GQ115" s="113"/>
      <c r="GR115" s="113"/>
      <c r="GS115" s="113"/>
      <c r="GT115" s="113"/>
      <c r="GU115" s="113"/>
      <c r="HO115" s="57"/>
      <c r="HP115" s="57"/>
      <c r="HQ115" s="57"/>
      <c r="HR115" s="57"/>
      <c r="HS115" s="57"/>
      <c r="HT115" s="57"/>
      <c r="HU115" s="57"/>
      <c r="HV115" s="57"/>
      <c r="HW115" s="57" t="s">
        <v>55</v>
      </c>
      <c r="HX115" s="57"/>
      <c r="HY115" s="57"/>
      <c r="HZ115" s="57"/>
      <c r="IA115" s="57"/>
      <c r="IB115" s="57"/>
      <c r="IC115" s="57"/>
      <c r="ID115" s="57"/>
      <c r="IE115" s="57"/>
      <c r="IF115" s="57"/>
      <c r="IG115" s="57"/>
      <c r="IH115" s="57"/>
      <c r="II115" s="57"/>
      <c r="IJ115" s="57"/>
      <c r="IK115" s="57"/>
      <c r="IL115" s="57"/>
      <c r="IM115" s="58"/>
      <c r="IN115" s="57"/>
      <c r="IO115" s="57"/>
      <c r="IP115" s="57"/>
    </row>
    <row r="116" spans="1:250" x14ac:dyDescent="0.3">
      <c r="A116" s="86"/>
      <c r="B116" s="130"/>
      <c r="C116" s="239"/>
      <c r="D116" s="211"/>
      <c r="E116" s="211"/>
      <c r="F116" s="240" t="s">
        <v>218</v>
      </c>
      <c r="G116" s="239"/>
      <c r="H116" s="211"/>
      <c r="I116" s="211"/>
      <c r="J116" s="211"/>
      <c r="K116" s="86"/>
      <c r="AC116" s="135"/>
      <c r="AD116" s="135"/>
      <c r="AE116" s="44"/>
      <c r="AF116" s="44"/>
      <c r="AG116" s="44"/>
      <c r="AH116" s="44"/>
      <c r="AI116" s="36"/>
      <c r="AJ116" s="36"/>
      <c r="AK116" s="36"/>
      <c r="AL116" s="36"/>
      <c r="AM116" s="36"/>
      <c r="AN116" s="36"/>
      <c r="AO116" s="36"/>
      <c r="CR116" s="77"/>
      <c r="CS116" s="44"/>
      <c r="CT116" s="44"/>
      <c r="CU116" s="48" t="s">
        <v>131</v>
      </c>
      <c r="CV116" s="92">
        <f ca="1">AE71</f>
        <v>4.0799587495451728E-5</v>
      </c>
      <c r="CW116" s="57"/>
      <c r="CX116" s="90">
        <f ca="1">BG49</f>
        <v>0</v>
      </c>
      <c r="CY116" s="83">
        <f ca="1">BE49</f>
        <v>0</v>
      </c>
      <c r="CZ116" s="91">
        <f ca="1">BK49</f>
        <v>0</v>
      </c>
      <c r="DA116" s="57"/>
      <c r="DB116" s="78">
        <f ca="1"/>
        <v>0</v>
      </c>
      <c r="DC116" s="57"/>
      <c r="DD116" s="77"/>
      <c r="DE116" s="44"/>
      <c r="DF116" s="44"/>
      <c r="DG116" s="44"/>
      <c r="DH116" s="44"/>
      <c r="DI116" s="75"/>
      <c r="DJ116" s="57"/>
      <c r="DK116" s="57"/>
      <c r="DL116" s="57"/>
      <c r="DM116" s="87" t="s">
        <v>131</v>
      </c>
      <c r="DN116" s="99">
        <f ca="1">INDEX(DG16:DG115,MATCH(DJ115,A16:A50,0))</f>
        <v>0</v>
      </c>
      <c r="DO116" s="57"/>
      <c r="DP116" s="57"/>
      <c r="DQ116" s="87" t="s">
        <v>132</v>
      </c>
      <c r="DR116" s="99">
        <f ca="1">INDEX(DF16:DF115,MATCH(DJ115,A16:A50,0))</f>
        <v>0</v>
      </c>
      <c r="DS116" s="57"/>
      <c r="DT116" s="90">
        <f t="shared" ref="DT116:DT117" ca="1" si="435">CX116</f>
        <v>0</v>
      </c>
      <c r="DU116" s="83">
        <f t="shared" ca="1" si="342"/>
        <v>0</v>
      </c>
      <c r="DV116" s="91">
        <f t="shared" ca="1" si="343"/>
        <v>0</v>
      </c>
      <c r="DW116" s="57"/>
      <c r="DX116" s="80">
        <f ca="1"/>
        <v>0</v>
      </c>
      <c r="DY116" s="80"/>
      <c r="DZ116" s="80">
        <f ca="1"/>
        <v>0</v>
      </c>
      <c r="FR116" s="82">
        <f>FR112+1</f>
        <v>26</v>
      </c>
      <c r="FS116" s="61">
        <v>0</v>
      </c>
      <c r="FT116" s="69">
        <f>INDEX(AF16:AF115,MATCH(GF116,A16:A115,0))</f>
        <v>0</v>
      </c>
      <c r="FU116" s="61">
        <v>0</v>
      </c>
      <c r="FV116" s="69">
        <f>FT116</f>
        <v>0</v>
      </c>
      <c r="FW116" s="69">
        <v>0</v>
      </c>
      <c r="FX116" s="70">
        <f>FV116</f>
        <v>0</v>
      </c>
      <c r="FY116" s="82">
        <f>FY112+1</f>
        <v>26</v>
      </c>
      <c r="FZ116" s="61">
        <v>0</v>
      </c>
      <c r="GA116" s="69">
        <f>FT116</f>
        <v>0</v>
      </c>
      <c r="GB116" s="108">
        <v>0</v>
      </c>
      <c r="GC116" s="109">
        <f t="shared" si="401"/>
        <v>0</v>
      </c>
      <c r="GD116" s="61">
        <v>0</v>
      </c>
      <c r="GE116" s="110">
        <f>GC116</f>
        <v>0</v>
      </c>
      <c r="GF116" s="84">
        <f>GF112+1</f>
        <v>26</v>
      </c>
      <c r="GG116" s="111">
        <v>0</v>
      </c>
      <c r="GH116" s="85">
        <f>FT116</f>
        <v>0</v>
      </c>
      <c r="GI116" s="112">
        <v>0</v>
      </c>
      <c r="GJ116" s="112">
        <f t="shared" si="402"/>
        <v>0</v>
      </c>
      <c r="GK116" s="112">
        <v>0</v>
      </c>
      <c r="GL116" s="112">
        <f t="shared" si="403"/>
        <v>0</v>
      </c>
      <c r="GM116" s="117">
        <f>GM112+1</f>
        <v>26</v>
      </c>
      <c r="GN116" s="69">
        <f t="shared" si="424"/>
        <v>0</v>
      </c>
      <c r="GO116" s="113"/>
      <c r="GP116" s="113"/>
      <c r="GQ116" s="113"/>
      <c r="GR116" s="113"/>
      <c r="GS116" s="113"/>
      <c r="GT116" s="113"/>
      <c r="GU116" s="113"/>
      <c r="HO116" s="57"/>
      <c r="HP116" s="57"/>
      <c r="HQ116" s="57"/>
      <c r="HR116" s="57"/>
      <c r="HS116" s="57"/>
      <c r="HT116" s="57"/>
      <c r="HU116" s="57"/>
      <c r="HV116" s="57"/>
      <c r="HW116" s="130" t="s">
        <v>60</v>
      </c>
      <c r="HX116" s="130"/>
      <c r="HY116" s="130" t="s">
        <v>62</v>
      </c>
      <c r="HZ116" s="130"/>
      <c r="IA116" s="57"/>
      <c r="IB116" s="130" t="s">
        <v>64</v>
      </c>
      <c r="IC116" s="130"/>
      <c r="ID116" s="57"/>
      <c r="IE116" s="57"/>
      <c r="IF116" s="57"/>
      <c r="IG116" s="57"/>
      <c r="IH116" s="57"/>
      <c r="II116" s="57"/>
      <c r="IJ116" s="57"/>
      <c r="IK116" s="57"/>
      <c r="IL116" s="57"/>
      <c r="IM116" s="58"/>
      <c r="IN116" s="57"/>
      <c r="IO116" s="57"/>
      <c r="IP116" s="57"/>
    </row>
    <row r="117" spans="1:250" x14ac:dyDescent="0.3">
      <c r="A117" s="86"/>
      <c r="B117" s="211"/>
      <c r="C117" s="211"/>
      <c r="D117" s="211"/>
      <c r="E117" s="211"/>
      <c r="F117" s="241" t="s">
        <v>219</v>
      </c>
      <c r="G117" s="211"/>
      <c r="H117" s="211"/>
      <c r="I117" s="211"/>
      <c r="J117" s="211"/>
      <c r="K117" s="86"/>
      <c r="AC117" s="135"/>
      <c r="AD117" s="135"/>
      <c r="AE117" s="44"/>
      <c r="AF117" s="44"/>
      <c r="AG117" s="61"/>
      <c r="AH117" s="61"/>
      <c r="AI117" s="36"/>
      <c r="AJ117" s="36"/>
      <c r="AK117" s="36"/>
      <c r="AL117" s="36"/>
      <c r="AM117" s="36"/>
      <c r="AN117" s="36"/>
      <c r="AO117" s="36"/>
      <c r="CR117" s="77"/>
      <c r="CS117" s="44"/>
      <c r="CT117" s="44"/>
      <c r="CU117" s="48" t="s">
        <v>133</v>
      </c>
      <c r="CV117" s="92">
        <f ca="1">AE72</f>
        <v>-2.771243444540907E-4</v>
      </c>
      <c r="CW117" s="57"/>
      <c r="CX117" s="114">
        <f ca="1">BI49</f>
        <v>0</v>
      </c>
      <c r="CY117" s="115">
        <f ca="1">BJ49</f>
        <v>0</v>
      </c>
      <c r="CZ117" s="116">
        <f ca="1">BL49</f>
        <v>0</v>
      </c>
      <c r="DA117" s="57"/>
      <c r="DB117" s="78">
        <f ca="1"/>
        <v>0</v>
      </c>
      <c r="DC117" s="57"/>
      <c r="DD117" s="77"/>
      <c r="DE117" s="44"/>
      <c r="DF117" s="44"/>
      <c r="DG117" s="44"/>
      <c r="DH117" s="44"/>
      <c r="DI117" s="75"/>
      <c r="DJ117" s="57"/>
      <c r="DK117" s="57"/>
      <c r="DL117" s="57"/>
      <c r="DM117" s="87" t="s">
        <v>133</v>
      </c>
      <c r="DN117" s="99">
        <f ca="1">INDEX(DI16:DI115,MATCH(DJ115,A16:A50,0))</f>
        <v>0</v>
      </c>
      <c r="DO117" s="57"/>
      <c r="DP117" s="57"/>
      <c r="DQ117" s="87" t="s">
        <v>134</v>
      </c>
      <c r="DR117" s="99">
        <f ca="1">INDEX(DH16:DH115,MATCH(DJ115,A16:A50,0))</f>
        <v>0</v>
      </c>
      <c r="DS117" s="57"/>
      <c r="DT117" s="114">
        <f t="shared" ca="1" si="435"/>
        <v>0</v>
      </c>
      <c r="DU117" s="115">
        <f t="shared" ca="1" si="342"/>
        <v>0</v>
      </c>
      <c r="DV117" s="116">
        <f t="shared" ca="1" si="343"/>
        <v>0</v>
      </c>
      <c r="DW117" s="57"/>
      <c r="DX117" s="80">
        <f ca="1"/>
        <v>0</v>
      </c>
      <c r="DY117" s="80"/>
      <c r="DZ117" s="80">
        <f ca="1"/>
        <v>0</v>
      </c>
      <c r="FR117" s="82"/>
      <c r="FS117" s="69">
        <f ca="1">INDEX(EB16:EB115,MATCH(GF116,A16:A115,0))</f>
        <v>0</v>
      </c>
      <c r="FT117" s="69">
        <f>FT116</f>
        <v>0</v>
      </c>
      <c r="FU117" s="69">
        <f ca="1">INDEX(EC16:EC115,MATCH(GF116,A16:A115,0))</f>
        <v>0</v>
      </c>
      <c r="FV117" s="69">
        <f t="shared" ref="FV117:FV119" si="436">FT117</f>
        <v>0</v>
      </c>
      <c r="FW117" s="69">
        <f ca="1">INDEX(ED16:ED115,MATCH(GF116,A16:A115,0))</f>
        <v>0</v>
      </c>
      <c r="FX117" s="70">
        <f t="shared" ref="FX117:FX119" si="437">FV117</f>
        <v>0</v>
      </c>
      <c r="FY117" s="82"/>
      <c r="FZ117" s="101">
        <f ca="1">INDEX(EE16:EE115,MATCH(GF116,A16:A115,0))</f>
        <v>0</v>
      </c>
      <c r="GA117" s="69">
        <f>GA116</f>
        <v>0</v>
      </c>
      <c r="GB117" s="61">
        <f ca="1">INDEX(EG16:EG115,MATCH(GF116,A16:A115,0))</f>
        <v>0</v>
      </c>
      <c r="GC117" s="109">
        <f t="shared" si="401"/>
        <v>0</v>
      </c>
      <c r="GD117" s="69">
        <f ca="1">INDEX(EI16:EI115,MATCH(GF116,A16:A115,0))</f>
        <v>0</v>
      </c>
      <c r="GE117" s="110">
        <f t="shared" ref="GE117:GE119" si="438">GC117</f>
        <v>0</v>
      </c>
      <c r="GF117" s="84"/>
      <c r="GG117" s="111">
        <f ca="1">FS117+FZ117</f>
        <v>0</v>
      </c>
      <c r="GH117" s="85">
        <f>GH116</f>
        <v>0</v>
      </c>
      <c r="GI117" s="111">
        <f ca="1">FU117+GB117</f>
        <v>0</v>
      </c>
      <c r="GJ117" s="112">
        <f t="shared" si="402"/>
        <v>0</v>
      </c>
      <c r="GK117" s="111">
        <f ca="1">FW117+GD117</f>
        <v>0</v>
      </c>
      <c r="GL117" s="112">
        <f t="shared" si="403"/>
        <v>0</v>
      </c>
      <c r="GN117" s="69">
        <f t="shared" si="424"/>
        <v>0</v>
      </c>
      <c r="GO117" s="113" t="e">
        <f ca="1">INDEX(FJ16:FJ115,MATCH(GM116,A16:A115,0))</f>
        <v>#DIV/0!</v>
      </c>
      <c r="GP117" s="113" t="e">
        <f ca="1">INDEX(FK16:FK115,MATCH(GM116,A16:A115,0))</f>
        <v>#DIV/0!</v>
      </c>
      <c r="GQ117" s="113" t="e">
        <f ca="1">INDEX(FL16:FL115,MATCH(GM116,A16:A115,0))</f>
        <v>#DIV/0!</v>
      </c>
      <c r="GR117" s="113" t="e">
        <f ca="1">INDEX(FM16:FM115,MATCH(GM116,A16:A115,0))</f>
        <v>#DIV/0!</v>
      </c>
      <c r="GS117" s="113" t="e">
        <f ca="1">INDEX(FN16:FN115,MATCH(GM116,A16:A115,0))</f>
        <v>#DIV/0!</v>
      </c>
      <c r="GT117" s="113" t="e">
        <f ca="1">INDEX(FO16:FO115,MATCH(GM116,A16:A115,0))</f>
        <v>#DIV/0!</v>
      </c>
      <c r="GU117" s="113" t="e">
        <f ca="1">INDEX(FP16:FP115,MATCH(GM116,A16:A115,0))</f>
        <v>#DIV/0!</v>
      </c>
      <c r="HO117" s="57"/>
      <c r="HP117" s="57"/>
      <c r="HQ117" s="57"/>
      <c r="HR117" s="57"/>
      <c r="HS117" s="57"/>
      <c r="HT117" s="57"/>
      <c r="HU117" s="57"/>
      <c r="HV117" s="57"/>
      <c r="HW117" s="130" t="s">
        <v>61</v>
      </c>
      <c r="HX117" s="130"/>
      <c r="HY117" s="130" t="s">
        <v>63</v>
      </c>
      <c r="HZ117" s="130"/>
      <c r="IA117" s="57"/>
      <c r="IB117" s="57"/>
      <c r="IC117" s="57"/>
      <c r="ID117" s="57"/>
      <c r="IE117" s="57"/>
      <c r="IF117" s="57"/>
      <c r="IG117" s="57"/>
      <c r="IH117" s="57"/>
      <c r="II117" s="57"/>
      <c r="IJ117" s="57"/>
      <c r="IK117" s="57"/>
      <c r="IL117" s="57"/>
      <c r="IM117" s="58"/>
      <c r="IN117" s="57"/>
      <c r="IO117" s="57"/>
      <c r="IP117" s="57"/>
    </row>
    <row r="118" spans="1:250" x14ac:dyDescent="0.3">
      <c r="I118" s="139"/>
      <c r="J118" s="139"/>
      <c r="K118" s="169"/>
      <c r="AC118" s="135"/>
      <c r="AD118" s="135"/>
      <c r="AE118" s="44"/>
      <c r="AF118" s="44"/>
      <c r="AG118" s="61"/>
      <c r="AH118" s="61"/>
      <c r="AI118" s="36"/>
      <c r="AJ118" s="36"/>
      <c r="AK118" s="36"/>
      <c r="AL118" s="36"/>
      <c r="AM118" s="36"/>
      <c r="AN118" s="36"/>
      <c r="AO118" s="36"/>
      <c r="CR118" s="77">
        <f>CR115+1</f>
        <v>35</v>
      </c>
      <c r="CS118" s="44"/>
      <c r="CT118" s="44"/>
      <c r="CU118" s="48" t="s">
        <v>129</v>
      </c>
      <c r="CV118" s="92">
        <f ca="1">AE70</f>
        <v>4.5648610417658959E-4</v>
      </c>
      <c r="CW118" s="57"/>
      <c r="CX118" s="93">
        <f ca="1">BD50</f>
        <v>0</v>
      </c>
      <c r="CY118" s="94">
        <f ca="1">BF50</f>
        <v>0</v>
      </c>
      <c r="CZ118" s="95">
        <f ca="1">BH50</f>
        <v>0</v>
      </c>
      <c r="DA118" s="57"/>
      <c r="DB118" s="78">
        <f t="array" aca="1" ref="DB118:DB120" ca="1">MMULT(CX118:CZ120,CV118:CV120)</f>
        <v>0</v>
      </c>
      <c r="DC118" s="57"/>
      <c r="DD118" s="77"/>
      <c r="DE118" s="44"/>
      <c r="DF118" s="44"/>
      <c r="DG118" s="44"/>
      <c r="DH118" s="44"/>
      <c r="DI118" s="75"/>
      <c r="DJ118" s="57">
        <f>DJ115+1</f>
        <v>35</v>
      </c>
      <c r="DK118" s="57"/>
      <c r="DL118" s="57"/>
      <c r="DM118" s="87" t="s">
        <v>129</v>
      </c>
      <c r="DN118" s="99">
        <f ca="1">INDEX(DE16:DE115,MATCH(DJ118,A16:A50,0))</f>
        <v>0</v>
      </c>
      <c r="DO118" s="57"/>
      <c r="DP118" s="57"/>
      <c r="DQ118" s="87" t="s">
        <v>130</v>
      </c>
      <c r="DR118" s="99">
        <f ca="1">INDEX(DD16:DD115,MATCH(DJ118,A16:A50,0))</f>
        <v>0</v>
      </c>
      <c r="DS118" s="57"/>
      <c r="DT118" s="93">
        <f ca="1">CX118</f>
        <v>0</v>
      </c>
      <c r="DU118" s="94">
        <f t="shared" ca="1" si="342"/>
        <v>0</v>
      </c>
      <c r="DV118" s="95">
        <f t="shared" ca="1" si="343"/>
        <v>0</v>
      </c>
      <c r="DW118" s="57"/>
      <c r="DX118" s="80">
        <f t="array" aca="1" ref="DX118:DX120" ca="1">MMULT(DT118:DV120,DN118:DN120)</f>
        <v>0</v>
      </c>
      <c r="DY118" s="80"/>
      <c r="DZ118" s="80">
        <f t="array" aca="1" ref="DZ118:DZ120" ca="1">MMULT(DT118:DV120,DR118:DR120)</f>
        <v>0</v>
      </c>
      <c r="FR118" s="82"/>
      <c r="FS118" s="69">
        <f ca="1">FS117</f>
        <v>0</v>
      </c>
      <c r="FT118" s="69">
        <f>INDEX(AE16:AE115,MATCH(GF116,A16:A115,0))</f>
        <v>0</v>
      </c>
      <c r="FU118" s="69">
        <f ca="1">FU117</f>
        <v>0</v>
      </c>
      <c r="FV118" s="69">
        <f t="shared" si="436"/>
        <v>0</v>
      </c>
      <c r="FW118" s="69">
        <f ca="1">FW117</f>
        <v>0</v>
      </c>
      <c r="FX118" s="70">
        <f t="shared" si="437"/>
        <v>0</v>
      </c>
      <c r="FY118" s="82"/>
      <c r="FZ118" s="101">
        <f ca="1">INDEX(EF16:EF115,MATCH(GF116,A16:A115,0))</f>
        <v>0</v>
      </c>
      <c r="GA118" s="69">
        <f>FT118</f>
        <v>0</v>
      </c>
      <c r="GB118" s="61">
        <f ca="1">INDEX(EH16:EH115,MATCH(GF116,A16:A115,0))</f>
        <v>0</v>
      </c>
      <c r="GC118" s="109">
        <f t="shared" si="401"/>
        <v>0</v>
      </c>
      <c r="GD118" s="69">
        <f ca="1">INDEX(EJ16:EJ115,MATCH(GF116,A16:A115,0))</f>
        <v>0</v>
      </c>
      <c r="GE118" s="110">
        <f t="shared" si="438"/>
        <v>0</v>
      </c>
      <c r="GF118" s="84"/>
      <c r="GG118" s="111">
        <f ca="1">FS118+FZ118</f>
        <v>0</v>
      </c>
      <c r="GH118" s="85">
        <f>FT118</f>
        <v>0</v>
      </c>
      <c r="GI118" s="111">
        <f ca="1">FU118+GB118</f>
        <v>0</v>
      </c>
      <c r="GJ118" s="112">
        <f t="shared" si="402"/>
        <v>0</v>
      </c>
      <c r="GK118" s="111">
        <f ca="1">FW118+GD118</f>
        <v>0</v>
      </c>
      <c r="GL118" s="112">
        <f t="shared" si="403"/>
        <v>0</v>
      </c>
      <c r="GN118" s="69">
        <f t="shared" si="424"/>
        <v>0</v>
      </c>
      <c r="GO118" s="113" t="e">
        <f ca="1">GO117</f>
        <v>#DIV/0!</v>
      </c>
      <c r="GP118" s="113" t="e">
        <f t="shared" ref="GP118" ca="1" si="439">GP117</f>
        <v>#DIV/0!</v>
      </c>
      <c r="GQ118" s="113" t="e">
        <f t="shared" ref="GQ118" ca="1" si="440">GQ117</f>
        <v>#DIV/0!</v>
      </c>
      <c r="GR118" s="113" t="e">
        <f t="shared" ref="GR118" ca="1" si="441">GR117</f>
        <v>#DIV/0!</v>
      </c>
      <c r="GS118" s="113" t="e">
        <f t="shared" ref="GS118" ca="1" si="442">GS117</f>
        <v>#DIV/0!</v>
      </c>
      <c r="GT118" s="113" t="e">
        <f t="shared" ref="GT118" ca="1" si="443">GT117</f>
        <v>#DIV/0!</v>
      </c>
      <c r="GU118" s="113" t="e">
        <f t="shared" ref="GU118" ca="1" si="444">GU117</f>
        <v>#DIV/0!</v>
      </c>
      <c r="HO118" s="57"/>
      <c r="HP118" s="57"/>
      <c r="HQ118" s="57"/>
      <c r="HR118" s="57"/>
      <c r="HS118" s="57"/>
      <c r="HT118" s="57"/>
      <c r="HU118" s="57"/>
      <c r="HV118" s="57"/>
      <c r="HW118" s="57" t="s">
        <v>52</v>
      </c>
      <c r="HX118" s="57" t="s">
        <v>53</v>
      </c>
      <c r="HY118" s="57" t="s">
        <v>52</v>
      </c>
      <c r="HZ118" s="57" t="s">
        <v>53</v>
      </c>
      <c r="IA118" s="57"/>
      <c r="IB118" s="57" t="s">
        <v>7</v>
      </c>
      <c r="IC118" s="57" t="s">
        <v>8</v>
      </c>
      <c r="ID118" s="57"/>
      <c r="IE118" s="57"/>
      <c r="IF118" s="57"/>
      <c r="IG118" s="57"/>
      <c r="IH118" s="57"/>
      <c r="II118" s="57"/>
      <c r="IJ118" s="57"/>
      <c r="IK118" s="57"/>
      <c r="IL118" s="57"/>
      <c r="IM118" s="58"/>
      <c r="IN118" s="57"/>
      <c r="IO118" s="57"/>
      <c r="IP118" s="57"/>
    </row>
    <row r="119" spans="1:250" x14ac:dyDescent="0.3">
      <c r="I119" s="139"/>
      <c r="J119" s="139"/>
      <c r="K119" s="169"/>
      <c r="AC119" s="135"/>
      <c r="AD119" s="135"/>
      <c r="AE119" s="44"/>
      <c r="AF119" s="44"/>
      <c r="AG119" s="44"/>
      <c r="AH119" s="44"/>
      <c r="AI119" s="36"/>
      <c r="AJ119" s="36"/>
      <c r="AK119" s="36"/>
      <c r="AL119" s="36"/>
      <c r="AM119" s="36"/>
      <c r="AN119" s="36"/>
      <c r="AO119" s="36"/>
      <c r="CR119" s="77"/>
      <c r="CS119" s="44"/>
      <c r="CT119" s="44"/>
      <c r="CU119" s="48" t="s">
        <v>131</v>
      </c>
      <c r="CV119" s="92">
        <f ca="1">AE71</f>
        <v>4.0799587495451728E-5</v>
      </c>
      <c r="CW119" s="57"/>
      <c r="CX119" s="90">
        <f ca="1">BG50</f>
        <v>0</v>
      </c>
      <c r="CY119" s="83">
        <f ca="1">BE50</f>
        <v>0</v>
      </c>
      <c r="CZ119" s="91">
        <f ca="1">BK50</f>
        <v>0</v>
      </c>
      <c r="DA119" s="57"/>
      <c r="DB119" s="78">
        <f ca="1"/>
        <v>0</v>
      </c>
      <c r="DC119" s="57"/>
      <c r="DD119" s="77"/>
      <c r="DE119" s="44"/>
      <c r="DF119" s="44"/>
      <c r="DG119" s="44"/>
      <c r="DH119" s="44"/>
      <c r="DI119" s="75"/>
      <c r="DJ119" s="57"/>
      <c r="DK119" s="57"/>
      <c r="DL119" s="57"/>
      <c r="DM119" s="87" t="s">
        <v>131</v>
      </c>
      <c r="DN119" s="99">
        <f ca="1">INDEX(DG16:DG115,MATCH(DJ118,A16:A50,0))</f>
        <v>0</v>
      </c>
      <c r="DO119" s="57"/>
      <c r="DP119" s="57"/>
      <c r="DQ119" s="87" t="s">
        <v>132</v>
      </c>
      <c r="DR119" s="99">
        <f ca="1">INDEX(DF16:DF115,MATCH(DJ118,A16:A50,0))</f>
        <v>0</v>
      </c>
      <c r="DS119" s="57"/>
      <c r="DT119" s="90">
        <f t="shared" ref="DT119:DT120" ca="1" si="445">CX119</f>
        <v>0</v>
      </c>
      <c r="DU119" s="83">
        <f t="shared" ca="1" si="342"/>
        <v>0</v>
      </c>
      <c r="DV119" s="91">
        <f t="shared" ca="1" si="343"/>
        <v>0</v>
      </c>
      <c r="DW119" s="57"/>
      <c r="DX119" s="80">
        <f ca="1"/>
        <v>0</v>
      </c>
      <c r="DY119" s="80"/>
      <c r="DZ119" s="80">
        <f ca="1"/>
        <v>0</v>
      </c>
      <c r="FR119" s="82"/>
      <c r="FS119" s="61">
        <v>0</v>
      </c>
      <c r="FT119" s="69">
        <f>FT118</f>
        <v>0</v>
      </c>
      <c r="FU119" s="61">
        <v>0</v>
      </c>
      <c r="FV119" s="69">
        <f t="shared" si="436"/>
        <v>0</v>
      </c>
      <c r="FW119" s="69">
        <v>0</v>
      </c>
      <c r="FX119" s="70">
        <f t="shared" si="437"/>
        <v>0</v>
      </c>
      <c r="FY119" s="82"/>
      <c r="FZ119" s="61">
        <v>0</v>
      </c>
      <c r="GA119" s="69">
        <f>GA118</f>
        <v>0</v>
      </c>
      <c r="GB119" s="61">
        <v>0</v>
      </c>
      <c r="GC119" s="109">
        <f t="shared" si="401"/>
        <v>0</v>
      </c>
      <c r="GD119" s="61">
        <v>0</v>
      </c>
      <c r="GE119" s="110">
        <f t="shared" si="438"/>
        <v>0</v>
      </c>
      <c r="GF119" s="84"/>
      <c r="GG119" s="111">
        <v>0</v>
      </c>
      <c r="GH119" s="85">
        <f>GH118</f>
        <v>0</v>
      </c>
      <c r="GI119" s="112">
        <v>0</v>
      </c>
      <c r="GJ119" s="112">
        <f t="shared" si="402"/>
        <v>0</v>
      </c>
      <c r="GK119" s="112">
        <v>0</v>
      </c>
      <c r="GL119" s="112">
        <f t="shared" si="403"/>
        <v>0</v>
      </c>
      <c r="GN119" s="69">
        <f t="shared" si="424"/>
        <v>0</v>
      </c>
      <c r="GO119" s="113"/>
      <c r="GP119" s="113"/>
      <c r="GQ119" s="113"/>
      <c r="GR119" s="113"/>
      <c r="GS119" s="113"/>
      <c r="GT119" s="113"/>
      <c r="GU119" s="113"/>
      <c r="HO119" s="57"/>
      <c r="HP119" s="57"/>
      <c r="HQ119" s="57"/>
      <c r="HR119" s="57"/>
      <c r="HS119" s="57"/>
      <c r="HT119" s="57"/>
      <c r="HU119" s="57"/>
      <c r="HV119" s="57"/>
      <c r="HW119" s="57">
        <f>HT104</f>
        <v>1</v>
      </c>
      <c r="HX119" s="57">
        <f>HU104</f>
        <v>0</v>
      </c>
      <c r="HY119" s="57">
        <f t="shared" ref="HY119:HZ124" si="446">HY101</f>
        <v>0</v>
      </c>
      <c r="HZ119" s="57">
        <f t="shared" si="446"/>
        <v>0</v>
      </c>
      <c r="IA119" s="57"/>
      <c r="IB119" s="84">
        <f ca="1">IB101</f>
        <v>4500</v>
      </c>
      <c r="IC119" s="84">
        <f ca="1">(HW119*IB119)+HX119</f>
        <v>4500</v>
      </c>
      <c r="ID119" s="84">
        <f ca="1">IB119-IB127</f>
        <v>4500</v>
      </c>
      <c r="IE119" s="84">
        <f ca="1">IC119-IC127</f>
        <v>4500</v>
      </c>
      <c r="IF119" s="84">
        <f t="shared" ref="IF119:IF125" ca="1" si="447">(IB119^2+IC119^2)^0.5</f>
        <v>6363.9610306789273</v>
      </c>
      <c r="IG119" s="57" t="e">
        <f ca="1">IF(IF119=MIN(IF119:IF125),1,0)</f>
        <v>#DIV/0!</v>
      </c>
      <c r="IH119" s="84">
        <f t="shared" ref="IH119:IH125" ca="1" si="448">(IB119^2+IC119^2)^0.5</f>
        <v>6363.9610306789273</v>
      </c>
      <c r="II119" s="57"/>
      <c r="IJ119" s="57"/>
      <c r="IK119" s="57"/>
      <c r="IL119" s="57"/>
      <c r="IM119" s="58"/>
      <c r="IN119" s="57"/>
      <c r="IO119" s="57"/>
      <c r="IP119" s="57"/>
    </row>
    <row r="120" spans="1:250" x14ac:dyDescent="0.3">
      <c r="I120" s="139"/>
      <c r="J120" s="139"/>
      <c r="K120" s="169"/>
      <c r="AC120" s="135"/>
      <c r="AD120" s="135"/>
      <c r="AE120" s="44"/>
      <c r="AF120" s="44"/>
      <c r="AG120" s="44"/>
      <c r="AH120" s="44"/>
      <c r="AI120" s="36"/>
      <c r="AJ120" s="36"/>
      <c r="AK120" s="36"/>
      <c r="AL120" s="36"/>
      <c r="AM120" s="36"/>
      <c r="AN120" s="36"/>
      <c r="AO120" s="36"/>
      <c r="CR120" s="77"/>
      <c r="CS120" s="44"/>
      <c r="CT120" s="44"/>
      <c r="CU120" s="48" t="s">
        <v>133</v>
      </c>
      <c r="CV120" s="92">
        <f ca="1">AE72</f>
        <v>-2.771243444540907E-4</v>
      </c>
      <c r="CW120" s="57"/>
      <c r="CX120" s="114">
        <f ca="1">BI50</f>
        <v>0</v>
      </c>
      <c r="CY120" s="115">
        <f ca="1">BJ50</f>
        <v>0</v>
      </c>
      <c r="CZ120" s="116">
        <f ca="1">BL50</f>
        <v>0</v>
      </c>
      <c r="DA120" s="57"/>
      <c r="DB120" s="78">
        <f ca="1"/>
        <v>0</v>
      </c>
      <c r="DC120" s="57"/>
      <c r="DD120" s="77"/>
      <c r="DE120" s="44"/>
      <c r="DF120" s="44"/>
      <c r="DG120" s="44"/>
      <c r="DH120" s="44"/>
      <c r="DI120" s="75"/>
      <c r="DJ120" s="57"/>
      <c r="DK120" s="57"/>
      <c r="DL120" s="57"/>
      <c r="DM120" s="87" t="s">
        <v>133</v>
      </c>
      <c r="DN120" s="99">
        <f ca="1">INDEX(DI16:DI115,MATCH(DJ118,A16:A50,0))</f>
        <v>0</v>
      </c>
      <c r="DO120" s="57"/>
      <c r="DP120" s="57"/>
      <c r="DQ120" s="87" t="s">
        <v>134</v>
      </c>
      <c r="DR120" s="99">
        <f ca="1">INDEX(DH16:DH115,MATCH(DJ118,A16:A50,0))</f>
        <v>0</v>
      </c>
      <c r="DS120" s="57"/>
      <c r="DT120" s="90">
        <f t="shared" ca="1" si="445"/>
        <v>0</v>
      </c>
      <c r="DU120" s="83">
        <f t="shared" ca="1" si="342"/>
        <v>0</v>
      </c>
      <c r="DV120" s="91">
        <f t="shared" ca="1" si="343"/>
        <v>0</v>
      </c>
      <c r="DW120" s="57"/>
      <c r="DX120" s="80">
        <f ca="1"/>
        <v>0</v>
      </c>
      <c r="DY120" s="80"/>
      <c r="DZ120" s="80">
        <f ca="1"/>
        <v>0</v>
      </c>
      <c r="FR120" s="82">
        <f>FR116+1</f>
        <v>27</v>
      </c>
      <c r="FS120" s="61">
        <v>0</v>
      </c>
      <c r="FT120" s="69">
        <f>INDEX(AF16:AF115,MATCH(GF120,A16:A115,0))</f>
        <v>0</v>
      </c>
      <c r="FU120" s="61">
        <v>0</v>
      </c>
      <c r="FV120" s="69">
        <f>FT120</f>
        <v>0</v>
      </c>
      <c r="FW120" s="69">
        <v>0</v>
      </c>
      <c r="FX120" s="70">
        <f>FV120</f>
        <v>0</v>
      </c>
      <c r="FY120" s="82">
        <f>FY116+1</f>
        <v>27</v>
      </c>
      <c r="FZ120" s="61">
        <v>0</v>
      </c>
      <c r="GA120" s="69">
        <f>FT120</f>
        <v>0</v>
      </c>
      <c r="GB120" s="108">
        <v>0</v>
      </c>
      <c r="GC120" s="109">
        <f t="shared" si="401"/>
        <v>0</v>
      </c>
      <c r="GD120" s="61">
        <v>0</v>
      </c>
      <c r="GE120" s="110">
        <f>GC120</f>
        <v>0</v>
      </c>
      <c r="GF120" s="84">
        <f>GF116+1</f>
        <v>27</v>
      </c>
      <c r="GG120" s="111">
        <v>0</v>
      </c>
      <c r="GH120" s="85">
        <f>FT120</f>
        <v>0</v>
      </c>
      <c r="GI120" s="112">
        <v>0</v>
      </c>
      <c r="GJ120" s="112">
        <f t="shared" si="402"/>
        <v>0</v>
      </c>
      <c r="GK120" s="112">
        <v>0</v>
      </c>
      <c r="GL120" s="112">
        <f t="shared" si="403"/>
        <v>0</v>
      </c>
      <c r="GM120" s="117">
        <f>GM116+1</f>
        <v>27</v>
      </c>
      <c r="GN120" s="69">
        <f t="shared" si="424"/>
        <v>0</v>
      </c>
      <c r="GO120" s="113"/>
      <c r="GP120" s="113"/>
      <c r="GQ120" s="113"/>
      <c r="GR120" s="113"/>
      <c r="GS120" s="113"/>
      <c r="GT120" s="113"/>
      <c r="GU120" s="113"/>
      <c r="HO120" s="57"/>
      <c r="HP120" s="57"/>
      <c r="HQ120" s="57"/>
      <c r="HR120" s="57"/>
      <c r="HS120" s="57"/>
      <c r="HT120" s="57"/>
      <c r="HU120" s="57"/>
      <c r="HV120" s="57"/>
      <c r="HW120" s="57">
        <f>HW119</f>
        <v>1</v>
      </c>
      <c r="HX120" s="57">
        <f>HX119</f>
        <v>0</v>
      </c>
      <c r="HY120" s="57">
        <f t="shared" si="446"/>
        <v>0</v>
      </c>
      <c r="HZ120" s="57">
        <f t="shared" si="446"/>
        <v>0</v>
      </c>
      <c r="IA120" s="57"/>
      <c r="IB120" s="84">
        <f>IF(IC127&gt;0,20000,-(HZ120-HX120)/(HY120-HW120))</f>
        <v>0</v>
      </c>
      <c r="IC120" s="84">
        <f>(HY120*IB120)+HZ120</f>
        <v>0</v>
      </c>
      <c r="ID120" s="84">
        <f>IB120-IB127</f>
        <v>0</v>
      </c>
      <c r="IE120" s="84">
        <f>IC120-IC127</f>
        <v>0</v>
      </c>
      <c r="IF120" s="84">
        <f t="shared" si="447"/>
        <v>0</v>
      </c>
      <c r="IG120" s="57" t="e">
        <f ca="1">IF(IF120=MIN(IF119:IF125),1,0)</f>
        <v>#DIV/0!</v>
      </c>
      <c r="IH120" s="84">
        <f t="shared" si="448"/>
        <v>0</v>
      </c>
      <c r="II120" s="57"/>
      <c r="IJ120" s="57"/>
      <c r="IK120" s="57"/>
      <c r="IL120" s="57"/>
      <c r="IM120" s="58"/>
      <c r="IN120" s="57"/>
      <c r="IO120" s="57"/>
      <c r="IP120" s="57"/>
    </row>
    <row r="121" spans="1:250" x14ac:dyDescent="0.3">
      <c r="A121" s="169"/>
      <c r="B121" s="139"/>
      <c r="C121" s="139"/>
      <c r="D121" s="139"/>
      <c r="E121" s="139"/>
      <c r="F121" s="139"/>
      <c r="G121" s="139"/>
      <c r="H121" s="139"/>
      <c r="I121" s="139"/>
      <c r="J121" s="139"/>
      <c r="K121" s="169"/>
      <c r="AC121" s="135"/>
      <c r="AD121" s="135"/>
      <c r="AE121" s="44"/>
      <c r="AF121" s="44"/>
      <c r="AG121" s="44"/>
      <c r="AH121" s="44"/>
      <c r="AI121" s="36"/>
      <c r="AJ121" s="36"/>
      <c r="AK121" s="36"/>
      <c r="AL121" s="36"/>
      <c r="AM121" s="36"/>
      <c r="AN121" s="36"/>
      <c r="AO121" s="36"/>
      <c r="CR121" s="44"/>
      <c r="CS121" s="44"/>
      <c r="CT121" s="44"/>
      <c r="CU121" s="48"/>
      <c r="CV121" s="142"/>
      <c r="CW121" s="44"/>
      <c r="CX121" s="83"/>
      <c r="CY121" s="83"/>
      <c r="CZ121" s="83"/>
      <c r="DA121" s="44"/>
      <c r="DB121" s="143"/>
      <c r="DC121" s="44"/>
      <c r="DD121" s="44"/>
      <c r="DE121" s="44"/>
      <c r="DF121" s="44"/>
      <c r="DG121" s="44"/>
      <c r="DH121" s="44"/>
      <c r="DI121" s="75"/>
      <c r="DJ121" s="57"/>
      <c r="DK121" s="57"/>
      <c r="DL121" s="57"/>
      <c r="DM121" s="87"/>
      <c r="DN121" s="99"/>
      <c r="DO121" s="57"/>
      <c r="DP121" s="57"/>
      <c r="DQ121" s="87"/>
      <c r="DR121" s="99"/>
      <c r="DS121" s="44"/>
      <c r="DT121" s="83"/>
      <c r="DU121" s="83"/>
      <c r="DV121" s="83"/>
      <c r="DW121" s="44"/>
      <c r="DX121" s="144"/>
      <c r="DY121" s="144"/>
      <c r="DZ121" s="144"/>
      <c r="FR121" s="82"/>
      <c r="FS121" s="69">
        <f ca="1">INDEX(EB16:EB115,MATCH(GF120,A16:A115,0))</f>
        <v>0</v>
      </c>
      <c r="FT121" s="69">
        <f>FT120</f>
        <v>0</v>
      </c>
      <c r="FU121" s="69">
        <f ca="1">INDEX(EC16:EC115,MATCH(GF120,A16:A115,0))</f>
        <v>0</v>
      </c>
      <c r="FV121" s="69">
        <f t="shared" ref="FV121:FV123" si="449">FT121</f>
        <v>0</v>
      </c>
      <c r="FW121" s="69">
        <f ca="1">INDEX(ED16:ED115,MATCH(GF120,A16:A115,0))</f>
        <v>0</v>
      </c>
      <c r="FX121" s="70">
        <f t="shared" ref="FX121:FX123" si="450">FV121</f>
        <v>0</v>
      </c>
      <c r="FY121" s="82"/>
      <c r="FZ121" s="101">
        <f ca="1">INDEX(EE16:EE115,MATCH(GF120,A16:A115,0))</f>
        <v>0</v>
      </c>
      <c r="GA121" s="69">
        <f>GA120</f>
        <v>0</v>
      </c>
      <c r="GB121" s="61">
        <f ca="1">INDEX(EG16:EG115,MATCH(GF120,A16:A115,0))</f>
        <v>0</v>
      </c>
      <c r="GC121" s="109">
        <f t="shared" si="401"/>
        <v>0</v>
      </c>
      <c r="GD121" s="69">
        <f ca="1">INDEX(EI16:EI115,MATCH(GF120,A16:A115,0))</f>
        <v>0</v>
      </c>
      <c r="GE121" s="110">
        <f t="shared" ref="GE121:GE123" si="451">GC121</f>
        <v>0</v>
      </c>
      <c r="GF121" s="84"/>
      <c r="GG121" s="111">
        <f ca="1">FS121+FZ121</f>
        <v>0</v>
      </c>
      <c r="GH121" s="85">
        <f>GH120</f>
        <v>0</v>
      </c>
      <c r="GI121" s="111">
        <f ca="1">FU121+GB121</f>
        <v>0</v>
      </c>
      <c r="GJ121" s="112">
        <f t="shared" si="402"/>
        <v>0</v>
      </c>
      <c r="GK121" s="111">
        <f ca="1">FW121+GD121</f>
        <v>0</v>
      </c>
      <c r="GL121" s="112">
        <f t="shared" si="403"/>
        <v>0</v>
      </c>
      <c r="GN121" s="69">
        <f t="shared" si="424"/>
        <v>0</v>
      </c>
      <c r="GO121" s="113" t="e">
        <f ca="1">INDEX(FJ16:FJ115,MATCH(GM120,A16:A115,0))</f>
        <v>#DIV/0!</v>
      </c>
      <c r="GP121" s="113" t="e">
        <f ca="1">INDEX(FK16:FK115,MATCH(GM120,A16:A115,0))</f>
        <v>#DIV/0!</v>
      </c>
      <c r="GQ121" s="113" t="e">
        <f ca="1">INDEX(FL16:FL115,MATCH(GM120,A16:A115,0))</f>
        <v>#DIV/0!</v>
      </c>
      <c r="GR121" s="113" t="e">
        <f ca="1">INDEX(FM16:FM115,MATCH(GM120,A16:A115,0))</f>
        <v>#DIV/0!</v>
      </c>
      <c r="GS121" s="113" t="e">
        <f ca="1">INDEX(FN16:FN115,MATCH(GM120,A16:A115,0))</f>
        <v>#DIV/0!</v>
      </c>
      <c r="GT121" s="113" t="e">
        <f ca="1">INDEX(FO16:FO115,MATCH(GM120,A16:A115,0))</f>
        <v>#DIV/0!</v>
      </c>
      <c r="GU121" s="113" t="e">
        <f ca="1">INDEX(FP16:FP115,MATCH(GM120,A16:A115,0))</f>
        <v>#DIV/0!</v>
      </c>
      <c r="HO121" s="57"/>
      <c r="HP121" s="57"/>
      <c r="HQ121" s="57"/>
      <c r="HR121" s="57"/>
      <c r="HS121" s="57"/>
      <c r="HT121" s="57"/>
      <c r="HU121" s="57"/>
      <c r="HV121" s="57"/>
      <c r="HW121" s="57">
        <f>HW119</f>
        <v>1</v>
      </c>
      <c r="HX121" s="57">
        <f>HX119</f>
        <v>0</v>
      </c>
      <c r="HY121" s="57">
        <f t="shared" si="446"/>
        <v>0</v>
      </c>
      <c r="HZ121" s="57">
        <f t="shared" si="446"/>
        <v>0</v>
      </c>
      <c r="IA121" s="57"/>
      <c r="IB121" s="84">
        <f>IF(IC127&gt;0,20000,-(HZ121-HX121)/(HY121-HW121))</f>
        <v>0</v>
      </c>
      <c r="IC121" s="84">
        <f>(HY121*IB121)+HZ121</f>
        <v>0</v>
      </c>
      <c r="ID121" s="84">
        <f>IB121-IB127</f>
        <v>0</v>
      </c>
      <c r="IE121" s="84">
        <f>IC121-IC127</f>
        <v>0</v>
      </c>
      <c r="IF121" s="84">
        <f t="shared" si="447"/>
        <v>0</v>
      </c>
      <c r="IG121" s="57" t="e">
        <f ca="1">IF(IF121=MIN(IF119:IF125),1,0)</f>
        <v>#DIV/0!</v>
      </c>
      <c r="IH121" s="84">
        <f t="shared" si="448"/>
        <v>0</v>
      </c>
      <c r="II121" s="57"/>
      <c r="IJ121" s="57"/>
      <c r="IK121" s="57"/>
      <c r="IL121" s="57"/>
      <c r="IM121" s="58"/>
      <c r="IN121" s="57"/>
      <c r="IO121" s="57"/>
      <c r="IP121" s="57"/>
    </row>
    <row r="122" spans="1:250" x14ac:dyDescent="0.3">
      <c r="A122" s="139"/>
      <c r="B122" s="169"/>
      <c r="C122" s="139"/>
      <c r="D122" s="139"/>
      <c r="E122" s="139"/>
      <c r="F122" s="139"/>
      <c r="G122" s="139"/>
      <c r="H122" s="139"/>
      <c r="I122" s="139"/>
      <c r="J122" s="139"/>
      <c r="K122" s="139"/>
      <c r="AC122" s="135"/>
      <c r="AD122" s="135"/>
      <c r="AE122" s="44"/>
      <c r="AF122" s="44"/>
      <c r="AG122" s="44"/>
      <c r="AH122" s="44"/>
      <c r="AI122" s="36"/>
      <c r="AJ122" s="36"/>
      <c r="AK122" s="36"/>
      <c r="AL122" s="36"/>
      <c r="AM122" s="36"/>
      <c r="AN122" s="36"/>
      <c r="AO122" s="36"/>
      <c r="CR122" s="44"/>
      <c r="CS122" s="44"/>
      <c r="CT122" s="44"/>
      <c r="CU122" s="48"/>
      <c r="CV122" s="142"/>
      <c r="CW122" s="44"/>
      <c r="CX122" s="83"/>
      <c r="CY122" s="83"/>
      <c r="CZ122" s="83"/>
      <c r="DA122" s="44"/>
      <c r="DB122" s="143"/>
      <c r="DC122" s="44"/>
      <c r="DD122" s="44"/>
      <c r="DE122" s="44"/>
      <c r="DF122" s="44"/>
      <c r="DG122" s="44"/>
      <c r="DH122" s="44"/>
      <c r="DI122" s="75"/>
      <c r="DJ122" s="57"/>
      <c r="DK122" s="57"/>
      <c r="DL122" s="57"/>
      <c r="DM122" s="87"/>
      <c r="DN122" s="99"/>
      <c r="DO122" s="57"/>
      <c r="DP122" s="57"/>
      <c r="DQ122" s="87"/>
      <c r="DR122" s="99"/>
      <c r="DS122" s="44"/>
      <c r="DT122" s="83"/>
      <c r="DU122" s="83"/>
      <c r="DV122" s="83"/>
      <c r="DW122" s="44"/>
      <c r="DX122" s="144"/>
      <c r="DY122" s="144"/>
      <c r="DZ122" s="144"/>
      <c r="FR122" s="82"/>
      <c r="FS122" s="69">
        <f ca="1">FS121</f>
        <v>0</v>
      </c>
      <c r="FT122" s="69">
        <f>INDEX(AE16:AE115,MATCH(GF120,A16:A115,0))</f>
        <v>0</v>
      </c>
      <c r="FU122" s="69">
        <f ca="1">FU121</f>
        <v>0</v>
      </c>
      <c r="FV122" s="69">
        <f t="shared" si="449"/>
        <v>0</v>
      </c>
      <c r="FW122" s="69">
        <f ca="1">FW121</f>
        <v>0</v>
      </c>
      <c r="FX122" s="70">
        <f t="shared" si="450"/>
        <v>0</v>
      </c>
      <c r="FY122" s="82"/>
      <c r="FZ122" s="101">
        <f ca="1">INDEX(EF16:EF115,MATCH(GF120,A16:A115,0))</f>
        <v>0</v>
      </c>
      <c r="GA122" s="69">
        <f>FT122</f>
        <v>0</v>
      </c>
      <c r="GB122" s="61">
        <f ca="1">INDEX(EH16:EH115,MATCH(GF120,A16:A115,0))</f>
        <v>0</v>
      </c>
      <c r="GC122" s="109">
        <f t="shared" si="401"/>
        <v>0</v>
      </c>
      <c r="GD122" s="69">
        <f ca="1">INDEX(EJ16:EJ115,MATCH(GF120,A16:A115,0))</f>
        <v>0</v>
      </c>
      <c r="GE122" s="110">
        <f t="shared" si="451"/>
        <v>0</v>
      </c>
      <c r="GF122" s="84"/>
      <c r="GG122" s="111">
        <f ca="1">FS122+FZ122</f>
        <v>0</v>
      </c>
      <c r="GH122" s="85">
        <f>FT122</f>
        <v>0</v>
      </c>
      <c r="GI122" s="111">
        <f ca="1">FU122+GB122</f>
        <v>0</v>
      </c>
      <c r="GJ122" s="112">
        <f t="shared" si="402"/>
        <v>0</v>
      </c>
      <c r="GK122" s="111">
        <f ca="1">FW122+GD122</f>
        <v>0</v>
      </c>
      <c r="GL122" s="112">
        <f t="shared" si="403"/>
        <v>0</v>
      </c>
      <c r="GN122" s="69">
        <f t="shared" si="424"/>
        <v>0</v>
      </c>
      <c r="GO122" s="113" t="e">
        <f ca="1">GO121</f>
        <v>#DIV/0!</v>
      </c>
      <c r="GP122" s="113" t="e">
        <f t="shared" ref="GP122" ca="1" si="452">GP121</f>
        <v>#DIV/0!</v>
      </c>
      <c r="GQ122" s="113" t="e">
        <f t="shared" ref="GQ122" ca="1" si="453">GQ121</f>
        <v>#DIV/0!</v>
      </c>
      <c r="GR122" s="113" t="e">
        <f t="shared" ref="GR122" ca="1" si="454">GR121</f>
        <v>#DIV/0!</v>
      </c>
      <c r="GS122" s="113" t="e">
        <f t="shared" ref="GS122" ca="1" si="455">GS121</f>
        <v>#DIV/0!</v>
      </c>
      <c r="GT122" s="113" t="e">
        <f t="shared" ref="GT122" ca="1" si="456">GT121</f>
        <v>#DIV/0!</v>
      </c>
      <c r="GU122" s="113" t="e">
        <f t="shared" ref="GU122" ca="1" si="457">GU121</f>
        <v>#DIV/0!</v>
      </c>
      <c r="HO122" s="57"/>
      <c r="HP122" s="57"/>
      <c r="HQ122" s="57"/>
      <c r="HR122" s="57"/>
      <c r="HS122" s="57"/>
      <c r="HT122" s="57"/>
      <c r="HU122" s="57"/>
      <c r="HV122" s="57"/>
      <c r="HW122" s="57">
        <f>HW119</f>
        <v>1</v>
      </c>
      <c r="HX122" s="57">
        <f>HX119</f>
        <v>0</v>
      </c>
      <c r="HY122" s="57">
        <f t="shared" si="446"/>
        <v>1</v>
      </c>
      <c r="HZ122" s="57">
        <f t="shared" si="446"/>
        <v>0</v>
      </c>
      <c r="IA122" s="57"/>
      <c r="IB122" s="84">
        <f>IF(IB127&gt;0,20000,AD116)</f>
        <v>0</v>
      </c>
      <c r="IC122" s="84">
        <f>(HW122*IB122)+HX122</f>
        <v>0</v>
      </c>
      <c r="ID122" s="84">
        <f>IB122-IB127</f>
        <v>0</v>
      </c>
      <c r="IE122" s="84">
        <f>IC122-IC127</f>
        <v>0</v>
      </c>
      <c r="IF122" s="84">
        <f t="shared" si="447"/>
        <v>0</v>
      </c>
      <c r="IG122" s="57" t="e">
        <f ca="1">IF(IF122=MIN(IF119:IF125),1,0)</f>
        <v>#DIV/0!</v>
      </c>
      <c r="IH122" s="84">
        <f t="shared" si="448"/>
        <v>0</v>
      </c>
      <c r="II122" s="57"/>
      <c r="IJ122" s="57"/>
      <c r="IK122" s="57"/>
      <c r="IL122" s="57"/>
      <c r="IM122" s="58"/>
      <c r="IN122" s="57"/>
      <c r="IO122" s="57"/>
      <c r="IP122" s="57"/>
    </row>
    <row r="123" spans="1:250" x14ac:dyDescent="0.3">
      <c r="A123" s="169"/>
      <c r="B123" s="145"/>
      <c r="C123" s="146"/>
      <c r="D123" s="139"/>
      <c r="E123" s="145"/>
      <c r="F123" s="146"/>
      <c r="G123" s="139"/>
      <c r="H123" s="139"/>
      <c r="I123" s="139"/>
      <c r="J123" s="139"/>
      <c r="K123" s="139"/>
      <c r="AC123" s="135"/>
      <c r="AD123" s="135"/>
      <c r="AE123" s="44"/>
      <c r="AF123" s="44"/>
      <c r="AG123" s="44"/>
      <c r="AH123" s="44"/>
      <c r="AI123" s="36"/>
      <c r="AJ123" s="36"/>
      <c r="AK123" s="36"/>
      <c r="AL123" s="36"/>
      <c r="AM123" s="36"/>
      <c r="AN123" s="36"/>
      <c r="AO123" s="36"/>
      <c r="CR123" s="44"/>
      <c r="CS123" s="44"/>
      <c r="CT123" s="44"/>
      <c r="CU123" s="48"/>
      <c r="CV123" s="142"/>
      <c r="CW123" s="44"/>
      <c r="CX123" s="83"/>
      <c r="CY123" s="83"/>
      <c r="CZ123" s="83"/>
      <c r="DA123" s="44"/>
      <c r="DB123" s="143"/>
      <c r="DC123" s="44"/>
      <c r="DD123" s="44"/>
      <c r="DE123" s="44"/>
      <c r="DF123" s="44"/>
      <c r="DG123" s="44"/>
      <c r="DH123" s="44"/>
      <c r="DI123" s="75"/>
      <c r="DJ123" s="57"/>
      <c r="DK123" s="57"/>
      <c r="DL123" s="57"/>
      <c r="DM123" s="87"/>
      <c r="DN123" s="99"/>
      <c r="DO123" s="57"/>
      <c r="DP123" s="57"/>
      <c r="DQ123" s="87"/>
      <c r="DR123" s="99"/>
      <c r="DS123" s="44"/>
      <c r="DT123" s="83"/>
      <c r="DU123" s="83"/>
      <c r="DV123" s="83"/>
      <c r="DW123" s="44"/>
      <c r="DX123" s="144"/>
      <c r="DY123" s="144"/>
      <c r="DZ123" s="144"/>
      <c r="FR123" s="82"/>
      <c r="FS123" s="61">
        <v>0</v>
      </c>
      <c r="FT123" s="69">
        <f>FT122</f>
        <v>0</v>
      </c>
      <c r="FU123" s="61">
        <v>0</v>
      </c>
      <c r="FV123" s="69">
        <f t="shared" si="449"/>
        <v>0</v>
      </c>
      <c r="FW123" s="69">
        <v>0</v>
      </c>
      <c r="FX123" s="70">
        <f t="shared" si="450"/>
        <v>0</v>
      </c>
      <c r="FY123" s="82"/>
      <c r="FZ123" s="61">
        <v>0</v>
      </c>
      <c r="GA123" s="69">
        <f>GA122</f>
        <v>0</v>
      </c>
      <c r="GB123" s="61">
        <v>0</v>
      </c>
      <c r="GC123" s="109">
        <f t="shared" si="401"/>
        <v>0</v>
      </c>
      <c r="GD123" s="61">
        <v>0</v>
      </c>
      <c r="GE123" s="110">
        <f t="shared" si="451"/>
        <v>0</v>
      </c>
      <c r="GF123" s="84"/>
      <c r="GG123" s="111">
        <v>0</v>
      </c>
      <c r="GH123" s="85">
        <f>GH122</f>
        <v>0</v>
      </c>
      <c r="GI123" s="112">
        <v>0</v>
      </c>
      <c r="GJ123" s="112">
        <f t="shared" si="402"/>
        <v>0</v>
      </c>
      <c r="GK123" s="112">
        <v>0</v>
      </c>
      <c r="GL123" s="112">
        <f t="shared" si="403"/>
        <v>0</v>
      </c>
      <c r="GN123" s="69">
        <f t="shared" si="424"/>
        <v>0</v>
      </c>
      <c r="GO123" s="113"/>
      <c r="GP123" s="113"/>
      <c r="GQ123" s="113"/>
      <c r="GR123" s="113"/>
      <c r="GS123" s="113"/>
      <c r="GT123" s="113"/>
      <c r="GU123" s="113"/>
      <c r="HO123" s="57"/>
      <c r="HP123" s="57"/>
      <c r="HQ123" s="57"/>
      <c r="HR123" s="57"/>
      <c r="HS123" s="57"/>
      <c r="HT123" s="57"/>
      <c r="HU123" s="57"/>
      <c r="HV123" s="57"/>
      <c r="HW123" s="57">
        <f>HW119</f>
        <v>1</v>
      </c>
      <c r="HX123" s="57">
        <f>HX119</f>
        <v>0</v>
      </c>
      <c r="HY123" s="57">
        <f t="shared" si="446"/>
        <v>0</v>
      </c>
      <c r="HZ123" s="57">
        <f t="shared" si="446"/>
        <v>0</v>
      </c>
      <c r="IA123" s="57"/>
      <c r="IB123" s="84">
        <f>IF(IB127&gt;0,20000,IF(IC127&lt;0,20000,-(HZ123-HX123)/(HY123-HW123)))</f>
        <v>0</v>
      </c>
      <c r="IC123" s="84">
        <f>(HY123*IB123)+HZ123</f>
        <v>0</v>
      </c>
      <c r="ID123" s="84">
        <f>IB123-IB127</f>
        <v>0</v>
      </c>
      <c r="IE123" s="84">
        <f>IC123-IC127</f>
        <v>0</v>
      </c>
      <c r="IF123" s="84">
        <f t="shared" si="447"/>
        <v>0</v>
      </c>
      <c r="IG123" s="57" t="e">
        <f ca="1">IF(IF123=MIN(IF119:IF125),1,0)</f>
        <v>#DIV/0!</v>
      </c>
      <c r="IH123" s="84">
        <f t="shared" si="448"/>
        <v>0</v>
      </c>
      <c r="II123" s="57"/>
      <c r="IJ123" s="57"/>
      <c r="IK123" s="57"/>
      <c r="IL123" s="57"/>
      <c r="IM123" s="58"/>
      <c r="IN123" s="57"/>
      <c r="IO123" s="57"/>
      <c r="IP123" s="57"/>
    </row>
    <row r="124" spans="1:250" x14ac:dyDescent="0.3">
      <c r="A124" s="169"/>
      <c r="B124" s="145"/>
      <c r="C124" s="146"/>
      <c r="D124" s="139"/>
      <c r="E124" s="145"/>
      <c r="F124" s="146"/>
      <c r="G124" s="139"/>
      <c r="H124" s="139"/>
      <c r="I124" s="139"/>
      <c r="J124" s="139"/>
      <c r="K124" s="139"/>
      <c r="AC124" s="135"/>
      <c r="AD124" s="135"/>
      <c r="AE124" s="44"/>
      <c r="AF124" s="44"/>
      <c r="AG124" s="44"/>
      <c r="AH124" s="44"/>
      <c r="AI124" s="44"/>
      <c r="AJ124" s="44"/>
      <c r="AK124" s="44"/>
      <c r="AL124" s="44"/>
      <c r="AM124" s="113"/>
      <c r="AN124" s="44"/>
      <c r="AO124" s="36"/>
      <c r="CR124" s="44"/>
      <c r="CS124" s="44"/>
      <c r="CT124" s="44"/>
      <c r="CU124" s="48"/>
      <c r="CV124" s="142"/>
      <c r="CW124" s="44"/>
      <c r="CX124" s="83"/>
      <c r="CY124" s="83"/>
      <c r="CZ124" s="83"/>
      <c r="DA124" s="44"/>
      <c r="DB124" s="143"/>
      <c r="DC124" s="44"/>
      <c r="DD124" s="44"/>
      <c r="DE124" s="44"/>
      <c r="DF124" s="44"/>
      <c r="DG124" s="44"/>
      <c r="DH124" s="44"/>
      <c r="DI124" s="75"/>
      <c r="DJ124" s="57"/>
      <c r="DK124" s="57"/>
      <c r="DL124" s="57"/>
      <c r="DM124" s="87"/>
      <c r="DN124" s="99"/>
      <c r="DO124" s="57"/>
      <c r="DP124" s="57"/>
      <c r="DQ124" s="87"/>
      <c r="DR124" s="99"/>
      <c r="DS124" s="44"/>
      <c r="DT124" s="83"/>
      <c r="DU124" s="83"/>
      <c r="DV124" s="83"/>
      <c r="DW124" s="44"/>
      <c r="DX124" s="144"/>
      <c r="DY124" s="144"/>
      <c r="DZ124" s="144"/>
      <c r="FR124" s="82">
        <f>FR120+1</f>
        <v>28</v>
      </c>
      <c r="FS124" s="61">
        <v>0</v>
      </c>
      <c r="FT124" s="69">
        <f>INDEX(AF16:AF115,MATCH(GF124,A16:A115,0))</f>
        <v>0</v>
      </c>
      <c r="FU124" s="61">
        <v>0</v>
      </c>
      <c r="FV124" s="69">
        <f>FT124</f>
        <v>0</v>
      </c>
      <c r="FW124" s="69">
        <v>0</v>
      </c>
      <c r="FX124" s="70">
        <f>FV124</f>
        <v>0</v>
      </c>
      <c r="FY124" s="82">
        <f>FY120+1</f>
        <v>28</v>
      </c>
      <c r="FZ124" s="61">
        <v>0</v>
      </c>
      <c r="GA124" s="69">
        <f>FT124</f>
        <v>0</v>
      </c>
      <c r="GB124" s="108">
        <v>0</v>
      </c>
      <c r="GC124" s="109">
        <f t="shared" si="401"/>
        <v>0</v>
      </c>
      <c r="GD124" s="61">
        <v>0</v>
      </c>
      <c r="GE124" s="110">
        <f>GC124</f>
        <v>0</v>
      </c>
      <c r="GF124" s="84">
        <f>GF120+1</f>
        <v>28</v>
      </c>
      <c r="GG124" s="111">
        <v>0</v>
      </c>
      <c r="GH124" s="85">
        <f>FT124</f>
        <v>0</v>
      </c>
      <c r="GI124" s="112">
        <v>0</v>
      </c>
      <c r="GJ124" s="112">
        <f t="shared" si="402"/>
        <v>0</v>
      </c>
      <c r="GK124" s="112">
        <v>0</v>
      </c>
      <c r="GL124" s="112">
        <f t="shared" si="403"/>
        <v>0</v>
      </c>
      <c r="GM124" s="117">
        <f>GM120+1</f>
        <v>28</v>
      </c>
      <c r="GN124" s="69">
        <f t="shared" si="424"/>
        <v>0</v>
      </c>
      <c r="GO124" s="113"/>
      <c r="GP124" s="113"/>
      <c r="GQ124" s="113"/>
      <c r="GR124" s="113"/>
      <c r="GS124" s="113"/>
      <c r="GT124" s="113"/>
      <c r="GU124" s="113"/>
      <c r="HO124" s="57"/>
      <c r="HP124" s="57"/>
      <c r="HQ124" s="57"/>
      <c r="HR124" s="57"/>
      <c r="HS124" s="57"/>
      <c r="HT124" s="57"/>
      <c r="HU124" s="57"/>
      <c r="HV124" s="57"/>
      <c r="HW124" s="57">
        <f>HW119</f>
        <v>1</v>
      </c>
      <c r="HX124" s="57">
        <f>HX119</f>
        <v>0</v>
      </c>
      <c r="HY124" s="57">
        <f t="shared" si="446"/>
        <v>0</v>
      </c>
      <c r="HZ124" s="57">
        <f t="shared" si="446"/>
        <v>0</v>
      </c>
      <c r="IA124" s="57"/>
      <c r="IB124" s="84">
        <f>-(HZ124-HX124)/(HY124-HW124)</f>
        <v>0</v>
      </c>
      <c r="IC124" s="84">
        <f>(HY124*IB124)+HZ124</f>
        <v>0</v>
      </c>
      <c r="ID124" s="84">
        <f>IB124-IB127</f>
        <v>0</v>
      </c>
      <c r="IE124" s="84">
        <f>IC124-IC127</f>
        <v>0</v>
      </c>
      <c r="IF124" s="84">
        <f t="shared" si="447"/>
        <v>0</v>
      </c>
      <c r="IG124" s="57" t="e">
        <f ca="1">IF(IF124=MIN(IF119:IF125),1,0)</f>
        <v>#DIV/0!</v>
      </c>
      <c r="IH124" s="84">
        <f t="shared" si="448"/>
        <v>0</v>
      </c>
      <c r="IO124" s="57"/>
      <c r="IP124" s="57"/>
    </row>
    <row r="125" spans="1:250" x14ac:dyDescent="0.3">
      <c r="A125" s="169"/>
      <c r="B125" s="145"/>
      <c r="C125" s="147"/>
      <c r="D125" s="139"/>
      <c r="E125" s="145"/>
      <c r="F125" s="147"/>
      <c r="G125" s="139"/>
      <c r="H125" s="139"/>
      <c r="I125" s="139"/>
      <c r="J125" s="139"/>
      <c r="K125" s="139"/>
      <c r="AC125" s="135"/>
      <c r="AD125" s="135"/>
      <c r="AE125" s="44"/>
      <c r="AF125" s="44"/>
      <c r="AG125" s="44"/>
      <c r="AH125" s="44"/>
      <c r="AI125" s="135"/>
      <c r="AJ125" s="135"/>
      <c r="AK125" s="44"/>
      <c r="AL125" s="44"/>
      <c r="AM125" s="107"/>
      <c r="AN125" s="44"/>
      <c r="AO125" s="36"/>
      <c r="CR125" s="44"/>
      <c r="CS125" s="44"/>
      <c r="CT125" s="44"/>
      <c r="CU125" s="48"/>
      <c r="CV125" s="142"/>
      <c r="CW125" s="44"/>
      <c r="CX125" s="83"/>
      <c r="CY125" s="83"/>
      <c r="CZ125" s="83"/>
      <c r="DA125" s="44"/>
      <c r="DB125" s="143"/>
      <c r="DC125" s="44"/>
      <c r="DD125" s="44"/>
      <c r="DE125" s="44"/>
      <c r="DF125" s="44"/>
      <c r="DG125" s="44"/>
      <c r="DH125" s="44"/>
      <c r="DI125" s="75"/>
      <c r="DJ125" s="57"/>
      <c r="DK125" s="57"/>
      <c r="DL125" s="57"/>
      <c r="DM125" s="87"/>
      <c r="DN125" s="99"/>
      <c r="DO125" s="57"/>
      <c r="DP125" s="57"/>
      <c r="DQ125" s="87"/>
      <c r="DR125" s="99"/>
      <c r="DS125" s="44"/>
      <c r="DT125" s="83"/>
      <c r="DU125" s="83"/>
      <c r="DV125" s="83"/>
      <c r="DW125" s="44"/>
      <c r="DX125" s="144"/>
      <c r="DY125" s="144"/>
      <c r="DZ125" s="144"/>
      <c r="FR125" s="82"/>
      <c r="FS125" s="69">
        <f ca="1">INDEX(EB16:EB115,MATCH(GF124,A16:A115,0))</f>
        <v>0</v>
      </c>
      <c r="FT125" s="69">
        <f>FT124</f>
        <v>0</v>
      </c>
      <c r="FU125" s="69">
        <f ca="1">INDEX(EC16:EC115,MATCH(GF124,A16:A115,0))</f>
        <v>0</v>
      </c>
      <c r="FV125" s="69">
        <f t="shared" ref="FV125:FV127" si="458">FT125</f>
        <v>0</v>
      </c>
      <c r="FW125" s="69">
        <f ca="1">INDEX(ED16:ED115,MATCH(GF124,A16:A115,0))</f>
        <v>0</v>
      </c>
      <c r="FX125" s="70">
        <f t="shared" ref="FX125:FX127" si="459">FV125</f>
        <v>0</v>
      </c>
      <c r="FY125" s="82"/>
      <c r="FZ125" s="101">
        <f ca="1">INDEX(EE16:EE115,MATCH(GF124,A16:A115,0))</f>
        <v>0</v>
      </c>
      <c r="GA125" s="69">
        <f>GA124</f>
        <v>0</v>
      </c>
      <c r="GB125" s="61">
        <f ca="1">INDEX(EG16:EG115,MATCH(GF124,A16:A115,0))</f>
        <v>0</v>
      </c>
      <c r="GC125" s="109">
        <f t="shared" si="401"/>
        <v>0</v>
      </c>
      <c r="GD125" s="69">
        <f ca="1">INDEX(EI16:EI115,MATCH(GF124,A16:A115,0))</f>
        <v>0</v>
      </c>
      <c r="GE125" s="110">
        <f t="shared" ref="GE125:GE127" si="460">GC125</f>
        <v>0</v>
      </c>
      <c r="GF125" s="84"/>
      <c r="GG125" s="111">
        <f ca="1">FS125+FZ125</f>
        <v>0</v>
      </c>
      <c r="GH125" s="85">
        <f>GH124</f>
        <v>0</v>
      </c>
      <c r="GI125" s="111">
        <f ca="1">FU125+GB125</f>
        <v>0</v>
      </c>
      <c r="GJ125" s="112">
        <f t="shared" si="402"/>
        <v>0</v>
      </c>
      <c r="GK125" s="111">
        <f ca="1">FW125+GD125</f>
        <v>0</v>
      </c>
      <c r="GL125" s="112">
        <f t="shared" si="403"/>
        <v>0</v>
      </c>
      <c r="GN125" s="69">
        <f t="shared" si="424"/>
        <v>0</v>
      </c>
      <c r="GO125" s="113" t="e">
        <f ca="1">INDEX(FJ16:FJ115,MATCH(GM124,A16:A115,0))</f>
        <v>#DIV/0!</v>
      </c>
      <c r="GP125" s="113" t="e">
        <f ca="1">INDEX(FK16:FK115,MATCH(GM124,A16:A115,0))</f>
        <v>#DIV/0!</v>
      </c>
      <c r="GQ125" s="113" t="e">
        <f ca="1">INDEX(FL16:FL115,MATCH(GM124,A16:A115,0))</f>
        <v>#DIV/0!</v>
      </c>
      <c r="GR125" s="113" t="e">
        <f ca="1">INDEX(FM16:FM115,MATCH(GM124,A16:A115,0))</f>
        <v>#DIV/0!</v>
      </c>
      <c r="GS125" s="113" t="e">
        <f ca="1">INDEX(FN16:FN115,MATCH(GM124,A16:A115,0))</f>
        <v>#DIV/0!</v>
      </c>
      <c r="GT125" s="113" t="e">
        <f ca="1">INDEX(FO16:FO115,MATCH(GM124,A16:A115,0))</f>
        <v>#DIV/0!</v>
      </c>
      <c r="GU125" s="113" t="e">
        <f ca="1">INDEX(FP16:FP115,MATCH(GM124,A16:A115,0))</f>
        <v>#DIV/0!</v>
      </c>
      <c r="HO125" s="57"/>
      <c r="HP125" s="57"/>
      <c r="HQ125" s="57"/>
      <c r="HR125" s="57"/>
      <c r="HS125" s="57"/>
      <c r="HT125" s="57"/>
      <c r="HU125" s="57"/>
      <c r="HV125" s="57"/>
      <c r="HW125" s="57"/>
      <c r="HX125" s="57"/>
      <c r="HY125" s="57"/>
      <c r="HZ125" s="57"/>
      <c r="IA125" s="57"/>
      <c r="IB125" s="57" t="e">
        <f ca="1">IF(OR(IB127&gt;0,IC127&gt;0)=TRUE,20000,(-ABS(SIN(RADIANS(HZ127))*HX127)))</f>
        <v>#DIV/0!</v>
      </c>
      <c r="IC125" s="84" t="e">
        <f ca="1">-ABS(COS(RADIANS(HZ127))*HX127)</f>
        <v>#DIV/0!</v>
      </c>
      <c r="ID125" s="84" t="e">
        <f ca="1">IB125-IB127</f>
        <v>#DIV/0!</v>
      </c>
      <c r="IE125" s="84">
        <f>IF(OR(IB127,IC127)&gt;0,10000,IC125-IC127)</f>
        <v>10000</v>
      </c>
      <c r="IF125" s="84" t="e">
        <f t="shared" ca="1" si="447"/>
        <v>#DIV/0!</v>
      </c>
      <c r="IG125" s="57" t="e">
        <f ca="1">IF(IF125=MIN(IF119:IF125),1,0)</f>
        <v>#DIV/0!</v>
      </c>
      <c r="IH125" s="84" t="e">
        <f t="shared" ca="1" si="448"/>
        <v>#DIV/0!</v>
      </c>
      <c r="IO125" s="57"/>
      <c r="IP125" s="57"/>
    </row>
    <row r="126" spans="1:250" x14ac:dyDescent="0.3">
      <c r="A126" s="169"/>
      <c r="B126" s="139"/>
      <c r="C126" s="139"/>
      <c r="D126" s="139"/>
      <c r="E126" s="169"/>
      <c r="F126" s="169"/>
      <c r="G126" s="169"/>
      <c r="H126" s="169"/>
      <c r="I126" s="169"/>
      <c r="J126" s="169"/>
      <c r="K126" s="169"/>
      <c r="AC126" s="135"/>
      <c r="AD126" s="135"/>
      <c r="AE126" s="44"/>
      <c r="AF126" s="44"/>
      <c r="AG126" s="44"/>
      <c r="AH126" s="44"/>
      <c r="AI126" s="44"/>
      <c r="AJ126" s="44"/>
      <c r="AK126" s="135"/>
      <c r="AL126" s="44"/>
      <c r="AM126" s="61"/>
      <c r="AN126" s="44"/>
      <c r="AO126" s="36"/>
      <c r="CR126" s="44"/>
      <c r="CS126" s="44"/>
      <c r="CT126" s="44"/>
      <c r="CU126" s="48"/>
      <c r="CV126" s="142"/>
      <c r="CW126" s="44"/>
      <c r="CX126" s="83"/>
      <c r="CY126" s="83"/>
      <c r="CZ126" s="83"/>
      <c r="DA126" s="44"/>
      <c r="DB126" s="143"/>
      <c r="DC126" s="44"/>
      <c r="DD126" s="44"/>
      <c r="DE126" s="44"/>
      <c r="DF126" s="44"/>
      <c r="DG126" s="44"/>
      <c r="DH126" s="44"/>
      <c r="DI126" s="75"/>
      <c r="DJ126" s="57"/>
      <c r="DK126" s="57"/>
      <c r="DL126" s="57"/>
      <c r="DM126" s="87"/>
      <c r="DN126" s="99"/>
      <c r="DO126" s="57"/>
      <c r="DP126" s="57"/>
      <c r="DQ126" s="87"/>
      <c r="DR126" s="99"/>
      <c r="DS126" s="44"/>
      <c r="DT126" s="83"/>
      <c r="DU126" s="83"/>
      <c r="DV126" s="83"/>
      <c r="DW126" s="44"/>
      <c r="DX126" s="144"/>
      <c r="DY126" s="144"/>
      <c r="DZ126" s="144"/>
      <c r="FR126" s="82"/>
      <c r="FS126" s="69">
        <f ca="1">FS125</f>
        <v>0</v>
      </c>
      <c r="FT126" s="69">
        <f>INDEX(AE16:AE115,MATCH(GF124,A16:A115,0))</f>
        <v>0</v>
      </c>
      <c r="FU126" s="69">
        <f ca="1">FU125</f>
        <v>0</v>
      </c>
      <c r="FV126" s="69">
        <f t="shared" si="458"/>
        <v>0</v>
      </c>
      <c r="FW126" s="69">
        <f ca="1">FW125</f>
        <v>0</v>
      </c>
      <c r="FX126" s="70">
        <f t="shared" si="459"/>
        <v>0</v>
      </c>
      <c r="FY126" s="82"/>
      <c r="FZ126" s="101">
        <f ca="1">INDEX(EF16:EF115,MATCH(GF124,A16:A115,0))</f>
        <v>0</v>
      </c>
      <c r="GA126" s="69">
        <f>FT126</f>
        <v>0</v>
      </c>
      <c r="GB126" s="61">
        <f ca="1">INDEX(EH16:EH115,MATCH(GF124,A16:A115,0))</f>
        <v>0</v>
      </c>
      <c r="GC126" s="109">
        <f t="shared" si="401"/>
        <v>0</v>
      </c>
      <c r="GD126" s="69">
        <f ca="1">INDEX(EJ16:EJ115,MATCH(GF124,A16:A115,0))</f>
        <v>0</v>
      </c>
      <c r="GE126" s="110">
        <f t="shared" si="460"/>
        <v>0</v>
      </c>
      <c r="GF126" s="84"/>
      <c r="GG126" s="111">
        <f ca="1">FS126+FZ126</f>
        <v>0</v>
      </c>
      <c r="GH126" s="85">
        <f>FT126</f>
        <v>0</v>
      </c>
      <c r="GI126" s="111">
        <f ca="1">FU126+GB126</f>
        <v>0</v>
      </c>
      <c r="GJ126" s="112">
        <f t="shared" si="402"/>
        <v>0</v>
      </c>
      <c r="GK126" s="111">
        <f ca="1">FW126+GD126</f>
        <v>0</v>
      </c>
      <c r="GL126" s="112">
        <f t="shared" si="403"/>
        <v>0</v>
      </c>
      <c r="GN126" s="69">
        <f t="shared" si="424"/>
        <v>0</v>
      </c>
      <c r="GO126" s="113" t="e">
        <f ca="1">GO125</f>
        <v>#DIV/0!</v>
      </c>
      <c r="GP126" s="113" t="e">
        <f t="shared" ref="GP126" ca="1" si="461">GP125</f>
        <v>#DIV/0!</v>
      </c>
      <c r="GQ126" s="113" t="e">
        <f t="shared" ref="GQ126" ca="1" si="462">GQ125</f>
        <v>#DIV/0!</v>
      </c>
      <c r="GR126" s="113" t="e">
        <f t="shared" ref="GR126" ca="1" si="463">GR125</f>
        <v>#DIV/0!</v>
      </c>
      <c r="GS126" s="113" t="e">
        <f t="shared" ref="GS126" ca="1" si="464">GS125</f>
        <v>#DIV/0!</v>
      </c>
      <c r="GT126" s="113" t="e">
        <f t="shared" ref="GT126" ca="1" si="465">GT125</f>
        <v>#DIV/0!</v>
      </c>
      <c r="GU126" s="113" t="e">
        <f t="shared" ref="GU126" ca="1" si="466">GU125</f>
        <v>#DIV/0!</v>
      </c>
      <c r="HO126" s="57"/>
      <c r="HP126" s="57"/>
      <c r="HQ126" s="57"/>
      <c r="HR126" s="57"/>
      <c r="HS126" s="57"/>
      <c r="HT126" s="57"/>
      <c r="HU126" s="57"/>
      <c r="HV126" s="57"/>
      <c r="HW126" s="57" t="s">
        <v>56</v>
      </c>
      <c r="HX126" s="57"/>
      <c r="HY126" s="57"/>
      <c r="HZ126" s="57"/>
      <c r="IA126" s="57"/>
      <c r="IB126" s="57"/>
      <c r="IC126" s="57"/>
      <c r="ID126" s="84"/>
      <c r="IE126" s="57"/>
      <c r="IF126" s="84"/>
      <c r="IG126" s="57"/>
      <c r="IH126" s="57"/>
      <c r="IO126" s="57"/>
      <c r="IP126" s="57"/>
    </row>
    <row r="127" spans="1:250" x14ac:dyDescent="0.3">
      <c r="A127" s="169"/>
      <c r="B127" s="145"/>
      <c r="C127" s="139"/>
      <c r="D127" s="139"/>
      <c r="E127" s="169"/>
      <c r="F127" s="169"/>
      <c r="G127" s="169"/>
      <c r="H127" s="169"/>
      <c r="I127" s="169"/>
      <c r="J127" s="169"/>
      <c r="K127" s="169"/>
      <c r="AC127" s="135"/>
      <c r="AD127" s="135"/>
      <c r="AE127" s="44"/>
      <c r="AF127" s="44"/>
      <c r="AG127" s="44"/>
      <c r="AH127" s="44"/>
      <c r="AI127" s="36"/>
      <c r="AJ127" s="36"/>
      <c r="AK127" s="50"/>
      <c r="AL127" s="50"/>
      <c r="AM127" s="50"/>
      <c r="AN127" s="36"/>
      <c r="AO127" s="36"/>
      <c r="CR127" s="44"/>
      <c r="CS127" s="44"/>
      <c r="CT127" s="44"/>
      <c r="CU127" s="48"/>
      <c r="CV127" s="142"/>
      <c r="CW127" s="44"/>
      <c r="CX127" s="83"/>
      <c r="CY127" s="83"/>
      <c r="CZ127" s="83"/>
      <c r="DA127" s="44"/>
      <c r="DB127" s="143"/>
      <c r="DC127" s="44"/>
      <c r="DD127" s="44"/>
      <c r="DE127" s="44"/>
      <c r="DF127" s="44"/>
      <c r="DG127" s="44"/>
      <c r="DH127" s="44"/>
      <c r="DI127" s="75"/>
      <c r="DJ127" s="57"/>
      <c r="DK127" s="57"/>
      <c r="DL127" s="57"/>
      <c r="DM127" s="87"/>
      <c r="DN127" s="99"/>
      <c r="DO127" s="57"/>
      <c r="DP127" s="57"/>
      <c r="DQ127" s="87"/>
      <c r="DR127" s="99"/>
      <c r="DS127" s="44"/>
      <c r="DT127" s="83"/>
      <c r="DU127" s="83"/>
      <c r="DV127" s="83"/>
      <c r="DW127" s="44"/>
      <c r="DX127" s="144"/>
      <c r="DY127" s="144"/>
      <c r="DZ127" s="144"/>
      <c r="FR127" s="82"/>
      <c r="FS127" s="61">
        <v>0</v>
      </c>
      <c r="FT127" s="69">
        <f>FT126</f>
        <v>0</v>
      </c>
      <c r="FU127" s="61">
        <v>0</v>
      </c>
      <c r="FV127" s="69">
        <f t="shared" si="458"/>
        <v>0</v>
      </c>
      <c r="FW127" s="69">
        <v>0</v>
      </c>
      <c r="FX127" s="70">
        <f t="shared" si="459"/>
        <v>0</v>
      </c>
      <c r="FY127" s="82"/>
      <c r="FZ127" s="61">
        <v>0</v>
      </c>
      <c r="GA127" s="69">
        <f>GA126</f>
        <v>0</v>
      </c>
      <c r="GB127" s="61">
        <v>0</v>
      </c>
      <c r="GC127" s="109">
        <f t="shared" si="401"/>
        <v>0</v>
      </c>
      <c r="GD127" s="61">
        <v>0</v>
      </c>
      <c r="GE127" s="110">
        <f t="shared" si="460"/>
        <v>0</v>
      </c>
      <c r="GF127" s="84"/>
      <c r="GG127" s="111">
        <v>0</v>
      </c>
      <c r="GH127" s="85">
        <f>GH126</f>
        <v>0</v>
      </c>
      <c r="GI127" s="112">
        <v>0</v>
      </c>
      <c r="GJ127" s="112">
        <f t="shared" si="402"/>
        <v>0</v>
      </c>
      <c r="GK127" s="112">
        <v>0</v>
      </c>
      <c r="GL127" s="112">
        <f t="shared" si="403"/>
        <v>0</v>
      </c>
      <c r="GN127" s="69">
        <f t="shared" si="424"/>
        <v>0</v>
      </c>
      <c r="GO127" s="113"/>
      <c r="GP127" s="113"/>
      <c r="GQ127" s="113"/>
      <c r="GR127" s="113"/>
      <c r="GS127" s="113"/>
      <c r="GT127" s="113"/>
      <c r="GU127" s="113"/>
      <c r="HO127" s="57"/>
      <c r="HP127" s="57"/>
      <c r="HQ127" s="57"/>
      <c r="HR127" s="57"/>
      <c r="HS127" s="57"/>
      <c r="HT127" s="57"/>
      <c r="HU127" s="57"/>
      <c r="HV127" s="57"/>
      <c r="HW127" s="57" t="s">
        <v>57</v>
      </c>
      <c r="HX127" s="57">
        <f ca="1">HX109</f>
        <v>3000</v>
      </c>
      <c r="HY127" s="57"/>
      <c r="HZ127" s="57" t="e">
        <f>DEGREES(ATAN(IA15/IB15))</f>
        <v>#DIV/0!</v>
      </c>
      <c r="IA127" s="57"/>
      <c r="IB127" s="88">
        <f>IA15</f>
        <v>0</v>
      </c>
      <c r="IC127" s="88">
        <f>IB15</f>
        <v>0</v>
      </c>
      <c r="ID127" s="84">
        <f>(IB127^2+IC127^2)^0.5</f>
        <v>0</v>
      </c>
      <c r="IE127" s="57"/>
      <c r="IF127" s="84">
        <f>(AI129^2+AJ129^2)^0.5</f>
        <v>0</v>
      </c>
      <c r="IG127" s="57"/>
      <c r="IH127" s="57"/>
      <c r="II127" s="57"/>
      <c r="IJ127" s="57"/>
      <c r="IK127" s="57"/>
      <c r="IL127" s="57"/>
      <c r="IM127" s="58"/>
      <c r="IN127" s="57"/>
      <c r="IO127" s="57"/>
      <c r="IP127" s="57"/>
    </row>
    <row r="128" spans="1:250" x14ac:dyDescent="0.3">
      <c r="A128" s="169"/>
      <c r="B128" s="139"/>
      <c r="C128" s="139"/>
      <c r="D128" s="139"/>
      <c r="E128" s="169"/>
      <c r="F128" s="169"/>
      <c r="G128" s="169"/>
      <c r="H128" s="169"/>
      <c r="I128" s="169"/>
      <c r="J128" s="169"/>
      <c r="K128" s="169"/>
      <c r="AC128" s="135"/>
      <c r="AD128" s="135"/>
      <c r="AE128" s="44"/>
      <c r="AF128" s="44"/>
      <c r="AG128" s="44"/>
      <c r="AH128" s="44"/>
      <c r="AI128" s="44"/>
      <c r="AJ128" s="44"/>
      <c r="AK128" s="44"/>
      <c r="AL128" s="44"/>
      <c r="AM128" s="113"/>
      <c r="AN128" s="44"/>
      <c r="AO128" s="36"/>
      <c r="CR128" s="44"/>
      <c r="CS128" s="44"/>
      <c r="CT128" s="44"/>
      <c r="CU128" s="48"/>
      <c r="CV128" s="142"/>
      <c r="CW128" s="44"/>
      <c r="CX128" s="83"/>
      <c r="CY128" s="83"/>
      <c r="CZ128" s="83"/>
      <c r="DA128" s="44"/>
      <c r="DB128" s="143"/>
      <c r="DC128" s="44"/>
      <c r="DD128" s="44"/>
      <c r="DE128" s="44"/>
      <c r="DF128" s="44"/>
      <c r="DG128" s="44"/>
      <c r="DH128" s="44"/>
      <c r="DI128" s="75"/>
      <c r="DJ128" s="57"/>
      <c r="DK128" s="57"/>
      <c r="DL128" s="57"/>
      <c r="DM128" s="87"/>
      <c r="DN128" s="99"/>
      <c r="DO128" s="57"/>
      <c r="DP128" s="57"/>
      <c r="DQ128" s="87"/>
      <c r="DR128" s="99"/>
      <c r="DS128" s="44"/>
      <c r="DT128" s="83"/>
      <c r="DU128" s="83"/>
      <c r="DV128" s="83"/>
      <c r="DW128" s="44"/>
      <c r="DX128" s="144"/>
      <c r="DY128" s="144"/>
      <c r="DZ128" s="144"/>
      <c r="FR128" s="82">
        <f>FR124+1</f>
        <v>29</v>
      </c>
      <c r="FS128" s="61">
        <v>0</v>
      </c>
      <c r="FT128" s="69">
        <f>INDEX(AF16:AF115,MATCH(GF128,A16:A115,0))</f>
        <v>0</v>
      </c>
      <c r="FU128" s="61">
        <v>0</v>
      </c>
      <c r="FV128" s="69">
        <f>FT128</f>
        <v>0</v>
      </c>
      <c r="FW128" s="69">
        <v>0</v>
      </c>
      <c r="FX128" s="70">
        <f>FV128</f>
        <v>0</v>
      </c>
      <c r="FY128" s="82">
        <f>FY124+1</f>
        <v>29</v>
      </c>
      <c r="FZ128" s="61">
        <v>0</v>
      </c>
      <c r="GA128" s="69">
        <f>FT128</f>
        <v>0</v>
      </c>
      <c r="GB128" s="108">
        <v>0</v>
      </c>
      <c r="GC128" s="109">
        <f t="shared" si="401"/>
        <v>0</v>
      </c>
      <c r="GD128" s="61">
        <v>0</v>
      </c>
      <c r="GE128" s="110">
        <f>GC128</f>
        <v>0</v>
      </c>
      <c r="GF128" s="84">
        <f>GF124+1</f>
        <v>29</v>
      </c>
      <c r="GG128" s="111">
        <v>0</v>
      </c>
      <c r="GH128" s="85">
        <f>FT128</f>
        <v>0</v>
      </c>
      <c r="GI128" s="112">
        <v>0</v>
      </c>
      <c r="GJ128" s="112">
        <f t="shared" si="402"/>
        <v>0</v>
      </c>
      <c r="GK128" s="112">
        <v>0</v>
      </c>
      <c r="GL128" s="112">
        <f t="shared" si="403"/>
        <v>0</v>
      </c>
      <c r="GM128" s="117">
        <f>GM124+1</f>
        <v>29</v>
      </c>
      <c r="GN128" s="69">
        <f t="shared" si="424"/>
        <v>0</v>
      </c>
      <c r="GO128" s="113"/>
      <c r="GP128" s="113"/>
      <c r="GQ128" s="113"/>
      <c r="GR128" s="113"/>
      <c r="GS128" s="113"/>
      <c r="GT128" s="113"/>
      <c r="GU128" s="113"/>
      <c r="HO128" s="57"/>
      <c r="HP128" s="57"/>
      <c r="HQ128" s="57"/>
      <c r="HR128" s="57"/>
      <c r="HS128" s="57"/>
      <c r="HT128" s="57"/>
      <c r="HU128" s="57"/>
      <c r="HV128" s="57"/>
      <c r="HW128" s="57" t="s">
        <v>58</v>
      </c>
      <c r="HX128" s="88">
        <f>HW119</f>
        <v>1</v>
      </c>
      <c r="HY128" s="57"/>
      <c r="HZ128" s="57"/>
      <c r="IA128" s="57"/>
      <c r="IB128" s="57"/>
      <c r="IC128" s="57"/>
      <c r="ID128" s="57"/>
      <c r="IE128" s="57"/>
      <c r="IF128" s="57"/>
      <c r="IG128" s="57"/>
      <c r="IH128" s="57"/>
      <c r="II128" s="57"/>
      <c r="IJ128" s="57"/>
      <c r="IK128" s="57"/>
      <c r="IL128" s="57"/>
      <c r="IM128" s="57"/>
      <c r="IN128" s="57"/>
      <c r="IO128" s="57"/>
      <c r="IP128" s="57"/>
    </row>
    <row r="129" spans="1:250" x14ac:dyDescent="0.3">
      <c r="A129" s="169"/>
      <c r="B129" s="139"/>
      <c r="C129" s="139"/>
      <c r="D129" s="139"/>
      <c r="E129" s="169"/>
      <c r="F129" s="169"/>
      <c r="G129" s="169"/>
      <c r="H129" s="169"/>
      <c r="I129" s="169"/>
      <c r="J129" s="169"/>
      <c r="K129" s="169"/>
      <c r="AB129" s="36"/>
      <c r="AC129" s="135"/>
      <c r="AD129" s="135"/>
      <c r="AE129" s="44"/>
      <c r="AF129" s="44"/>
      <c r="AG129" s="44"/>
      <c r="AH129" s="44"/>
      <c r="AI129" s="135"/>
      <c r="AJ129" s="135"/>
      <c r="AK129" s="44"/>
      <c r="AL129" s="44"/>
      <c r="AM129" s="107"/>
      <c r="AN129" s="44"/>
      <c r="AO129" s="36"/>
      <c r="CR129" s="44"/>
      <c r="CS129" s="44"/>
      <c r="CT129" s="44"/>
      <c r="CU129" s="48"/>
      <c r="CV129" s="142"/>
      <c r="CW129" s="44"/>
      <c r="CX129" s="83"/>
      <c r="CY129" s="83"/>
      <c r="CZ129" s="83"/>
      <c r="DA129" s="44"/>
      <c r="DB129" s="143"/>
      <c r="DC129" s="44"/>
      <c r="DD129" s="44"/>
      <c r="DE129" s="44"/>
      <c r="DF129" s="44"/>
      <c r="DG129" s="44"/>
      <c r="DH129" s="44"/>
      <c r="DI129" s="75"/>
      <c r="DJ129" s="57"/>
      <c r="DK129" s="57"/>
      <c r="DL129" s="57"/>
      <c r="DM129" s="87"/>
      <c r="DN129" s="99"/>
      <c r="DO129" s="57"/>
      <c r="DP129" s="57"/>
      <c r="DQ129" s="87"/>
      <c r="DR129" s="99"/>
      <c r="DS129" s="44"/>
      <c r="DT129" s="83"/>
      <c r="DU129" s="83"/>
      <c r="DV129" s="83"/>
      <c r="DW129" s="44"/>
      <c r="DX129" s="144"/>
      <c r="DY129" s="144"/>
      <c r="DZ129" s="144"/>
      <c r="FR129" s="82"/>
      <c r="FS129" s="69">
        <f ca="1">INDEX(EB16:EB115,MATCH(GF128,A16:A115,0))</f>
        <v>0</v>
      </c>
      <c r="FT129" s="69">
        <f>FT128</f>
        <v>0</v>
      </c>
      <c r="FU129" s="69">
        <f ca="1">INDEX(EC16:EC115,MATCH(GF128,A16:A115,0))</f>
        <v>0</v>
      </c>
      <c r="FV129" s="69">
        <f t="shared" ref="FV129:FV131" si="467">FT129</f>
        <v>0</v>
      </c>
      <c r="FW129" s="69">
        <f ca="1">INDEX(ED16:ED115,MATCH(GF128,A16:A115,0))</f>
        <v>0</v>
      </c>
      <c r="FX129" s="70">
        <f t="shared" ref="FX129:FX131" si="468">FV129</f>
        <v>0</v>
      </c>
      <c r="FY129" s="82"/>
      <c r="FZ129" s="101">
        <f ca="1">INDEX(EE16:EE115,MATCH(GF128,A16:A115,0))</f>
        <v>0</v>
      </c>
      <c r="GA129" s="69">
        <f>GA128</f>
        <v>0</v>
      </c>
      <c r="GB129" s="61">
        <f ca="1">INDEX(EG16:EG115,MATCH(GF128,A16:A115,0))</f>
        <v>0</v>
      </c>
      <c r="GC129" s="109">
        <f t="shared" si="401"/>
        <v>0</v>
      </c>
      <c r="GD129" s="69">
        <f ca="1">INDEX(EI16:EI115,MATCH(GF128,A16:A115,0))</f>
        <v>0</v>
      </c>
      <c r="GE129" s="110">
        <f t="shared" ref="GE129:GE131" si="469">GC129</f>
        <v>0</v>
      </c>
      <c r="GF129" s="84"/>
      <c r="GG129" s="111">
        <f ca="1">FS129+FZ129</f>
        <v>0</v>
      </c>
      <c r="GH129" s="85">
        <f>GH128</f>
        <v>0</v>
      </c>
      <c r="GI129" s="111">
        <f ca="1">FU129+GB129</f>
        <v>0</v>
      </c>
      <c r="GJ129" s="112">
        <f t="shared" si="402"/>
        <v>0</v>
      </c>
      <c r="GK129" s="111">
        <f ca="1">FW129+GD129</f>
        <v>0</v>
      </c>
      <c r="GL129" s="112">
        <f t="shared" si="403"/>
        <v>0</v>
      </c>
      <c r="GN129" s="69">
        <f t="shared" si="424"/>
        <v>0</v>
      </c>
      <c r="GO129" s="113" t="e">
        <f ca="1">INDEX(FJ16:FJ115,MATCH(GM128,A16:A115,0))</f>
        <v>#DIV/0!</v>
      </c>
      <c r="GP129" s="113" t="e">
        <f ca="1">INDEX(FK16:FK115,MATCH(GM128,A16:A115,0))</f>
        <v>#DIV/0!</v>
      </c>
      <c r="GQ129" s="113" t="e">
        <f ca="1">INDEX(FL16:FL115,MATCH(GM128,A16:A115,0))</f>
        <v>#DIV/0!</v>
      </c>
      <c r="GR129" s="113" t="e">
        <f ca="1">INDEX(FM16:FM115,MATCH(GM128,A16:A115,0))</f>
        <v>#DIV/0!</v>
      </c>
      <c r="GS129" s="113" t="e">
        <f ca="1">INDEX(FN16:FN115,MATCH(GM128,A16:A115,0))</f>
        <v>#DIV/0!</v>
      </c>
      <c r="GT129" s="113" t="e">
        <f ca="1">INDEX(FO16:FO115,MATCH(GM128,A16:A115,0))</f>
        <v>#DIV/0!</v>
      </c>
      <c r="GU129" s="113" t="e">
        <f ca="1">INDEX(FP16:FP115,MATCH(GM128,A16:A115,0))</f>
        <v>#DIV/0!</v>
      </c>
      <c r="HO129" s="57"/>
      <c r="HP129" s="57"/>
      <c r="HQ129" s="57"/>
      <c r="HR129" s="57"/>
      <c r="HS129" s="57"/>
      <c r="HT129" s="57"/>
      <c r="HU129" s="57"/>
      <c r="HV129" s="57"/>
      <c r="HW129" s="57" t="s">
        <v>59</v>
      </c>
      <c r="HX129" s="57">
        <f>HX120</f>
        <v>0</v>
      </c>
      <c r="HY129" s="57"/>
      <c r="HZ129" s="57"/>
      <c r="IA129" s="57"/>
      <c r="IB129" s="57"/>
      <c r="IC129" s="57"/>
      <c r="ID129" s="57"/>
      <c r="IE129" s="57"/>
      <c r="IF129" s="57"/>
      <c r="IG129" s="57"/>
      <c r="IH129" s="57"/>
      <c r="II129" s="57"/>
      <c r="IJ129" s="57"/>
      <c r="IK129" s="57"/>
      <c r="IL129" s="57"/>
      <c r="IM129" s="57"/>
      <c r="IN129" s="57"/>
      <c r="IO129" s="57"/>
      <c r="IP129" s="57"/>
    </row>
    <row r="130" spans="1:250" x14ac:dyDescent="0.3">
      <c r="A130" s="169"/>
      <c r="B130" s="139"/>
      <c r="C130" s="139"/>
      <c r="D130" s="139"/>
      <c r="E130" s="169"/>
      <c r="F130" s="169"/>
      <c r="G130" s="169"/>
      <c r="H130" s="169"/>
      <c r="I130" s="169"/>
      <c r="J130" s="169"/>
      <c r="K130" s="169"/>
      <c r="AB130" s="36"/>
      <c r="AC130" s="135"/>
      <c r="AD130" s="135"/>
      <c r="AE130" s="44"/>
      <c r="AF130" s="44"/>
      <c r="AG130" s="44"/>
      <c r="AH130" s="44"/>
      <c r="AI130" s="44"/>
      <c r="AJ130" s="44"/>
      <c r="AK130" s="135"/>
      <c r="AL130" s="44"/>
      <c r="AM130" s="61"/>
      <c r="AN130" s="44"/>
      <c r="AO130" s="36"/>
      <c r="CR130" s="44"/>
      <c r="CS130" s="44"/>
      <c r="CT130" s="44"/>
      <c r="CU130" s="48"/>
      <c r="CV130" s="142"/>
      <c r="CW130" s="44"/>
      <c r="CX130" s="83"/>
      <c r="CY130" s="83"/>
      <c r="CZ130" s="83"/>
      <c r="DA130" s="44"/>
      <c r="DB130" s="143"/>
      <c r="DC130" s="44"/>
      <c r="DD130" s="44"/>
      <c r="DE130" s="44"/>
      <c r="DF130" s="44"/>
      <c r="DG130" s="44"/>
      <c r="DH130" s="44"/>
      <c r="DI130" s="75"/>
      <c r="DJ130" s="57"/>
      <c r="DK130" s="57"/>
      <c r="DL130" s="57"/>
      <c r="DM130" s="87"/>
      <c r="DN130" s="99"/>
      <c r="DO130" s="57"/>
      <c r="DP130" s="57"/>
      <c r="DQ130" s="87"/>
      <c r="DR130" s="99"/>
      <c r="DS130" s="44"/>
      <c r="DT130" s="83"/>
      <c r="DU130" s="83"/>
      <c r="DV130" s="83"/>
      <c r="DW130" s="44"/>
      <c r="DX130" s="144"/>
      <c r="DY130" s="144"/>
      <c r="DZ130" s="144"/>
      <c r="FR130" s="82"/>
      <c r="FS130" s="69">
        <f ca="1">FS129</f>
        <v>0</v>
      </c>
      <c r="FT130" s="69">
        <f>INDEX(AE16:AE115,MATCH(GF128,A16:A115,0))</f>
        <v>0</v>
      </c>
      <c r="FU130" s="69">
        <f ca="1">FU129</f>
        <v>0</v>
      </c>
      <c r="FV130" s="69">
        <f t="shared" si="467"/>
        <v>0</v>
      </c>
      <c r="FW130" s="69">
        <f ca="1">FW129</f>
        <v>0</v>
      </c>
      <c r="FX130" s="70">
        <f t="shared" si="468"/>
        <v>0</v>
      </c>
      <c r="FY130" s="82"/>
      <c r="FZ130" s="101">
        <f ca="1">INDEX(EF16:EF115,MATCH(GF128,A16:A115,0))</f>
        <v>0</v>
      </c>
      <c r="GA130" s="69">
        <f>FT130</f>
        <v>0</v>
      </c>
      <c r="GB130" s="61">
        <f ca="1">INDEX(EH16:EH115,MATCH(GF128,A16:A115,0))</f>
        <v>0</v>
      </c>
      <c r="GC130" s="109">
        <f t="shared" si="401"/>
        <v>0</v>
      </c>
      <c r="GD130" s="69">
        <f ca="1">INDEX(EJ16:EJ115,MATCH(GF128,A16:A115,0))</f>
        <v>0</v>
      </c>
      <c r="GE130" s="110">
        <f t="shared" si="469"/>
        <v>0</v>
      </c>
      <c r="GF130" s="84"/>
      <c r="GG130" s="111">
        <f ca="1">FS130+FZ130</f>
        <v>0</v>
      </c>
      <c r="GH130" s="85">
        <f>FT130</f>
        <v>0</v>
      </c>
      <c r="GI130" s="111">
        <f ca="1">FU130+GB130</f>
        <v>0</v>
      </c>
      <c r="GJ130" s="112">
        <f t="shared" si="402"/>
        <v>0</v>
      </c>
      <c r="GK130" s="111">
        <f ca="1">FW130+GD130</f>
        <v>0</v>
      </c>
      <c r="GL130" s="112">
        <f t="shared" si="403"/>
        <v>0</v>
      </c>
      <c r="GN130" s="69">
        <f t="shared" si="424"/>
        <v>0</v>
      </c>
      <c r="GO130" s="113" t="e">
        <f ca="1">GO129</f>
        <v>#DIV/0!</v>
      </c>
      <c r="GP130" s="113" t="e">
        <f t="shared" ref="GP130" ca="1" si="470">GP129</f>
        <v>#DIV/0!</v>
      </c>
      <c r="GQ130" s="113" t="e">
        <f t="shared" ref="GQ130" ca="1" si="471">GQ129</f>
        <v>#DIV/0!</v>
      </c>
      <c r="GR130" s="113" t="e">
        <f t="shared" ref="GR130" ca="1" si="472">GR129</f>
        <v>#DIV/0!</v>
      </c>
      <c r="GS130" s="113" t="e">
        <f t="shared" ref="GS130" ca="1" si="473">GS129</f>
        <v>#DIV/0!</v>
      </c>
      <c r="GT130" s="113" t="e">
        <f t="shared" ref="GT130" ca="1" si="474">GT129</f>
        <v>#DIV/0!</v>
      </c>
      <c r="GU130" s="113" t="e">
        <f t="shared" ref="GU130" ca="1" si="475">GU129</f>
        <v>#DIV/0!</v>
      </c>
      <c r="HO130" s="57"/>
      <c r="HP130" s="57"/>
      <c r="HQ130" s="57"/>
      <c r="HR130" s="57"/>
      <c r="HS130" s="57"/>
      <c r="HT130" s="57"/>
      <c r="HU130" s="57"/>
      <c r="HV130" s="57"/>
      <c r="HW130" s="57"/>
      <c r="HX130" s="57"/>
      <c r="HY130" s="57"/>
      <c r="HZ130" s="57"/>
      <c r="IA130" s="57"/>
      <c r="IB130" s="57"/>
      <c r="IC130" s="57"/>
      <c r="ID130" s="57"/>
      <c r="IE130" s="57"/>
      <c r="IF130" s="57"/>
      <c r="IG130" s="57"/>
      <c r="IH130" s="57"/>
      <c r="II130" s="57"/>
      <c r="IJ130" s="57"/>
      <c r="IK130" s="57"/>
      <c r="IL130" s="57"/>
      <c r="IM130" s="57"/>
      <c r="IN130" s="57"/>
      <c r="IO130" s="57"/>
      <c r="IP130" s="57"/>
    </row>
    <row r="131" spans="1:250" x14ac:dyDescent="0.3">
      <c r="A131" s="169"/>
      <c r="B131" s="169"/>
      <c r="C131" s="186"/>
      <c r="D131" s="169"/>
      <c r="E131" s="169"/>
      <c r="F131" s="186"/>
      <c r="G131" s="169"/>
      <c r="H131" s="169"/>
      <c r="I131" s="169"/>
      <c r="J131" s="169"/>
      <c r="K131" s="169"/>
      <c r="AB131" s="36"/>
      <c r="AC131" s="135"/>
      <c r="AD131" s="135"/>
      <c r="AE131" s="44"/>
      <c r="AF131" s="44"/>
      <c r="AG131" s="44"/>
      <c r="AH131" s="44"/>
      <c r="AI131" s="36"/>
      <c r="AJ131" s="36"/>
      <c r="AK131" s="36"/>
      <c r="AL131" s="36"/>
      <c r="AM131" s="36"/>
      <c r="AN131" s="36"/>
      <c r="AO131" s="36"/>
      <c r="CR131" s="44"/>
      <c r="CS131" s="44"/>
      <c r="CT131" s="44"/>
      <c r="CU131" s="48"/>
      <c r="CV131" s="142"/>
      <c r="CW131" s="44"/>
      <c r="CX131" s="83"/>
      <c r="CY131" s="83"/>
      <c r="CZ131" s="83"/>
      <c r="DA131" s="44"/>
      <c r="DB131" s="143"/>
      <c r="DC131" s="44"/>
      <c r="DD131" s="44"/>
      <c r="DE131" s="44"/>
      <c r="DF131" s="44"/>
      <c r="DG131" s="44"/>
      <c r="DH131" s="44"/>
      <c r="DI131" s="75"/>
      <c r="DJ131" s="57"/>
      <c r="DK131" s="57"/>
      <c r="DL131" s="57"/>
      <c r="DM131" s="87"/>
      <c r="DN131" s="99"/>
      <c r="DO131" s="57"/>
      <c r="DP131" s="57"/>
      <c r="DQ131" s="87"/>
      <c r="DR131" s="99"/>
      <c r="DS131" s="44"/>
      <c r="DT131" s="83"/>
      <c r="DU131" s="83"/>
      <c r="DV131" s="83"/>
      <c r="DW131" s="44"/>
      <c r="DX131" s="144"/>
      <c r="DY131" s="144"/>
      <c r="DZ131" s="144"/>
      <c r="FR131" s="82"/>
      <c r="FS131" s="61">
        <v>0</v>
      </c>
      <c r="FT131" s="69">
        <f>FT130</f>
        <v>0</v>
      </c>
      <c r="FU131" s="61">
        <v>0</v>
      </c>
      <c r="FV131" s="69">
        <f t="shared" si="467"/>
        <v>0</v>
      </c>
      <c r="FW131" s="69">
        <v>0</v>
      </c>
      <c r="FX131" s="70">
        <f t="shared" si="468"/>
        <v>0</v>
      </c>
      <c r="FY131" s="82"/>
      <c r="FZ131" s="61">
        <v>0</v>
      </c>
      <c r="GA131" s="69">
        <f>GA130</f>
        <v>0</v>
      </c>
      <c r="GB131" s="61">
        <v>0</v>
      </c>
      <c r="GC131" s="109">
        <f t="shared" si="401"/>
        <v>0</v>
      </c>
      <c r="GD131" s="61">
        <v>0</v>
      </c>
      <c r="GE131" s="110">
        <f t="shared" si="469"/>
        <v>0</v>
      </c>
      <c r="GF131" s="84"/>
      <c r="GG131" s="111">
        <v>0</v>
      </c>
      <c r="GH131" s="85">
        <f>GH130</f>
        <v>0</v>
      </c>
      <c r="GI131" s="112">
        <v>0</v>
      </c>
      <c r="GJ131" s="112">
        <f t="shared" si="402"/>
        <v>0</v>
      </c>
      <c r="GK131" s="112">
        <v>0</v>
      </c>
      <c r="GL131" s="112">
        <f t="shared" si="403"/>
        <v>0</v>
      </c>
      <c r="GN131" s="69">
        <f t="shared" si="424"/>
        <v>0</v>
      </c>
      <c r="GO131" s="113"/>
      <c r="GP131" s="113"/>
      <c r="GQ131" s="113"/>
      <c r="GR131" s="113"/>
      <c r="GS131" s="113"/>
      <c r="GT131" s="113"/>
      <c r="GU131" s="113"/>
      <c r="HO131" s="57"/>
      <c r="HP131" s="57"/>
      <c r="HQ131" s="57"/>
      <c r="HR131" s="57"/>
      <c r="HS131" s="57"/>
      <c r="HT131" s="57"/>
      <c r="HU131" s="57"/>
      <c r="HV131" s="57"/>
      <c r="HW131" s="57"/>
      <c r="HX131" s="57"/>
      <c r="HY131" s="57"/>
      <c r="HZ131" s="57"/>
      <c r="IA131" s="57"/>
      <c r="IB131" s="57"/>
      <c r="IC131" s="57"/>
      <c r="ID131" s="57"/>
      <c r="IE131" s="57"/>
      <c r="IF131" s="57"/>
      <c r="IG131" s="57"/>
      <c r="IH131" s="57"/>
      <c r="II131" s="57"/>
      <c r="IJ131" s="57"/>
      <c r="IK131" s="57"/>
      <c r="IL131" s="57"/>
      <c r="IM131" s="57"/>
      <c r="IN131" s="57"/>
      <c r="IO131" s="57"/>
      <c r="IP131" s="57"/>
    </row>
    <row r="132" spans="1:250" x14ac:dyDescent="0.3">
      <c r="A132" s="169"/>
      <c r="B132" s="169"/>
      <c r="C132" s="169"/>
      <c r="D132" s="169"/>
      <c r="E132" s="169"/>
      <c r="F132" s="169"/>
      <c r="G132" s="169"/>
      <c r="H132" s="169"/>
      <c r="I132" s="169"/>
      <c r="J132" s="169"/>
      <c r="K132" s="169"/>
      <c r="AB132" s="36"/>
      <c r="AC132" s="135"/>
      <c r="AD132" s="135"/>
      <c r="AE132" s="44"/>
      <c r="AF132" s="44"/>
      <c r="AG132" s="44"/>
      <c r="AH132" s="44"/>
      <c r="AI132" s="36"/>
      <c r="AJ132" s="36"/>
      <c r="AK132" s="122"/>
      <c r="AL132" s="122"/>
      <c r="AM132" s="122"/>
      <c r="AN132" s="122"/>
      <c r="AO132" s="122"/>
      <c r="AP132" s="36"/>
      <c r="CR132" s="44"/>
      <c r="CS132" s="44"/>
      <c r="CT132" s="44"/>
      <c r="CU132" s="48"/>
      <c r="CV132" s="142"/>
      <c r="CW132" s="44"/>
      <c r="CX132" s="83"/>
      <c r="CY132" s="83"/>
      <c r="CZ132" s="83"/>
      <c r="DA132" s="44"/>
      <c r="DB132" s="143"/>
      <c r="DC132" s="44"/>
      <c r="DD132" s="44"/>
      <c r="DE132" s="44"/>
      <c r="DF132" s="44"/>
      <c r="DG132" s="44"/>
      <c r="DH132" s="44"/>
      <c r="DI132" s="75"/>
      <c r="DJ132" s="57"/>
      <c r="DK132" s="57"/>
      <c r="DL132" s="57"/>
      <c r="DM132" s="87"/>
      <c r="DN132" s="99"/>
      <c r="DO132" s="57"/>
      <c r="DP132" s="57"/>
      <c r="DQ132" s="87"/>
      <c r="DR132" s="99"/>
      <c r="DS132" s="44"/>
      <c r="DT132" s="83"/>
      <c r="DU132" s="83"/>
      <c r="DV132" s="83"/>
      <c r="DW132" s="44"/>
      <c r="DX132" s="144"/>
      <c r="DY132" s="144"/>
      <c r="DZ132" s="144"/>
      <c r="FR132" s="82">
        <f>FR128+1</f>
        <v>30</v>
      </c>
      <c r="FS132" s="61">
        <v>0</v>
      </c>
      <c r="FT132" s="69">
        <f>INDEX(AF16:AF115,MATCH(GF132,A16:A115,0))</f>
        <v>0</v>
      </c>
      <c r="FU132" s="61">
        <v>0</v>
      </c>
      <c r="FV132" s="69">
        <f>FT132</f>
        <v>0</v>
      </c>
      <c r="FW132" s="69">
        <v>0</v>
      </c>
      <c r="FX132" s="70">
        <f>FV132</f>
        <v>0</v>
      </c>
      <c r="FY132" s="82">
        <f>FY128+1</f>
        <v>30</v>
      </c>
      <c r="FZ132" s="61">
        <v>0</v>
      </c>
      <c r="GA132" s="69">
        <f>FT132</f>
        <v>0</v>
      </c>
      <c r="GB132" s="108">
        <v>0</v>
      </c>
      <c r="GC132" s="109">
        <f t="shared" si="401"/>
        <v>0</v>
      </c>
      <c r="GD132" s="61">
        <v>0</v>
      </c>
      <c r="GE132" s="110">
        <f>GC132</f>
        <v>0</v>
      </c>
      <c r="GF132" s="84">
        <f>GF128+1</f>
        <v>30</v>
      </c>
      <c r="GG132" s="111">
        <v>0</v>
      </c>
      <c r="GH132" s="85">
        <f>FT132</f>
        <v>0</v>
      </c>
      <c r="GI132" s="112">
        <v>0</v>
      </c>
      <c r="GJ132" s="112">
        <f t="shared" si="402"/>
        <v>0</v>
      </c>
      <c r="GK132" s="112">
        <v>0</v>
      </c>
      <c r="GL132" s="112">
        <f t="shared" si="403"/>
        <v>0</v>
      </c>
      <c r="GM132" s="117">
        <f>GM128+1</f>
        <v>30</v>
      </c>
      <c r="GN132" s="69">
        <f t="shared" si="424"/>
        <v>0</v>
      </c>
      <c r="GO132" s="113"/>
      <c r="GP132" s="113"/>
      <c r="GQ132" s="113"/>
      <c r="GR132" s="113"/>
      <c r="GS132" s="113"/>
      <c r="GT132" s="113"/>
      <c r="GU132" s="113"/>
      <c r="HO132" s="57"/>
      <c r="HP132" s="57"/>
      <c r="HQ132" s="57"/>
      <c r="HR132" s="57"/>
      <c r="HS132" s="57"/>
      <c r="HT132" s="57"/>
      <c r="HU132" s="57"/>
      <c r="HV132" s="57"/>
      <c r="HW132" s="57"/>
      <c r="HX132" s="57"/>
      <c r="HY132" s="57"/>
      <c r="HZ132" s="57"/>
      <c r="IA132" s="57"/>
      <c r="IB132" s="57"/>
      <c r="IC132" s="57"/>
      <c r="ID132" s="57"/>
      <c r="IE132" s="57"/>
      <c r="IF132" s="57"/>
      <c r="IG132" s="57"/>
      <c r="IH132" s="57"/>
      <c r="II132" s="57"/>
      <c r="IJ132" s="57"/>
      <c r="IK132" s="57"/>
      <c r="IL132" s="57"/>
      <c r="IM132" s="57"/>
      <c r="IN132" s="57"/>
      <c r="IO132" s="57"/>
      <c r="IP132" s="57"/>
    </row>
    <row r="133" spans="1:250" x14ac:dyDescent="0.3">
      <c r="A133" s="169"/>
      <c r="B133" s="169"/>
      <c r="C133" s="169"/>
      <c r="D133" s="169"/>
      <c r="E133" s="169"/>
      <c r="F133" s="169"/>
      <c r="G133" s="169"/>
      <c r="H133" s="169"/>
      <c r="I133" s="169"/>
      <c r="J133" s="169"/>
      <c r="K133" s="169"/>
      <c r="AB133" s="36"/>
      <c r="AC133" s="135"/>
      <c r="AD133" s="135"/>
      <c r="AE133" s="44"/>
      <c r="AF133" s="44"/>
      <c r="AG133" s="44"/>
      <c r="AH133" s="44"/>
      <c r="AI133" s="36"/>
      <c r="AJ133" s="36"/>
      <c r="AK133" s="36"/>
      <c r="AL133" s="36"/>
      <c r="AM133" s="36"/>
      <c r="AN133" s="36"/>
      <c r="AO133" s="36"/>
      <c r="CR133" s="44"/>
      <c r="CS133" s="44"/>
      <c r="CT133" s="44"/>
      <c r="CU133" s="48"/>
      <c r="CV133" s="142"/>
      <c r="CW133" s="44"/>
      <c r="CX133" s="83"/>
      <c r="CY133" s="83"/>
      <c r="CZ133" s="83"/>
      <c r="DA133" s="44"/>
      <c r="DB133" s="143"/>
      <c r="DC133" s="44"/>
      <c r="DD133" s="44"/>
      <c r="DE133" s="44"/>
      <c r="DF133" s="44"/>
      <c r="DG133" s="44"/>
      <c r="DH133" s="44"/>
      <c r="DI133" s="75"/>
      <c r="DJ133" s="57"/>
      <c r="DK133" s="57"/>
      <c r="DL133" s="57"/>
      <c r="DM133" s="87"/>
      <c r="DN133" s="99"/>
      <c r="DO133" s="57"/>
      <c r="DP133" s="57"/>
      <c r="DQ133" s="87"/>
      <c r="DR133" s="99"/>
      <c r="DS133" s="44"/>
      <c r="DT133" s="83"/>
      <c r="DU133" s="83"/>
      <c r="DV133" s="83"/>
      <c r="DW133" s="44"/>
      <c r="DX133" s="144"/>
      <c r="DY133" s="144"/>
      <c r="DZ133" s="144"/>
      <c r="FR133" s="82"/>
      <c r="FS133" s="69">
        <f ca="1">INDEX(EB16:EB115,MATCH(GF132,A16:A115,0))</f>
        <v>0</v>
      </c>
      <c r="FT133" s="69">
        <f>FT132</f>
        <v>0</v>
      </c>
      <c r="FU133" s="69">
        <f ca="1">INDEX(EC16:EC115,MATCH(GF132,A16:A115,0))</f>
        <v>0</v>
      </c>
      <c r="FV133" s="69">
        <f t="shared" ref="FV133:FV135" si="476">FT133</f>
        <v>0</v>
      </c>
      <c r="FW133" s="69">
        <f ca="1">INDEX(ED16:ED115,MATCH(GF132,A16:A115,0))</f>
        <v>0</v>
      </c>
      <c r="FX133" s="70">
        <f t="shared" ref="FX133:FX135" si="477">FV133</f>
        <v>0</v>
      </c>
      <c r="FY133" s="82"/>
      <c r="FZ133" s="101">
        <f ca="1">INDEX(EE16:EE115,MATCH(GF132,A16:A115,0))</f>
        <v>0</v>
      </c>
      <c r="GA133" s="69">
        <f>GA132</f>
        <v>0</v>
      </c>
      <c r="GB133" s="61">
        <f ca="1">INDEX(EG16:EG115,MATCH(GF132,A16:A115,0))</f>
        <v>0</v>
      </c>
      <c r="GC133" s="109">
        <f t="shared" si="401"/>
        <v>0</v>
      </c>
      <c r="GD133" s="69">
        <f ca="1">INDEX(EI16:EI115,MATCH(GF132,A16:A115,0))</f>
        <v>0</v>
      </c>
      <c r="GE133" s="110">
        <f t="shared" ref="GE133:GE135" si="478">GC133</f>
        <v>0</v>
      </c>
      <c r="GF133" s="84"/>
      <c r="GG133" s="111">
        <f ca="1">FS133+FZ133</f>
        <v>0</v>
      </c>
      <c r="GH133" s="85">
        <f>GH132</f>
        <v>0</v>
      </c>
      <c r="GI133" s="111">
        <f ca="1">FU133+GB133</f>
        <v>0</v>
      </c>
      <c r="GJ133" s="112">
        <f t="shared" si="402"/>
        <v>0</v>
      </c>
      <c r="GK133" s="111">
        <f ca="1">FW133+GD133</f>
        <v>0</v>
      </c>
      <c r="GL133" s="112">
        <f t="shared" si="403"/>
        <v>0</v>
      </c>
      <c r="GN133" s="69">
        <f t="shared" si="424"/>
        <v>0</v>
      </c>
      <c r="GO133" s="113" t="e">
        <f ca="1">INDEX(FJ16:FJ115,MATCH(GM132,A16:A115,0))</f>
        <v>#DIV/0!</v>
      </c>
      <c r="GP133" s="113" t="e">
        <f ca="1">INDEX(FK16:FK115,MATCH(GM132,A16:A115,0))</f>
        <v>#DIV/0!</v>
      </c>
      <c r="GQ133" s="113" t="e">
        <f ca="1">INDEX(FL16:FL115,MATCH(GM132,A16:A115,0))</f>
        <v>#DIV/0!</v>
      </c>
      <c r="GR133" s="113" t="e">
        <f ca="1">INDEX(FM16:FM115,MATCH(GM132,A16:A115,0))</f>
        <v>#DIV/0!</v>
      </c>
      <c r="GS133" s="113" t="e">
        <f ca="1">INDEX(FN16:FN115,MATCH(GM132,A16:A115,0))</f>
        <v>#DIV/0!</v>
      </c>
      <c r="GT133" s="113" t="e">
        <f ca="1">INDEX(FO16:FO115,MATCH(GM132,A16:A115,0))</f>
        <v>#DIV/0!</v>
      </c>
      <c r="GU133" s="113" t="e">
        <f ca="1">INDEX(FP16:FP115,MATCH(GM132,A16:A115,0))</f>
        <v>#DIV/0!</v>
      </c>
    </row>
    <row r="134" spans="1:250" x14ac:dyDescent="0.3">
      <c r="A134" s="169"/>
      <c r="B134" s="169"/>
      <c r="C134" s="169"/>
      <c r="D134" s="169"/>
      <c r="E134" s="169"/>
      <c r="F134" s="169"/>
      <c r="G134" s="169"/>
      <c r="H134" s="169"/>
      <c r="I134" s="169"/>
      <c r="J134" s="169"/>
      <c r="K134" s="169"/>
      <c r="AB134" s="36"/>
      <c r="AC134" s="135"/>
      <c r="AD134" s="135"/>
      <c r="AE134" s="44"/>
      <c r="AF134" s="44"/>
      <c r="AG134" s="44"/>
      <c r="AH134" s="44"/>
      <c r="AI134" s="36"/>
      <c r="AJ134" s="36"/>
      <c r="AK134" s="36"/>
      <c r="AL134" s="36"/>
      <c r="AM134" s="36"/>
      <c r="AN134" s="36"/>
      <c r="AO134" s="36"/>
      <c r="CR134" s="44"/>
      <c r="CS134" s="44"/>
      <c r="CT134" s="44"/>
      <c r="CU134" s="48"/>
      <c r="CV134" s="142"/>
      <c r="CW134" s="44"/>
      <c r="CX134" s="83"/>
      <c r="CY134" s="83"/>
      <c r="CZ134" s="83"/>
      <c r="DA134" s="44"/>
      <c r="DB134" s="143"/>
      <c r="DC134" s="44"/>
      <c r="DD134" s="44"/>
      <c r="DE134" s="44"/>
      <c r="DF134" s="44"/>
      <c r="DG134" s="44"/>
      <c r="DH134" s="44"/>
      <c r="DI134" s="75"/>
      <c r="DJ134" s="57"/>
      <c r="DK134" s="57"/>
      <c r="DL134" s="57"/>
      <c r="DM134" s="87"/>
      <c r="DN134" s="99"/>
      <c r="DO134" s="57"/>
      <c r="DP134" s="57"/>
      <c r="DQ134" s="87"/>
      <c r="DR134" s="99"/>
      <c r="DS134" s="44"/>
      <c r="DT134" s="83"/>
      <c r="DU134" s="83"/>
      <c r="DV134" s="83"/>
      <c r="DW134" s="44"/>
      <c r="DX134" s="144"/>
      <c r="DY134" s="144"/>
      <c r="DZ134" s="144"/>
      <c r="FR134" s="82"/>
      <c r="FS134" s="69">
        <f ca="1">FS133</f>
        <v>0</v>
      </c>
      <c r="FT134" s="69">
        <f>INDEX(AE16:AE115,MATCH(GF132,A16:A115,0))</f>
        <v>0</v>
      </c>
      <c r="FU134" s="69">
        <f ca="1">FU133</f>
        <v>0</v>
      </c>
      <c r="FV134" s="69">
        <f t="shared" si="476"/>
        <v>0</v>
      </c>
      <c r="FW134" s="69">
        <f ca="1">FW133</f>
        <v>0</v>
      </c>
      <c r="FX134" s="70">
        <f t="shared" si="477"/>
        <v>0</v>
      </c>
      <c r="FY134" s="82"/>
      <c r="FZ134" s="101">
        <f ca="1">INDEX(EF16:EF115,MATCH(GF132,A16:A115,0))</f>
        <v>0</v>
      </c>
      <c r="GA134" s="69">
        <f>FT134</f>
        <v>0</v>
      </c>
      <c r="GB134" s="61">
        <f ca="1">INDEX(EH16:EH115,MATCH(GF132,A16:A115,0))</f>
        <v>0</v>
      </c>
      <c r="GC134" s="109">
        <f t="shared" si="401"/>
        <v>0</v>
      </c>
      <c r="GD134" s="69">
        <f ca="1">INDEX(EJ16:EJ115,MATCH(GF132,A16:A115,0))</f>
        <v>0</v>
      </c>
      <c r="GE134" s="110">
        <f t="shared" si="478"/>
        <v>0</v>
      </c>
      <c r="GF134" s="84"/>
      <c r="GG134" s="111">
        <f ca="1">FS134+FZ134</f>
        <v>0</v>
      </c>
      <c r="GH134" s="85">
        <f>FT134</f>
        <v>0</v>
      </c>
      <c r="GI134" s="111">
        <f ca="1">FU134+GB134</f>
        <v>0</v>
      </c>
      <c r="GJ134" s="112">
        <f t="shared" si="402"/>
        <v>0</v>
      </c>
      <c r="GK134" s="111">
        <f ca="1">FW134+GD134</f>
        <v>0</v>
      </c>
      <c r="GL134" s="112">
        <f t="shared" si="403"/>
        <v>0</v>
      </c>
      <c r="GN134" s="69">
        <f t="shared" si="424"/>
        <v>0</v>
      </c>
      <c r="GO134" s="113" t="e">
        <f ca="1">GO133</f>
        <v>#DIV/0!</v>
      </c>
      <c r="GP134" s="113" t="e">
        <f t="shared" ref="GP134" ca="1" si="479">GP133</f>
        <v>#DIV/0!</v>
      </c>
      <c r="GQ134" s="113" t="e">
        <f t="shared" ref="GQ134" ca="1" si="480">GQ133</f>
        <v>#DIV/0!</v>
      </c>
      <c r="GR134" s="113" t="e">
        <f t="shared" ref="GR134" ca="1" si="481">GR133</f>
        <v>#DIV/0!</v>
      </c>
      <c r="GS134" s="113" t="e">
        <f t="shared" ref="GS134" ca="1" si="482">GS133</f>
        <v>#DIV/0!</v>
      </c>
      <c r="GT134" s="113" t="e">
        <f t="shared" ref="GT134" ca="1" si="483">GT133</f>
        <v>#DIV/0!</v>
      </c>
      <c r="GU134" s="113" t="e">
        <f t="shared" ref="GU134" ca="1" si="484">GU133</f>
        <v>#DIV/0!</v>
      </c>
    </row>
    <row r="135" spans="1:250" x14ac:dyDescent="0.3">
      <c r="A135" s="169"/>
      <c r="B135" s="169"/>
      <c r="C135" s="169"/>
      <c r="D135" s="169"/>
      <c r="E135" s="169"/>
      <c r="F135" s="169"/>
      <c r="G135" s="169"/>
      <c r="H135" s="169"/>
      <c r="I135" s="169"/>
      <c r="J135" s="169"/>
      <c r="K135" s="169"/>
      <c r="AB135" s="36"/>
      <c r="AC135" s="135"/>
      <c r="AD135" s="135"/>
      <c r="AE135" s="44"/>
      <c r="AF135" s="44"/>
      <c r="AG135" s="44"/>
      <c r="AH135" s="44"/>
      <c r="AI135" s="36"/>
      <c r="AJ135" s="36"/>
      <c r="AK135" s="36"/>
      <c r="AL135" s="36"/>
      <c r="AM135" s="36"/>
      <c r="AN135" s="36"/>
      <c r="AO135" s="36"/>
      <c r="CR135" s="44"/>
      <c r="CS135" s="44"/>
      <c r="CT135" s="44"/>
      <c r="CU135" s="48"/>
      <c r="CV135" s="142"/>
      <c r="CW135" s="44"/>
      <c r="CX135" s="83"/>
      <c r="CY135" s="83"/>
      <c r="CZ135" s="83"/>
      <c r="DA135" s="44"/>
      <c r="DB135" s="143"/>
      <c r="DC135" s="44"/>
      <c r="DD135" s="44"/>
      <c r="DE135" s="44"/>
      <c r="DF135" s="44"/>
      <c r="DG135" s="44"/>
      <c r="DH135" s="44"/>
      <c r="DI135" s="75"/>
      <c r="DJ135" s="57"/>
      <c r="DK135" s="57"/>
      <c r="DL135" s="57"/>
      <c r="DM135" s="87"/>
      <c r="DN135" s="99"/>
      <c r="DO135" s="57"/>
      <c r="DP135" s="57"/>
      <c r="DQ135" s="87"/>
      <c r="DR135" s="99"/>
      <c r="DS135" s="44"/>
      <c r="DT135" s="83"/>
      <c r="DU135" s="83"/>
      <c r="DV135" s="83"/>
      <c r="DW135" s="44"/>
      <c r="DX135" s="144"/>
      <c r="DY135" s="144"/>
      <c r="DZ135" s="144"/>
      <c r="FR135" s="82"/>
      <c r="FS135" s="61">
        <v>0</v>
      </c>
      <c r="FT135" s="69">
        <f>FT134</f>
        <v>0</v>
      </c>
      <c r="FU135" s="61">
        <v>0</v>
      </c>
      <c r="FV135" s="69">
        <f t="shared" si="476"/>
        <v>0</v>
      </c>
      <c r="FW135" s="69">
        <v>0</v>
      </c>
      <c r="FX135" s="70">
        <f t="shared" si="477"/>
        <v>0</v>
      </c>
      <c r="FY135" s="82"/>
      <c r="FZ135" s="61">
        <v>0</v>
      </c>
      <c r="GA135" s="69">
        <f>GA134</f>
        <v>0</v>
      </c>
      <c r="GB135" s="61">
        <v>0</v>
      </c>
      <c r="GC135" s="109">
        <f t="shared" si="401"/>
        <v>0</v>
      </c>
      <c r="GD135" s="61">
        <v>0</v>
      </c>
      <c r="GE135" s="110">
        <f t="shared" si="478"/>
        <v>0</v>
      </c>
      <c r="GF135" s="84"/>
      <c r="GG135" s="111">
        <v>0</v>
      </c>
      <c r="GH135" s="85">
        <f>GH134</f>
        <v>0</v>
      </c>
      <c r="GI135" s="112">
        <v>0</v>
      </c>
      <c r="GJ135" s="112">
        <f t="shared" si="402"/>
        <v>0</v>
      </c>
      <c r="GK135" s="112">
        <v>0</v>
      </c>
      <c r="GL135" s="112">
        <f t="shared" si="403"/>
        <v>0</v>
      </c>
      <c r="GN135" s="69">
        <f t="shared" si="424"/>
        <v>0</v>
      </c>
      <c r="GO135" s="113"/>
      <c r="GP135" s="113"/>
      <c r="GQ135" s="113"/>
      <c r="GR135" s="113"/>
      <c r="GS135" s="113"/>
      <c r="GT135" s="113"/>
      <c r="GU135" s="113"/>
    </row>
    <row r="136" spans="1:250" x14ac:dyDescent="0.3">
      <c r="A136" s="169"/>
      <c r="B136" s="169"/>
      <c r="C136" s="169"/>
      <c r="D136" s="169"/>
      <c r="E136" s="169"/>
      <c r="F136" s="169"/>
      <c r="G136" s="169"/>
      <c r="H136" s="169"/>
      <c r="I136" s="169"/>
      <c r="J136" s="169"/>
      <c r="K136" s="169"/>
      <c r="AB136" s="36"/>
      <c r="AC136" s="135"/>
      <c r="AD136" s="135"/>
      <c r="AE136" s="44"/>
      <c r="AF136" s="44"/>
      <c r="AG136" s="44"/>
      <c r="AH136" s="44"/>
      <c r="AI136" s="36"/>
      <c r="AJ136" s="36"/>
      <c r="AK136" s="36"/>
      <c r="AL136" s="36"/>
      <c r="AM136" s="36"/>
      <c r="AN136" s="36"/>
      <c r="AO136" s="36"/>
      <c r="CR136" s="44"/>
      <c r="CS136" s="44"/>
      <c r="CT136" s="44"/>
      <c r="CU136" s="48"/>
      <c r="CV136" s="142"/>
      <c r="CW136" s="44"/>
      <c r="CX136" s="83"/>
      <c r="CY136" s="83"/>
      <c r="CZ136" s="83"/>
      <c r="DA136" s="44"/>
      <c r="DB136" s="143"/>
      <c r="DC136" s="44"/>
      <c r="DD136" s="44"/>
      <c r="DE136" s="44"/>
      <c r="DF136" s="44"/>
      <c r="DG136" s="44"/>
      <c r="DH136" s="44"/>
      <c r="DI136" s="75"/>
      <c r="DJ136" s="57"/>
      <c r="DK136" s="57"/>
      <c r="DL136" s="57"/>
      <c r="DM136" s="87"/>
      <c r="DN136" s="99"/>
      <c r="DO136" s="57"/>
      <c r="DP136" s="57"/>
      <c r="DQ136" s="87"/>
      <c r="DR136" s="99"/>
      <c r="DS136" s="44"/>
      <c r="DT136" s="83"/>
      <c r="DU136" s="83"/>
      <c r="DV136" s="83"/>
      <c r="DW136" s="44"/>
      <c r="DX136" s="144"/>
      <c r="DY136" s="144"/>
      <c r="DZ136" s="144"/>
      <c r="FR136" s="82">
        <f>FR132+1</f>
        <v>31</v>
      </c>
      <c r="FS136" s="61">
        <v>0</v>
      </c>
      <c r="FT136" s="69">
        <f>INDEX(AF16:AF115,MATCH(GF136,A16:A115,0))</f>
        <v>0</v>
      </c>
      <c r="FU136" s="61">
        <v>0</v>
      </c>
      <c r="FV136" s="69">
        <f>FT136</f>
        <v>0</v>
      </c>
      <c r="FW136" s="69">
        <v>0</v>
      </c>
      <c r="FX136" s="70">
        <f>FV136</f>
        <v>0</v>
      </c>
      <c r="FY136" s="82">
        <f>FY132+1</f>
        <v>31</v>
      </c>
      <c r="FZ136" s="61">
        <v>0</v>
      </c>
      <c r="GA136" s="69">
        <f>FT136</f>
        <v>0</v>
      </c>
      <c r="GB136" s="108">
        <v>0</v>
      </c>
      <c r="GC136" s="109">
        <f t="shared" si="401"/>
        <v>0</v>
      </c>
      <c r="GD136" s="61">
        <v>0</v>
      </c>
      <c r="GE136" s="110">
        <f>GC136</f>
        <v>0</v>
      </c>
      <c r="GF136" s="84">
        <f>GF132+1</f>
        <v>31</v>
      </c>
      <c r="GG136" s="111">
        <v>0</v>
      </c>
      <c r="GH136" s="85">
        <f>FT136</f>
        <v>0</v>
      </c>
      <c r="GI136" s="112">
        <v>0</v>
      </c>
      <c r="GJ136" s="112">
        <f t="shared" si="402"/>
        <v>0</v>
      </c>
      <c r="GK136" s="112">
        <v>0</v>
      </c>
      <c r="GL136" s="112">
        <f t="shared" si="403"/>
        <v>0</v>
      </c>
      <c r="GM136" s="117">
        <f>GM132+1</f>
        <v>31</v>
      </c>
      <c r="GN136" s="69">
        <f t="shared" si="424"/>
        <v>0</v>
      </c>
      <c r="GO136" s="113"/>
      <c r="GP136" s="113"/>
      <c r="GQ136" s="113"/>
      <c r="GR136" s="113"/>
      <c r="GS136" s="113"/>
      <c r="GT136" s="113"/>
      <c r="GU136" s="113"/>
    </row>
    <row r="137" spans="1:250" x14ac:dyDescent="0.3">
      <c r="A137" s="169"/>
      <c r="B137" s="169"/>
      <c r="C137" s="169"/>
      <c r="D137" s="169"/>
      <c r="E137" s="169"/>
      <c r="F137" s="169"/>
      <c r="G137" s="169"/>
      <c r="H137" s="169"/>
      <c r="I137" s="169"/>
      <c r="J137" s="169"/>
      <c r="K137" s="169"/>
      <c r="AB137" s="36"/>
      <c r="AC137" s="135"/>
      <c r="AD137" s="135"/>
      <c r="AE137" s="44"/>
      <c r="AF137" s="44"/>
      <c r="AG137" s="61"/>
      <c r="AH137" s="61"/>
      <c r="AI137" s="36"/>
      <c r="AJ137" s="36"/>
      <c r="AK137" s="36"/>
      <c r="AL137" s="36"/>
      <c r="AM137" s="36"/>
      <c r="AN137" s="36"/>
      <c r="AO137" s="36"/>
      <c r="CR137" s="44"/>
      <c r="CS137" s="44"/>
      <c r="CT137" s="44"/>
      <c r="CU137" s="48"/>
      <c r="CV137" s="142"/>
      <c r="CW137" s="44"/>
      <c r="CX137" s="83"/>
      <c r="CY137" s="83"/>
      <c r="CZ137" s="83"/>
      <c r="DA137" s="44"/>
      <c r="DB137" s="143"/>
      <c r="DC137" s="44"/>
      <c r="DD137" s="44"/>
      <c r="DE137" s="44"/>
      <c r="DF137" s="44"/>
      <c r="DG137" s="44"/>
      <c r="DH137" s="44"/>
      <c r="DI137" s="75"/>
      <c r="DJ137" s="57"/>
      <c r="DK137" s="57"/>
      <c r="DL137" s="57"/>
      <c r="DM137" s="87"/>
      <c r="DN137" s="99"/>
      <c r="DO137" s="57"/>
      <c r="DP137" s="57"/>
      <c r="DQ137" s="87"/>
      <c r="DR137" s="99"/>
      <c r="DS137" s="44"/>
      <c r="DT137" s="83"/>
      <c r="DU137" s="83"/>
      <c r="DV137" s="83"/>
      <c r="DW137" s="44"/>
      <c r="DX137" s="144"/>
      <c r="DY137" s="144"/>
      <c r="DZ137" s="144"/>
      <c r="FR137" s="82"/>
      <c r="FS137" s="69">
        <f ca="1">INDEX(EB16:EB115,MATCH(GF136,A16:A115,0))</f>
        <v>0</v>
      </c>
      <c r="FT137" s="69">
        <f>FT136</f>
        <v>0</v>
      </c>
      <c r="FU137" s="69">
        <f ca="1">INDEX(EC16:EC115,MATCH(GF136,A16:A115,0))</f>
        <v>0</v>
      </c>
      <c r="FV137" s="69">
        <f t="shared" ref="FV137:FV139" si="485">FT137</f>
        <v>0</v>
      </c>
      <c r="FW137" s="69">
        <f ca="1">INDEX(ED16:ED115,MATCH(GF136,A16:A115,0))</f>
        <v>0</v>
      </c>
      <c r="FX137" s="70">
        <f t="shared" ref="FX137:FX139" si="486">FV137</f>
        <v>0</v>
      </c>
      <c r="FY137" s="82"/>
      <c r="FZ137" s="101">
        <f ca="1">INDEX(EE16:EE115,MATCH(GF136,A16:A115,0))</f>
        <v>0</v>
      </c>
      <c r="GA137" s="69">
        <f>GA136</f>
        <v>0</v>
      </c>
      <c r="GB137" s="61">
        <f ca="1">INDEX(EG16:EG115,MATCH(GF136,A16:A115,0))</f>
        <v>0</v>
      </c>
      <c r="GC137" s="109">
        <f t="shared" si="401"/>
        <v>0</v>
      </c>
      <c r="GD137" s="69">
        <f ca="1">INDEX(EI16:EI115,MATCH(GF136,A16:A115,0))</f>
        <v>0</v>
      </c>
      <c r="GE137" s="110">
        <f t="shared" ref="GE137:GE139" si="487">GC137</f>
        <v>0</v>
      </c>
      <c r="GF137" s="84"/>
      <c r="GG137" s="111">
        <f ca="1">FS137+FZ137</f>
        <v>0</v>
      </c>
      <c r="GH137" s="85">
        <f>GH136</f>
        <v>0</v>
      </c>
      <c r="GI137" s="111">
        <f ca="1">FU137+GB137</f>
        <v>0</v>
      </c>
      <c r="GJ137" s="112">
        <f t="shared" si="402"/>
        <v>0</v>
      </c>
      <c r="GK137" s="111">
        <f ca="1">FW137+GD137</f>
        <v>0</v>
      </c>
      <c r="GL137" s="112">
        <f t="shared" si="403"/>
        <v>0</v>
      </c>
      <c r="GN137" s="69">
        <f t="shared" si="424"/>
        <v>0</v>
      </c>
      <c r="GO137" s="113" t="e">
        <f ca="1">INDEX(FJ16:FJ115,MATCH(GM136,A16:A115,0))</f>
        <v>#DIV/0!</v>
      </c>
      <c r="GP137" s="113" t="e">
        <f ca="1">INDEX(FK16:FK115,MATCH(GM136,A16:A115,0))</f>
        <v>#DIV/0!</v>
      </c>
      <c r="GQ137" s="113" t="e">
        <f ca="1">INDEX(FL16:FL115,MATCH(GM136,A16:A115,0))</f>
        <v>#DIV/0!</v>
      </c>
      <c r="GR137" s="113" t="e">
        <f ca="1">INDEX(FM16:FM115,MATCH(GM136,A16:A115,0))</f>
        <v>#DIV/0!</v>
      </c>
      <c r="GS137" s="113" t="e">
        <f ca="1">INDEX(FN16:FN115,MATCH(GM136,A16:A115,0))</f>
        <v>#DIV/0!</v>
      </c>
      <c r="GT137" s="113" t="e">
        <f ca="1">INDEX(FO16:FO115,MATCH(GM136,A16:A115,0))</f>
        <v>#DIV/0!</v>
      </c>
      <c r="GU137" s="113" t="e">
        <f ca="1">INDEX(FP16:FP115,MATCH(GM136,A16:A115,0))</f>
        <v>#DIV/0!</v>
      </c>
    </row>
    <row r="138" spans="1:250" x14ac:dyDescent="0.3">
      <c r="A138" s="169"/>
      <c r="B138" s="169"/>
      <c r="C138" s="169"/>
      <c r="D138" s="169"/>
      <c r="E138" s="169"/>
      <c r="F138" s="169"/>
      <c r="G138" s="169"/>
      <c r="H138" s="169"/>
      <c r="I138" s="169"/>
      <c r="J138" s="169"/>
      <c r="K138" s="169"/>
      <c r="AB138" s="36"/>
      <c r="AC138" s="135"/>
      <c r="AD138" s="135"/>
      <c r="AE138" s="44"/>
      <c r="AF138" s="44"/>
      <c r="AG138" s="136"/>
      <c r="AH138" s="136"/>
      <c r="AI138" s="36"/>
      <c r="AJ138" s="36"/>
      <c r="AK138" s="36"/>
      <c r="AL138" s="36"/>
      <c r="AM138" s="36"/>
      <c r="AN138" s="36"/>
      <c r="AO138" s="36"/>
      <c r="CR138" s="44"/>
      <c r="CS138" s="44"/>
      <c r="CT138" s="44"/>
      <c r="CU138" s="48"/>
      <c r="CV138" s="142"/>
      <c r="CW138" s="44"/>
      <c r="CX138" s="83"/>
      <c r="CY138" s="83"/>
      <c r="CZ138" s="83"/>
      <c r="DA138" s="44"/>
      <c r="DB138" s="143"/>
      <c r="DC138" s="44"/>
      <c r="DD138" s="44"/>
      <c r="DE138" s="44"/>
      <c r="DF138" s="44"/>
      <c r="DG138" s="44"/>
      <c r="DH138" s="44"/>
      <c r="DI138" s="75"/>
      <c r="DJ138" s="57"/>
      <c r="DK138" s="57"/>
      <c r="DL138" s="57"/>
      <c r="DM138" s="87"/>
      <c r="DN138" s="99"/>
      <c r="DO138" s="57"/>
      <c r="DP138" s="57"/>
      <c r="DQ138" s="87"/>
      <c r="DR138" s="99"/>
      <c r="DS138" s="44"/>
      <c r="DT138" s="83"/>
      <c r="DU138" s="83"/>
      <c r="DV138" s="83"/>
      <c r="DW138" s="44"/>
      <c r="DX138" s="144"/>
      <c r="DY138" s="144"/>
      <c r="DZ138" s="144"/>
      <c r="FR138" s="82"/>
      <c r="FS138" s="69">
        <f ca="1">FS137</f>
        <v>0</v>
      </c>
      <c r="FT138" s="69">
        <f>INDEX(AE16:AE115,MATCH(GF136,A16:A115,0))</f>
        <v>0</v>
      </c>
      <c r="FU138" s="69">
        <f ca="1">FU137</f>
        <v>0</v>
      </c>
      <c r="FV138" s="69">
        <f t="shared" si="485"/>
        <v>0</v>
      </c>
      <c r="FW138" s="69">
        <f ca="1">FW137</f>
        <v>0</v>
      </c>
      <c r="FX138" s="70">
        <f t="shared" si="486"/>
        <v>0</v>
      </c>
      <c r="FY138" s="82"/>
      <c r="FZ138" s="101">
        <f ca="1">INDEX(EF16:EF115,MATCH(GF136,A16:A115,0))</f>
        <v>0</v>
      </c>
      <c r="GA138" s="69">
        <f>FT138</f>
        <v>0</v>
      </c>
      <c r="GB138" s="61">
        <f ca="1">INDEX(EH16:EH115,MATCH(GF136,A16:A115,0))</f>
        <v>0</v>
      </c>
      <c r="GC138" s="109">
        <f t="shared" si="401"/>
        <v>0</v>
      </c>
      <c r="GD138" s="69">
        <f ca="1">INDEX(EJ16:EJ115,MATCH(GF136,A16:A115,0))</f>
        <v>0</v>
      </c>
      <c r="GE138" s="110">
        <f t="shared" si="487"/>
        <v>0</v>
      </c>
      <c r="GF138" s="84"/>
      <c r="GG138" s="111">
        <f ca="1">FS138+FZ138</f>
        <v>0</v>
      </c>
      <c r="GH138" s="85">
        <f>FT138</f>
        <v>0</v>
      </c>
      <c r="GI138" s="111">
        <f ca="1">FU138+GB138</f>
        <v>0</v>
      </c>
      <c r="GJ138" s="112">
        <f t="shared" si="402"/>
        <v>0</v>
      </c>
      <c r="GK138" s="111">
        <f ca="1">FW138+GD138</f>
        <v>0</v>
      </c>
      <c r="GL138" s="112">
        <f t="shared" si="403"/>
        <v>0</v>
      </c>
      <c r="GN138" s="69">
        <f t="shared" si="424"/>
        <v>0</v>
      </c>
      <c r="GO138" s="113" t="e">
        <f ca="1">GO137</f>
        <v>#DIV/0!</v>
      </c>
      <c r="GP138" s="113" t="e">
        <f t="shared" ref="GP138" ca="1" si="488">GP137</f>
        <v>#DIV/0!</v>
      </c>
      <c r="GQ138" s="113" t="e">
        <f t="shared" ref="GQ138" ca="1" si="489">GQ137</f>
        <v>#DIV/0!</v>
      </c>
      <c r="GR138" s="113" t="e">
        <f t="shared" ref="GR138" ca="1" si="490">GR137</f>
        <v>#DIV/0!</v>
      </c>
      <c r="GS138" s="113" t="e">
        <f t="shared" ref="GS138" ca="1" si="491">GS137</f>
        <v>#DIV/0!</v>
      </c>
      <c r="GT138" s="113" t="e">
        <f t="shared" ref="GT138" ca="1" si="492">GT137</f>
        <v>#DIV/0!</v>
      </c>
      <c r="GU138" s="113" t="e">
        <f t="shared" ref="GU138" ca="1" si="493">GU137</f>
        <v>#DIV/0!</v>
      </c>
    </row>
    <row r="139" spans="1:250" x14ac:dyDescent="0.3">
      <c r="A139" s="169"/>
      <c r="B139" s="169"/>
      <c r="C139" s="169"/>
      <c r="D139" s="169"/>
      <c r="E139" s="169"/>
      <c r="F139" s="169"/>
      <c r="G139" s="169"/>
      <c r="H139" s="169"/>
      <c r="I139" s="169"/>
      <c r="J139" s="169"/>
      <c r="K139" s="169"/>
      <c r="AB139" s="36"/>
      <c r="AC139" s="135"/>
      <c r="AD139" s="135"/>
      <c r="AE139" s="44"/>
      <c r="AF139" s="44"/>
      <c r="AG139" s="141"/>
      <c r="AH139" s="141"/>
      <c r="AI139" s="36"/>
      <c r="AJ139" s="36"/>
      <c r="AK139" s="36"/>
      <c r="AL139" s="36"/>
      <c r="AM139" s="36"/>
      <c r="AN139" s="36"/>
      <c r="AO139" s="36"/>
      <c r="CR139" s="44"/>
      <c r="CS139" s="44"/>
      <c r="CT139" s="44"/>
      <c r="CU139" s="48"/>
      <c r="CV139" s="142"/>
      <c r="CW139" s="44"/>
      <c r="CX139" s="83"/>
      <c r="CY139" s="83"/>
      <c r="CZ139" s="83"/>
      <c r="DA139" s="44"/>
      <c r="DB139" s="143"/>
      <c r="DC139" s="44"/>
      <c r="DD139" s="44"/>
      <c r="DE139" s="44"/>
      <c r="DF139" s="44"/>
      <c r="DG139" s="44"/>
      <c r="DH139" s="44"/>
      <c r="DI139" s="75"/>
      <c r="DJ139" s="57"/>
      <c r="DK139" s="57"/>
      <c r="DL139" s="57"/>
      <c r="DM139" s="87"/>
      <c r="DN139" s="99"/>
      <c r="DO139" s="57"/>
      <c r="DP139" s="57"/>
      <c r="DQ139" s="87"/>
      <c r="DR139" s="99"/>
      <c r="DS139" s="44"/>
      <c r="DT139" s="83"/>
      <c r="DU139" s="83"/>
      <c r="DV139" s="83"/>
      <c r="DW139" s="44"/>
      <c r="DX139" s="144"/>
      <c r="DY139" s="144"/>
      <c r="DZ139" s="144"/>
      <c r="FR139" s="82"/>
      <c r="FS139" s="61">
        <v>0</v>
      </c>
      <c r="FT139" s="69">
        <f>FT138</f>
        <v>0</v>
      </c>
      <c r="FU139" s="61">
        <v>0</v>
      </c>
      <c r="FV139" s="69">
        <f t="shared" si="485"/>
        <v>0</v>
      </c>
      <c r="FW139" s="69">
        <v>0</v>
      </c>
      <c r="FX139" s="70">
        <f t="shared" si="486"/>
        <v>0</v>
      </c>
      <c r="FY139" s="82"/>
      <c r="FZ139" s="61">
        <v>0</v>
      </c>
      <c r="GA139" s="69">
        <f>GA138</f>
        <v>0</v>
      </c>
      <c r="GB139" s="61">
        <v>0</v>
      </c>
      <c r="GC139" s="109">
        <f t="shared" si="401"/>
        <v>0</v>
      </c>
      <c r="GD139" s="61">
        <v>0</v>
      </c>
      <c r="GE139" s="110">
        <f t="shared" si="487"/>
        <v>0</v>
      </c>
      <c r="GF139" s="84"/>
      <c r="GG139" s="111">
        <v>0</v>
      </c>
      <c r="GH139" s="85">
        <f>GH138</f>
        <v>0</v>
      </c>
      <c r="GI139" s="112">
        <v>0</v>
      </c>
      <c r="GJ139" s="112">
        <f t="shared" si="402"/>
        <v>0</v>
      </c>
      <c r="GK139" s="112">
        <v>0</v>
      </c>
      <c r="GL139" s="112">
        <f t="shared" si="403"/>
        <v>0</v>
      </c>
      <c r="GN139" s="69">
        <f t="shared" si="424"/>
        <v>0</v>
      </c>
      <c r="GO139" s="113"/>
      <c r="GP139" s="113"/>
      <c r="GQ139" s="113"/>
      <c r="GR139" s="113"/>
      <c r="GS139" s="113"/>
      <c r="GT139" s="113"/>
      <c r="GU139" s="113"/>
    </row>
    <row r="140" spans="1:250" x14ac:dyDescent="0.3">
      <c r="A140" s="169"/>
      <c r="B140" s="169"/>
      <c r="C140" s="169"/>
      <c r="D140" s="169"/>
      <c r="E140" s="169"/>
      <c r="F140" s="169"/>
      <c r="G140" s="169"/>
      <c r="H140" s="169"/>
      <c r="I140" s="169"/>
      <c r="J140" s="169"/>
      <c r="K140" s="169"/>
      <c r="AB140" s="36"/>
      <c r="AC140" s="135"/>
      <c r="AD140" s="135"/>
      <c r="AE140" s="44"/>
      <c r="AF140" s="44"/>
      <c r="AG140" s="61"/>
      <c r="AH140" s="61"/>
      <c r="AI140" s="36"/>
      <c r="AJ140" s="36"/>
      <c r="AK140" s="36"/>
      <c r="AL140" s="36"/>
      <c r="AM140" s="36"/>
      <c r="AN140" s="36"/>
      <c r="AO140" s="36"/>
      <c r="CR140" s="44"/>
      <c r="CS140" s="44"/>
      <c r="CT140" s="44"/>
      <c r="CU140" s="48"/>
      <c r="CV140" s="142"/>
      <c r="CW140" s="44"/>
      <c r="CX140" s="83"/>
      <c r="CY140" s="83"/>
      <c r="CZ140" s="83"/>
      <c r="DA140" s="44"/>
      <c r="DB140" s="143"/>
      <c r="DC140" s="44"/>
      <c r="DD140" s="44"/>
      <c r="DE140" s="44"/>
      <c r="DF140" s="44"/>
      <c r="DG140" s="44"/>
      <c r="DH140" s="44"/>
      <c r="DI140" s="75"/>
      <c r="DJ140" s="57"/>
      <c r="DK140" s="57"/>
      <c r="DL140" s="57"/>
      <c r="DM140" s="87"/>
      <c r="DN140" s="99"/>
      <c r="DO140" s="57"/>
      <c r="DP140" s="57"/>
      <c r="DQ140" s="87"/>
      <c r="DR140" s="99"/>
      <c r="DS140" s="44"/>
      <c r="DT140" s="83"/>
      <c r="DU140" s="83"/>
      <c r="DV140" s="83"/>
      <c r="DW140" s="44"/>
      <c r="DX140" s="144"/>
      <c r="DY140" s="144"/>
      <c r="DZ140" s="144"/>
      <c r="FR140" s="82">
        <f>FR136+1</f>
        <v>32</v>
      </c>
      <c r="FS140" s="61">
        <v>0</v>
      </c>
      <c r="FT140" s="69">
        <f>INDEX(AF16:AF115,MATCH(GF140,A16:A115,0))</f>
        <v>0</v>
      </c>
      <c r="FU140" s="61">
        <v>0</v>
      </c>
      <c r="FV140" s="69">
        <f>FT140</f>
        <v>0</v>
      </c>
      <c r="FW140" s="69">
        <v>0</v>
      </c>
      <c r="FX140" s="70">
        <f>FV140</f>
        <v>0</v>
      </c>
      <c r="FY140" s="82">
        <f>FY136+1</f>
        <v>32</v>
      </c>
      <c r="FZ140" s="61">
        <v>0</v>
      </c>
      <c r="GA140" s="69">
        <f>FT140</f>
        <v>0</v>
      </c>
      <c r="GB140" s="108">
        <v>0</v>
      </c>
      <c r="GC140" s="109">
        <f t="shared" si="401"/>
        <v>0</v>
      </c>
      <c r="GD140" s="61">
        <v>0</v>
      </c>
      <c r="GE140" s="110">
        <f>GC140</f>
        <v>0</v>
      </c>
      <c r="GF140" s="84">
        <f>GF136+1</f>
        <v>32</v>
      </c>
      <c r="GG140" s="111">
        <v>0</v>
      </c>
      <c r="GH140" s="85">
        <f>FT140</f>
        <v>0</v>
      </c>
      <c r="GI140" s="112">
        <v>0</v>
      </c>
      <c r="GJ140" s="112">
        <f t="shared" si="402"/>
        <v>0</v>
      </c>
      <c r="GK140" s="112">
        <v>0</v>
      </c>
      <c r="GL140" s="112">
        <f t="shared" si="403"/>
        <v>0</v>
      </c>
      <c r="GM140" s="117">
        <f>GM136+1</f>
        <v>32</v>
      </c>
      <c r="GN140" s="69">
        <f t="shared" si="424"/>
        <v>0</v>
      </c>
      <c r="GO140" s="113"/>
      <c r="GP140" s="113"/>
      <c r="GQ140" s="113"/>
      <c r="GR140" s="113"/>
      <c r="GS140" s="113"/>
      <c r="GT140" s="113"/>
      <c r="GU140" s="113"/>
    </row>
    <row r="141" spans="1:250" x14ac:dyDescent="0.3">
      <c r="A141" s="169"/>
      <c r="B141" s="169"/>
      <c r="C141" s="169"/>
      <c r="D141" s="169"/>
      <c r="E141" s="169"/>
      <c r="F141" s="169"/>
      <c r="G141" s="169"/>
      <c r="H141" s="169"/>
      <c r="I141" s="169"/>
      <c r="J141" s="169"/>
      <c r="K141" s="169"/>
      <c r="AB141" s="36"/>
      <c r="AC141" s="135"/>
      <c r="AD141" s="135"/>
      <c r="AE141" s="44"/>
      <c r="AF141" s="44"/>
      <c r="AG141" s="61"/>
      <c r="AH141" s="61"/>
      <c r="AI141" s="36"/>
      <c r="AJ141" s="36"/>
      <c r="AK141" s="36"/>
      <c r="AL141" s="36"/>
      <c r="AM141" s="36"/>
      <c r="AN141" s="36"/>
      <c r="AO141" s="36"/>
      <c r="CR141" s="44"/>
      <c r="CS141" s="44"/>
      <c r="CT141" s="44"/>
      <c r="CU141" s="48"/>
      <c r="CV141" s="142"/>
      <c r="CW141" s="44"/>
      <c r="CX141" s="83"/>
      <c r="CY141" s="83"/>
      <c r="CZ141" s="83"/>
      <c r="DA141" s="44"/>
      <c r="DB141" s="143"/>
      <c r="DC141" s="44"/>
      <c r="DD141" s="44"/>
      <c r="DE141" s="44"/>
      <c r="DF141" s="44"/>
      <c r="DG141" s="44"/>
      <c r="DH141" s="44"/>
      <c r="DI141" s="75"/>
      <c r="DJ141" s="57"/>
      <c r="DK141" s="57"/>
      <c r="DL141" s="57"/>
      <c r="DM141" s="87"/>
      <c r="DN141" s="99"/>
      <c r="DO141" s="57"/>
      <c r="DP141" s="57"/>
      <c r="DQ141" s="87"/>
      <c r="DR141" s="99"/>
      <c r="DS141" s="44"/>
      <c r="DT141" s="83"/>
      <c r="DU141" s="83"/>
      <c r="DV141" s="83"/>
      <c r="DW141" s="44"/>
      <c r="DX141" s="144"/>
      <c r="DY141" s="144"/>
      <c r="DZ141" s="144"/>
      <c r="FR141" s="82"/>
      <c r="FS141" s="69">
        <f ca="1">INDEX(EB16:EB115,MATCH(GF140,A16:A115,0))</f>
        <v>0</v>
      </c>
      <c r="FT141" s="69">
        <f>FT140</f>
        <v>0</v>
      </c>
      <c r="FU141" s="69">
        <f ca="1">INDEX(EC16:EC115,MATCH(GF140,A16:A115,0))</f>
        <v>0</v>
      </c>
      <c r="FV141" s="69">
        <f t="shared" ref="FV141:FV143" si="494">FT141</f>
        <v>0</v>
      </c>
      <c r="FW141" s="69">
        <f ca="1">INDEX(ED16:ED115,MATCH(GF140,A16:A115,0))</f>
        <v>0</v>
      </c>
      <c r="FX141" s="70">
        <f t="shared" ref="FX141:FX143" si="495">FV141</f>
        <v>0</v>
      </c>
      <c r="FY141" s="82"/>
      <c r="FZ141" s="101">
        <f ca="1">INDEX(EE16:EE115,MATCH(GF140,A16:A115,0))</f>
        <v>0</v>
      </c>
      <c r="GA141" s="69">
        <f>GA140</f>
        <v>0</v>
      </c>
      <c r="GB141" s="61">
        <f ca="1">INDEX(EG16:EG115,MATCH(GF140,A16:A115,0))</f>
        <v>0</v>
      </c>
      <c r="GC141" s="109">
        <f t="shared" si="401"/>
        <v>0</v>
      </c>
      <c r="GD141" s="69">
        <f ca="1">INDEX(EI16:EI115,MATCH(GF140,A16:A115,0))</f>
        <v>0</v>
      </c>
      <c r="GE141" s="110">
        <f t="shared" ref="GE141:GE143" si="496">GC141</f>
        <v>0</v>
      </c>
      <c r="GF141" s="84"/>
      <c r="GG141" s="111">
        <f ca="1">FS141+FZ141</f>
        <v>0</v>
      </c>
      <c r="GH141" s="85">
        <f>GH140</f>
        <v>0</v>
      </c>
      <c r="GI141" s="111">
        <f ca="1">FU141+GB141</f>
        <v>0</v>
      </c>
      <c r="GJ141" s="112">
        <f t="shared" si="402"/>
        <v>0</v>
      </c>
      <c r="GK141" s="111">
        <f ca="1">FW141+GD141</f>
        <v>0</v>
      </c>
      <c r="GL141" s="112">
        <f t="shared" si="403"/>
        <v>0</v>
      </c>
      <c r="GN141" s="69">
        <f t="shared" si="424"/>
        <v>0</v>
      </c>
      <c r="GO141" s="113" t="e">
        <f ca="1">INDEX(FJ16:FJ115,MATCH(GM140,A16:A115,0))</f>
        <v>#DIV/0!</v>
      </c>
      <c r="GP141" s="113" t="e">
        <f ca="1">INDEX(FK16:FK115,MATCH(GM140,A16:A115,0))</f>
        <v>#DIV/0!</v>
      </c>
      <c r="GQ141" s="113" t="e">
        <f ca="1">INDEX(FL16:FL115,MATCH(GM140,A16:A115,0))</f>
        <v>#DIV/0!</v>
      </c>
      <c r="GR141" s="113" t="e">
        <f ca="1">INDEX(FM16:FM115,MATCH(GM140,A16:A115,0))</f>
        <v>#DIV/0!</v>
      </c>
      <c r="GS141" s="113" t="e">
        <f ca="1">INDEX(FN16:FN115,MATCH(GM140,A16:A115,0))</f>
        <v>#DIV/0!</v>
      </c>
      <c r="GT141" s="113" t="e">
        <f ca="1">INDEX(FO16:FO115,MATCH(GM140,A16:A115,0))</f>
        <v>#DIV/0!</v>
      </c>
      <c r="GU141" s="113" t="e">
        <f ca="1">INDEX(FP16:FP115,MATCH(GM140,A16:A115,0))</f>
        <v>#DIV/0!</v>
      </c>
    </row>
    <row r="142" spans="1:250" x14ac:dyDescent="0.3">
      <c r="A142" s="169"/>
      <c r="B142" s="169"/>
      <c r="C142" s="169"/>
      <c r="D142" s="169"/>
      <c r="E142" s="169"/>
      <c r="F142" s="169"/>
      <c r="G142" s="169"/>
      <c r="H142" s="169"/>
      <c r="I142" s="169"/>
      <c r="J142" s="169"/>
      <c r="K142" s="169"/>
      <c r="AB142" s="36"/>
      <c r="AC142" s="135"/>
      <c r="AD142" s="135"/>
      <c r="AE142" s="44"/>
      <c r="AF142" s="44"/>
      <c r="AG142" s="44"/>
      <c r="AH142" s="44"/>
      <c r="AI142" s="36"/>
      <c r="AJ142" s="36"/>
      <c r="AK142" s="36"/>
      <c r="AL142" s="36"/>
      <c r="AM142" s="36"/>
      <c r="AN142" s="36"/>
      <c r="AO142" s="36"/>
      <c r="CR142" s="44"/>
      <c r="CS142" s="44"/>
      <c r="CT142" s="44"/>
      <c r="CU142" s="48"/>
      <c r="CV142" s="142"/>
      <c r="CW142" s="44"/>
      <c r="CX142" s="83"/>
      <c r="CY142" s="83"/>
      <c r="CZ142" s="83"/>
      <c r="DA142" s="44"/>
      <c r="DB142" s="143"/>
      <c r="DC142" s="44"/>
      <c r="DD142" s="44"/>
      <c r="DE142" s="44"/>
      <c r="DF142" s="44"/>
      <c r="DG142" s="44"/>
      <c r="DH142" s="44"/>
      <c r="DI142" s="75"/>
      <c r="DJ142" s="57"/>
      <c r="DK142" s="57"/>
      <c r="DL142" s="57"/>
      <c r="DM142" s="87"/>
      <c r="DN142" s="99"/>
      <c r="DO142" s="57"/>
      <c r="DP142" s="57"/>
      <c r="DQ142" s="87"/>
      <c r="DR142" s="99"/>
      <c r="DS142" s="44"/>
      <c r="DT142" s="83"/>
      <c r="DU142" s="83"/>
      <c r="DV142" s="83"/>
      <c r="DW142" s="44"/>
      <c r="DX142" s="144"/>
      <c r="DY142" s="144"/>
      <c r="DZ142" s="144"/>
      <c r="FR142" s="82"/>
      <c r="FS142" s="69">
        <f ca="1">FS141</f>
        <v>0</v>
      </c>
      <c r="FT142" s="69">
        <f>INDEX(AE16:AE115,MATCH(GF140,A16:A115,0))</f>
        <v>0</v>
      </c>
      <c r="FU142" s="69">
        <f ca="1">FU141</f>
        <v>0</v>
      </c>
      <c r="FV142" s="69">
        <f t="shared" si="494"/>
        <v>0</v>
      </c>
      <c r="FW142" s="69">
        <f ca="1">FW141</f>
        <v>0</v>
      </c>
      <c r="FX142" s="70">
        <f t="shared" si="495"/>
        <v>0</v>
      </c>
      <c r="FY142" s="82"/>
      <c r="FZ142" s="101">
        <f ca="1">INDEX(EF16:EF115,MATCH(GF140,A16:A115,0))</f>
        <v>0</v>
      </c>
      <c r="GA142" s="69">
        <f>FT142</f>
        <v>0</v>
      </c>
      <c r="GB142" s="61">
        <f ca="1">INDEX(EH16:EH115,MATCH(GF140,A16:A115,0))</f>
        <v>0</v>
      </c>
      <c r="GC142" s="109">
        <f t="shared" si="401"/>
        <v>0</v>
      </c>
      <c r="GD142" s="69">
        <f ca="1">INDEX(EJ16:EJ115,MATCH(GF140,A16:A115,0))</f>
        <v>0</v>
      </c>
      <c r="GE142" s="110">
        <f t="shared" si="496"/>
        <v>0</v>
      </c>
      <c r="GF142" s="84"/>
      <c r="GG142" s="111">
        <f ca="1">FS142+FZ142</f>
        <v>0</v>
      </c>
      <c r="GH142" s="85">
        <f>FT142</f>
        <v>0</v>
      </c>
      <c r="GI142" s="111">
        <f ca="1">FU142+GB142</f>
        <v>0</v>
      </c>
      <c r="GJ142" s="112">
        <f t="shared" si="402"/>
        <v>0</v>
      </c>
      <c r="GK142" s="111">
        <f ca="1">FW142+GD142</f>
        <v>0</v>
      </c>
      <c r="GL142" s="112">
        <f t="shared" si="403"/>
        <v>0</v>
      </c>
      <c r="GN142" s="69">
        <f t="shared" si="424"/>
        <v>0</v>
      </c>
      <c r="GO142" s="113" t="e">
        <f ca="1">GO141</f>
        <v>#DIV/0!</v>
      </c>
      <c r="GP142" s="113" t="e">
        <f t="shared" ref="GP142" ca="1" si="497">GP141</f>
        <v>#DIV/0!</v>
      </c>
      <c r="GQ142" s="113" t="e">
        <f t="shared" ref="GQ142" ca="1" si="498">GQ141</f>
        <v>#DIV/0!</v>
      </c>
      <c r="GR142" s="113" t="e">
        <f t="shared" ref="GR142" ca="1" si="499">GR141</f>
        <v>#DIV/0!</v>
      </c>
      <c r="GS142" s="113" t="e">
        <f t="shared" ref="GS142" ca="1" si="500">GS141</f>
        <v>#DIV/0!</v>
      </c>
      <c r="GT142" s="113" t="e">
        <f t="shared" ref="GT142" ca="1" si="501">GT141</f>
        <v>#DIV/0!</v>
      </c>
      <c r="GU142" s="113" t="e">
        <f t="shared" ref="GU142" ca="1" si="502">GU141</f>
        <v>#DIV/0!</v>
      </c>
    </row>
    <row r="143" spans="1:250" x14ac:dyDescent="0.3">
      <c r="A143" s="169"/>
      <c r="B143" s="169"/>
      <c r="C143" s="169"/>
      <c r="D143" s="169"/>
      <c r="E143" s="169"/>
      <c r="F143" s="169"/>
      <c r="G143" s="169"/>
      <c r="H143" s="169"/>
      <c r="I143" s="169"/>
      <c r="J143" s="169"/>
      <c r="K143" s="169"/>
      <c r="AB143" s="36"/>
      <c r="AC143" s="135"/>
      <c r="AD143" s="135"/>
      <c r="AE143" s="44"/>
      <c r="AF143" s="44"/>
      <c r="AG143" s="61"/>
      <c r="AH143" s="61"/>
      <c r="AI143" s="36"/>
      <c r="AJ143" s="36"/>
      <c r="AK143" s="36"/>
      <c r="AL143" s="36"/>
      <c r="AM143" s="36"/>
      <c r="AN143" s="36"/>
      <c r="AO143" s="36"/>
      <c r="CR143" s="44"/>
      <c r="CS143" s="44"/>
      <c r="CT143" s="44"/>
      <c r="CU143" s="48"/>
      <c r="CV143" s="142"/>
      <c r="CW143" s="44"/>
      <c r="CX143" s="83"/>
      <c r="CY143" s="83"/>
      <c r="CZ143" s="83"/>
      <c r="DA143" s="44"/>
      <c r="DB143" s="143"/>
      <c r="DC143" s="44"/>
      <c r="DD143" s="44"/>
      <c r="DE143" s="44"/>
      <c r="DF143" s="44"/>
      <c r="DG143" s="44"/>
      <c r="DH143" s="44"/>
      <c r="DI143" s="75"/>
      <c r="DJ143" s="57"/>
      <c r="DK143" s="57"/>
      <c r="DL143" s="57"/>
      <c r="DM143" s="87"/>
      <c r="DN143" s="99"/>
      <c r="DO143" s="57"/>
      <c r="DP143" s="57"/>
      <c r="DQ143" s="87"/>
      <c r="DR143" s="99"/>
      <c r="DS143" s="44"/>
      <c r="DT143" s="83"/>
      <c r="DU143" s="83"/>
      <c r="DV143" s="83"/>
      <c r="DW143" s="44"/>
      <c r="DX143" s="144"/>
      <c r="DY143" s="144"/>
      <c r="DZ143" s="144"/>
      <c r="FR143" s="82"/>
      <c r="FS143" s="61">
        <v>0</v>
      </c>
      <c r="FT143" s="69">
        <f>FT142</f>
        <v>0</v>
      </c>
      <c r="FU143" s="61">
        <v>0</v>
      </c>
      <c r="FV143" s="69">
        <f t="shared" si="494"/>
        <v>0</v>
      </c>
      <c r="FW143" s="69">
        <v>0</v>
      </c>
      <c r="FX143" s="70">
        <f t="shared" si="495"/>
        <v>0</v>
      </c>
      <c r="FY143" s="82"/>
      <c r="FZ143" s="61">
        <v>0</v>
      </c>
      <c r="GA143" s="69">
        <f>GA142</f>
        <v>0</v>
      </c>
      <c r="GB143" s="61">
        <v>0</v>
      </c>
      <c r="GC143" s="109">
        <f t="shared" si="401"/>
        <v>0</v>
      </c>
      <c r="GD143" s="61">
        <v>0</v>
      </c>
      <c r="GE143" s="110">
        <f t="shared" si="496"/>
        <v>0</v>
      </c>
      <c r="GF143" s="84"/>
      <c r="GG143" s="111">
        <v>0</v>
      </c>
      <c r="GH143" s="85">
        <f>GH142</f>
        <v>0</v>
      </c>
      <c r="GI143" s="112">
        <v>0</v>
      </c>
      <c r="GJ143" s="112">
        <f t="shared" si="402"/>
        <v>0</v>
      </c>
      <c r="GK143" s="112">
        <v>0</v>
      </c>
      <c r="GL143" s="112">
        <f t="shared" si="403"/>
        <v>0</v>
      </c>
      <c r="GN143" s="69">
        <f t="shared" si="424"/>
        <v>0</v>
      </c>
      <c r="GO143" s="113"/>
      <c r="GP143" s="113"/>
      <c r="GQ143" s="113"/>
      <c r="GR143" s="113"/>
      <c r="GS143" s="113"/>
      <c r="GT143" s="113"/>
      <c r="GU143" s="113"/>
    </row>
    <row r="144" spans="1:250" x14ac:dyDescent="0.3">
      <c r="A144" s="169"/>
      <c r="B144" s="148"/>
      <c r="C144" s="169"/>
      <c r="D144" s="169"/>
      <c r="E144" s="169"/>
      <c r="F144" s="169"/>
      <c r="G144" s="169"/>
      <c r="H144" s="169"/>
      <c r="I144" s="169"/>
      <c r="J144" s="169"/>
      <c r="K144" s="169"/>
      <c r="AB144" s="36"/>
      <c r="AC144" s="135"/>
      <c r="AD144" s="135"/>
      <c r="AE144" s="44"/>
      <c r="AF144" s="44"/>
      <c r="AG144" s="61"/>
      <c r="AH144" s="61"/>
      <c r="AI144" s="36"/>
      <c r="AJ144" s="36"/>
      <c r="AK144" s="36"/>
      <c r="AL144" s="36"/>
      <c r="AM144" s="36"/>
      <c r="AN144" s="36"/>
      <c r="AO144" s="36"/>
      <c r="CR144" s="44"/>
      <c r="CS144" s="44"/>
      <c r="CT144" s="44"/>
      <c r="CU144" s="48"/>
      <c r="CV144" s="142"/>
      <c r="CW144" s="44"/>
      <c r="CX144" s="83"/>
      <c r="CY144" s="83"/>
      <c r="CZ144" s="83"/>
      <c r="DA144" s="44"/>
      <c r="DB144" s="143"/>
      <c r="DC144" s="44"/>
      <c r="DD144" s="44"/>
      <c r="DE144" s="44"/>
      <c r="DF144" s="44"/>
      <c r="DG144" s="44"/>
      <c r="DH144" s="44"/>
      <c r="DI144" s="75"/>
      <c r="DJ144" s="57"/>
      <c r="DK144" s="57"/>
      <c r="DL144" s="57"/>
      <c r="DM144" s="87"/>
      <c r="DN144" s="99"/>
      <c r="DO144" s="57"/>
      <c r="DP144" s="57"/>
      <c r="DQ144" s="87"/>
      <c r="DR144" s="99"/>
      <c r="DS144" s="44"/>
      <c r="DT144" s="83"/>
      <c r="DU144" s="83"/>
      <c r="DV144" s="83"/>
      <c r="DW144" s="44"/>
      <c r="DX144" s="144"/>
      <c r="DY144" s="144"/>
      <c r="DZ144" s="144"/>
      <c r="FR144" s="82">
        <f>FR140+1</f>
        <v>33</v>
      </c>
      <c r="FS144" s="61">
        <v>0</v>
      </c>
      <c r="FT144" s="69">
        <f>INDEX(AF16:AF115,MATCH(GF144,A16:A115,0))</f>
        <v>0</v>
      </c>
      <c r="FU144" s="61">
        <v>0</v>
      </c>
      <c r="FV144" s="69">
        <f>FT144</f>
        <v>0</v>
      </c>
      <c r="FW144" s="69">
        <v>0</v>
      </c>
      <c r="FX144" s="70">
        <f>FV144</f>
        <v>0</v>
      </c>
      <c r="FY144" s="82">
        <f>FY140+1</f>
        <v>33</v>
      </c>
      <c r="FZ144" s="61">
        <v>0</v>
      </c>
      <c r="GA144" s="69">
        <f>FT144</f>
        <v>0</v>
      </c>
      <c r="GB144" s="108">
        <v>0</v>
      </c>
      <c r="GC144" s="109">
        <f t="shared" si="401"/>
        <v>0</v>
      </c>
      <c r="GD144" s="61">
        <v>0</v>
      </c>
      <c r="GE144" s="110">
        <f>GC144</f>
        <v>0</v>
      </c>
      <c r="GF144" s="84">
        <f>GF140+1</f>
        <v>33</v>
      </c>
      <c r="GG144" s="111">
        <v>0</v>
      </c>
      <c r="GH144" s="85">
        <f>FT144</f>
        <v>0</v>
      </c>
      <c r="GI144" s="112">
        <v>0</v>
      </c>
      <c r="GJ144" s="112">
        <f t="shared" si="402"/>
        <v>0</v>
      </c>
      <c r="GK144" s="112">
        <v>0</v>
      </c>
      <c r="GL144" s="112">
        <f t="shared" si="403"/>
        <v>0</v>
      </c>
      <c r="GM144" s="117">
        <f>GM140+1</f>
        <v>33</v>
      </c>
      <c r="GN144" s="69">
        <f t="shared" ref="GN144:GN155" si="503">GH144</f>
        <v>0</v>
      </c>
      <c r="GO144" s="113"/>
      <c r="GP144" s="113"/>
      <c r="GQ144" s="113"/>
      <c r="GR144" s="113"/>
      <c r="GS144" s="113"/>
      <c r="GT144" s="113"/>
      <c r="GU144" s="113"/>
    </row>
    <row r="145" spans="1:255" x14ac:dyDescent="0.3">
      <c r="A145" s="169"/>
      <c r="B145" s="139"/>
      <c r="C145" s="169"/>
      <c r="D145" s="169"/>
      <c r="E145" s="169"/>
      <c r="F145" s="169"/>
      <c r="G145" s="145"/>
      <c r="H145" s="145"/>
      <c r="I145" s="145"/>
      <c r="J145" s="145"/>
      <c r="K145" s="191"/>
      <c r="AB145" s="36"/>
      <c r="AC145" s="135"/>
      <c r="AD145" s="135"/>
      <c r="AE145" s="44"/>
      <c r="AF145" s="44"/>
      <c r="AG145" s="44"/>
      <c r="AH145" s="44"/>
      <c r="AI145" s="36"/>
      <c r="AJ145" s="36"/>
      <c r="AK145" s="36"/>
      <c r="AL145" s="36"/>
      <c r="AM145" s="36"/>
      <c r="AN145" s="36"/>
      <c r="AO145" s="36"/>
      <c r="CR145" s="44"/>
      <c r="CS145" s="44"/>
      <c r="CT145" s="44"/>
      <c r="CU145" s="48"/>
      <c r="CV145" s="142"/>
      <c r="CW145" s="44"/>
      <c r="CX145" s="83"/>
      <c r="CY145" s="83"/>
      <c r="CZ145" s="83"/>
      <c r="DA145" s="44"/>
      <c r="DB145" s="143"/>
      <c r="DC145" s="44"/>
      <c r="DD145" s="44"/>
      <c r="DE145" s="44"/>
      <c r="DF145" s="44"/>
      <c r="DG145" s="44"/>
      <c r="DH145" s="44"/>
      <c r="DI145" s="75"/>
      <c r="DJ145" s="57"/>
      <c r="DK145" s="57"/>
      <c r="DL145" s="57"/>
      <c r="DM145" s="87"/>
      <c r="DN145" s="99"/>
      <c r="DO145" s="57"/>
      <c r="DP145" s="57"/>
      <c r="DQ145" s="87"/>
      <c r="DR145" s="99"/>
      <c r="DS145" s="44"/>
      <c r="DT145" s="83"/>
      <c r="DU145" s="83"/>
      <c r="DV145" s="83"/>
      <c r="DW145" s="44"/>
      <c r="DX145" s="144"/>
      <c r="DY145" s="144"/>
      <c r="DZ145" s="144"/>
      <c r="FR145" s="82"/>
      <c r="FS145" s="69">
        <f ca="1">INDEX(EB16:EB115,MATCH(GF144,A16:A115,0))</f>
        <v>0</v>
      </c>
      <c r="FT145" s="69">
        <f>FT144</f>
        <v>0</v>
      </c>
      <c r="FU145" s="69">
        <f ca="1">INDEX(EC16:EC115,MATCH(GF144,A16:A115,0))</f>
        <v>0</v>
      </c>
      <c r="FV145" s="69">
        <f t="shared" ref="FV145:FV147" si="504">FT145</f>
        <v>0</v>
      </c>
      <c r="FW145" s="69">
        <f ca="1">INDEX(ED16:ED115,MATCH(GF144,A16:A115,0))</f>
        <v>0</v>
      </c>
      <c r="FX145" s="70">
        <f t="shared" ref="FX145:FX147" si="505">FV145</f>
        <v>0</v>
      </c>
      <c r="FY145" s="82"/>
      <c r="FZ145" s="101">
        <f ca="1">INDEX(EE16:EE115,MATCH(GF144,A16:A115,0))</f>
        <v>0</v>
      </c>
      <c r="GA145" s="69">
        <f>GA144</f>
        <v>0</v>
      </c>
      <c r="GB145" s="61">
        <f ca="1">INDEX(EG16:EG115,MATCH(GF144,A16:A115,0))</f>
        <v>0</v>
      </c>
      <c r="GC145" s="109">
        <f t="shared" si="401"/>
        <v>0</v>
      </c>
      <c r="GD145" s="69">
        <f ca="1">INDEX(EI16:EI115,MATCH(GF144,A16:A115,0))</f>
        <v>0</v>
      </c>
      <c r="GE145" s="110">
        <f t="shared" ref="GE145:GE147" si="506">GC145</f>
        <v>0</v>
      </c>
      <c r="GF145" s="84"/>
      <c r="GG145" s="111">
        <f ca="1">FS145+FZ145</f>
        <v>0</v>
      </c>
      <c r="GH145" s="85">
        <f>GH144</f>
        <v>0</v>
      </c>
      <c r="GI145" s="111">
        <f ca="1">FU145+GB145</f>
        <v>0</v>
      </c>
      <c r="GJ145" s="112">
        <f t="shared" si="402"/>
        <v>0</v>
      </c>
      <c r="GK145" s="111">
        <f ca="1">FW145+GD145</f>
        <v>0</v>
      </c>
      <c r="GL145" s="112">
        <f t="shared" si="403"/>
        <v>0</v>
      </c>
      <c r="GN145" s="69">
        <f t="shared" si="503"/>
        <v>0</v>
      </c>
      <c r="GO145" s="113" t="e">
        <f ca="1">INDEX(FJ16:FJ115,MATCH(GM144,A16:A115,0))</f>
        <v>#DIV/0!</v>
      </c>
      <c r="GP145" s="113" t="e">
        <f ca="1">INDEX(FK16:FK115,MATCH(GM144,A16:A115,0))</f>
        <v>#DIV/0!</v>
      </c>
      <c r="GQ145" s="113" t="e">
        <f ca="1">INDEX(FL16:FL115,MATCH(GM144,A16:A115,0))</f>
        <v>#DIV/0!</v>
      </c>
      <c r="GR145" s="113" t="e">
        <f ca="1">INDEX(FM16:FM115,MATCH(GM144,A16:A115,0))</f>
        <v>#DIV/0!</v>
      </c>
      <c r="GS145" s="113" t="e">
        <f ca="1">INDEX(FN16:FN115,MATCH(GM144,A16:A115,0))</f>
        <v>#DIV/0!</v>
      </c>
      <c r="GT145" s="113" t="e">
        <f ca="1">INDEX(FO16:FO115,MATCH(GM144,A16:A115,0))</f>
        <v>#DIV/0!</v>
      </c>
      <c r="GU145" s="113" t="e">
        <f ca="1">INDEX(FP16:FP115,MATCH(GM144,A16:A115,0))</f>
        <v>#DIV/0!</v>
      </c>
    </row>
    <row r="146" spans="1:255" x14ac:dyDescent="0.3">
      <c r="A146" s="169"/>
      <c r="B146" s="149"/>
      <c r="C146" s="169"/>
      <c r="D146" s="169"/>
      <c r="E146" s="169"/>
      <c r="F146" s="169"/>
      <c r="G146" s="145"/>
      <c r="H146" s="145"/>
      <c r="I146" s="145"/>
      <c r="J146" s="145"/>
      <c r="K146" s="191"/>
      <c r="AB146" s="36"/>
      <c r="AC146" s="36"/>
      <c r="AD146" s="36"/>
      <c r="AE146" s="36"/>
      <c r="AF146" s="36"/>
      <c r="AG146" s="36"/>
      <c r="AH146" s="36"/>
      <c r="AI146" s="36"/>
      <c r="AJ146" s="36"/>
      <c r="AK146" s="36"/>
      <c r="AL146" s="36"/>
      <c r="AM146" s="36"/>
      <c r="AN146" s="36"/>
      <c r="AO146" s="36"/>
      <c r="CR146" s="44"/>
      <c r="CS146" s="44"/>
      <c r="CT146" s="44"/>
      <c r="CU146" s="48"/>
      <c r="CV146" s="142"/>
      <c r="CW146" s="44"/>
      <c r="CX146" s="83"/>
      <c r="CY146" s="83"/>
      <c r="CZ146" s="83"/>
      <c r="DA146" s="44"/>
      <c r="DB146" s="143"/>
      <c r="DC146" s="44"/>
      <c r="DD146" s="44"/>
      <c r="DE146" s="44"/>
      <c r="DF146" s="44"/>
      <c r="DG146" s="44"/>
      <c r="DH146" s="44"/>
      <c r="DI146" s="75"/>
      <c r="DJ146" s="57"/>
      <c r="DK146" s="57"/>
      <c r="DL146" s="57"/>
      <c r="DM146" s="87"/>
      <c r="DN146" s="99"/>
      <c r="DO146" s="57"/>
      <c r="DP146" s="57"/>
      <c r="DQ146" s="87"/>
      <c r="DR146" s="99"/>
      <c r="DS146" s="44"/>
      <c r="DT146" s="83"/>
      <c r="DU146" s="83"/>
      <c r="DV146" s="83"/>
      <c r="DW146" s="44"/>
      <c r="DX146" s="144"/>
      <c r="DY146" s="144"/>
      <c r="DZ146" s="144"/>
      <c r="FR146" s="82"/>
      <c r="FS146" s="69">
        <f ca="1">FS145</f>
        <v>0</v>
      </c>
      <c r="FT146" s="69">
        <f>INDEX(AE16:AE115,MATCH(GF144,A16:A115,0))</f>
        <v>0</v>
      </c>
      <c r="FU146" s="69">
        <f ca="1">FU145</f>
        <v>0</v>
      </c>
      <c r="FV146" s="69">
        <f t="shared" si="504"/>
        <v>0</v>
      </c>
      <c r="FW146" s="69">
        <f ca="1">FW145</f>
        <v>0</v>
      </c>
      <c r="FX146" s="70">
        <f t="shared" si="505"/>
        <v>0</v>
      </c>
      <c r="FY146" s="82"/>
      <c r="FZ146" s="101">
        <f ca="1">INDEX(EF16:EF115,MATCH(GF144,A16:A115,0))</f>
        <v>0</v>
      </c>
      <c r="GA146" s="69">
        <f>FT146</f>
        <v>0</v>
      </c>
      <c r="GB146" s="61">
        <f ca="1">INDEX(EH16:EH115,MATCH(GF144,A16:A115,0))</f>
        <v>0</v>
      </c>
      <c r="GC146" s="109">
        <f t="shared" si="401"/>
        <v>0</v>
      </c>
      <c r="GD146" s="69">
        <f ca="1">INDEX(EJ16:EJ115,MATCH(GF144,A16:A115,0))</f>
        <v>0</v>
      </c>
      <c r="GE146" s="110">
        <f t="shared" si="506"/>
        <v>0</v>
      </c>
      <c r="GF146" s="84"/>
      <c r="GG146" s="111">
        <f ca="1">FS146+FZ146</f>
        <v>0</v>
      </c>
      <c r="GH146" s="85">
        <f>FT146</f>
        <v>0</v>
      </c>
      <c r="GI146" s="111">
        <f ca="1">FU146+GB146</f>
        <v>0</v>
      </c>
      <c r="GJ146" s="112">
        <f t="shared" si="402"/>
        <v>0</v>
      </c>
      <c r="GK146" s="111">
        <f ca="1">FW146+GD146</f>
        <v>0</v>
      </c>
      <c r="GL146" s="112">
        <f t="shared" si="403"/>
        <v>0</v>
      </c>
      <c r="GN146" s="69">
        <f t="shared" si="503"/>
        <v>0</v>
      </c>
      <c r="GO146" s="113" t="e">
        <f ca="1">GO145</f>
        <v>#DIV/0!</v>
      </c>
      <c r="GP146" s="113" t="e">
        <f t="shared" ref="GP146" ca="1" si="507">GP145</f>
        <v>#DIV/0!</v>
      </c>
      <c r="GQ146" s="113" t="e">
        <f t="shared" ref="GQ146" ca="1" si="508">GQ145</f>
        <v>#DIV/0!</v>
      </c>
      <c r="GR146" s="113" t="e">
        <f t="shared" ref="GR146" ca="1" si="509">GR145</f>
        <v>#DIV/0!</v>
      </c>
      <c r="GS146" s="113" t="e">
        <f t="shared" ref="GS146" ca="1" si="510">GS145</f>
        <v>#DIV/0!</v>
      </c>
      <c r="GT146" s="113" t="e">
        <f t="shared" ref="GT146" ca="1" si="511">GT145</f>
        <v>#DIV/0!</v>
      </c>
      <c r="GU146" s="113" t="e">
        <f t="shared" ref="GU146" ca="1" si="512">GU145</f>
        <v>#DIV/0!</v>
      </c>
    </row>
    <row r="147" spans="1:255" x14ac:dyDescent="0.3">
      <c r="A147" s="169"/>
      <c r="B147" s="149"/>
      <c r="C147" s="169"/>
      <c r="D147" s="139"/>
      <c r="E147" s="139"/>
      <c r="F147" s="139"/>
      <c r="G147" s="139"/>
      <c r="H147" s="139"/>
      <c r="I147" s="139"/>
      <c r="J147" s="139"/>
      <c r="K147" s="139"/>
      <c r="AB147" s="36"/>
      <c r="AC147" s="36"/>
      <c r="AD147" s="36"/>
      <c r="AE147" s="36"/>
      <c r="AF147" s="36"/>
      <c r="AG147" s="36"/>
      <c r="AH147" s="36"/>
      <c r="AI147" s="36"/>
      <c r="AJ147" s="36"/>
      <c r="AK147" s="36"/>
      <c r="AL147" s="36"/>
      <c r="AM147" s="36"/>
      <c r="AN147" s="36"/>
      <c r="AO147" s="36"/>
      <c r="CR147" s="44"/>
      <c r="CS147" s="44"/>
      <c r="CT147" s="44"/>
      <c r="CU147" s="48"/>
      <c r="CV147" s="142"/>
      <c r="CW147" s="44"/>
      <c r="CX147" s="83"/>
      <c r="CY147" s="83"/>
      <c r="CZ147" s="83"/>
      <c r="DA147" s="44"/>
      <c r="DB147" s="143"/>
      <c r="DC147" s="44"/>
      <c r="DD147" s="44"/>
      <c r="DE147" s="44"/>
      <c r="DF147" s="44"/>
      <c r="DG147" s="44"/>
      <c r="DH147" s="44"/>
      <c r="DI147" s="75"/>
      <c r="DJ147" s="57"/>
      <c r="DK147" s="57"/>
      <c r="DL147" s="57"/>
      <c r="DM147" s="87"/>
      <c r="DN147" s="99"/>
      <c r="DO147" s="57"/>
      <c r="DP147" s="57"/>
      <c r="DQ147" s="87"/>
      <c r="DR147" s="99"/>
      <c r="DS147" s="44"/>
      <c r="DT147" s="83"/>
      <c r="DU147" s="83"/>
      <c r="DV147" s="83"/>
      <c r="DW147" s="44"/>
      <c r="DX147" s="144"/>
      <c r="DY147" s="144"/>
      <c r="DZ147" s="144"/>
      <c r="FR147" s="82"/>
      <c r="FS147" s="61">
        <v>0</v>
      </c>
      <c r="FT147" s="69">
        <f>FT146</f>
        <v>0</v>
      </c>
      <c r="FU147" s="61">
        <v>0</v>
      </c>
      <c r="FV147" s="69">
        <f t="shared" si="504"/>
        <v>0</v>
      </c>
      <c r="FW147" s="69">
        <v>0</v>
      </c>
      <c r="FX147" s="70">
        <f t="shared" si="505"/>
        <v>0</v>
      </c>
      <c r="FY147" s="82"/>
      <c r="FZ147" s="61">
        <v>0</v>
      </c>
      <c r="GA147" s="69">
        <f>GA146</f>
        <v>0</v>
      </c>
      <c r="GB147" s="61">
        <v>0</v>
      </c>
      <c r="GC147" s="109">
        <f t="shared" si="401"/>
        <v>0</v>
      </c>
      <c r="GD147" s="61">
        <v>0</v>
      </c>
      <c r="GE147" s="110">
        <f t="shared" si="506"/>
        <v>0</v>
      </c>
      <c r="GF147" s="84"/>
      <c r="GG147" s="111">
        <v>0</v>
      </c>
      <c r="GH147" s="85">
        <f>GH146</f>
        <v>0</v>
      </c>
      <c r="GI147" s="112">
        <v>0</v>
      </c>
      <c r="GJ147" s="112">
        <f t="shared" si="402"/>
        <v>0</v>
      </c>
      <c r="GK147" s="112">
        <v>0</v>
      </c>
      <c r="GL147" s="112">
        <f t="shared" si="403"/>
        <v>0</v>
      </c>
      <c r="GN147" s="69">
        <f t="shared" si="503"/>
        <v>0</v>
      </c>
      <c r="GO147" s="113"/>
      <c r="GP147" s="113"/>
      <c r="GQ147" s="113"/>
      <c r="GR147" s="113"/>
      <c r="GS147" s="113"/>
      <c r="GT147" s="113"/>
      <c r="GU147" s="113"/>
    </row>
    <row r="148" spans="1:255" x14ac:dyDescent="0.3">
      <c r="A148" s="169"/>
      <c r="B148" s="169"/>
      <c r="C148" s="169"/>
      <c r="D148" s="169"/>
      <c r="E148" s="169"/>
      <c r="F148" s="169"/>
      <c r="G148" s="169"/>
      <c r="H148" s="169"/>
      <c r="I148" s="169"/>
      <c r="J148" s="169"/>
      <c r="K148" s="169"/>
      <c r="AB148" s="36"/>
      <c r="AC148" s="36"/>
      <c r="CR148" s="44"/>
      <c r="CS148" s="44"/>
      <c r="CT148" s="44"/>
      <c r="CU148" s="48"/>
      <c r="CV148" s="142"/>
      <c r="CW148" s="44"/>
      <c r="CX148" s="83"/>
      <c r="CY148" s="83"/>
      <c r="CZ148" s="83"/>
      <c r="DA148" s="44"/>
      <c r="DB148" s="143"/>
      <c r="DC148" s="44"/>
      <c r="DD148" s="44"/>
      <c r="DE148" s="44"/>
      <c r="DF148" s="44"/>
      <c r="DG148" s="44"/>
      <c r="DH148" s="44"/>
      <c r="DI148" s="75"/>
      <c r="DJ148" s="57"/>
      <c r="DK148" s="57"/>
      <c r="DL148" s="57"/>
      <c r="DM148" s="87"/>
      <c r="DN148" s="99"/>
      <c r="DO148" s="57"/>
      <c r="DP148" s="57"/>
      <c r="DQ148" s="87"/>
      <c r="DR148" s="99"/>
      <c r="DS148" s="44"/>
      <c r="DT148" s="83"/>
      <c r="DU148" s="83"/>
      <c r="DV148" s="83"/>
      <c r="DW148" s="44"/>
      <c r="DX148" s="144"/>
      <c r="DY148" s="144"/>
      <c r="DZ148" s="144"/>
      <c r="FR148" s="82">
        <f>FR144+1</f>
        <v>34</v>
      </c>
      <c r="FS148" s="61">
        <v>0</v>
      </c>
      <c r="FT148" s="69">
        <f>INDEX(AF16:AF115,MATCH(GF148,A16:A115,0))</f>
        <v>0</v>
      </c>
      <c r="FU148" s="61">
        <v>0</v>
      </c>
      <c r="FV148" s="69">
        <f>FT148</f>
        <v>0</v>
      </c>
      <c r="FW148" s="69">
        <v>0</v>
      </c>
      <c r="FX148" s="70">
        <f>FV148</f>
        <v>0</v>
      </c>
      <c r="FY148" s="82">
        <f>FY144+1</f>
        <v>34</v>
      </c>
      <c r="FZ148" s="61">
        <v>0</v>
      </c>
      <c r="GA148" s="69">
        <f>FT148</f>
        <v>0</v>
      </c>
      <c r="GB148" s="108">
        <v>0</v>
      </c>
      <c r="GC148" s="109">
        <f t="shared" si="401"/>
        <v>0</v>
      </c>
      <c r="GD148" s="61">
        <v>0</v>
      </c>
      <c r="GE148" s="110">
        <f>GC148</f>
        <v>0</v>
      </c>
      <c r="GF148" s="84">
        <f>GF144+1</f>
        <v>34</v>
      </c>
      <c r="GG148" s="111">
        <v>0</v>
      </c>
      <c r="GH148" s="85">
        <f>FT148</f>
        <v>0</v>
      </c>
      <c r="GI148" s="112">
        <v>0</v>
      </c>
      <c r="GJ148" s="112">
        <f t="shared" si="402"/>
        <v>0</v>
      </c>
      <c r="GK148" s="112">
        <v>0</v>
      </c>
      <c r="GL148" s="112">
        <f t="shared" si="403"/>
        <v>0</v>
      </c>
      <c r="GM148" s="117">
        <f>GM144+1</f>
        <v>34</v>
      </c>
      <c r="GN148" s="69">
        <f t="shared" si="503"/>
        <v>0</v>
      </c>
      <c r="GO148" s="113"/>
      <c r="GP148" s="113"/>
      <c r="GQ148" s="113"/>
      <c r="GR148" s="113"/>
      <c r="GS148" s="113"/>
      <c r="GT148" s="113"/>
      <c r="GU148" s="113"/>
    </row>
    <row r="149" spans="1:255" x14ac:dyDescent="0.3">
      <c r="A149" s="169"/>
      <c r="B149" s="169"/>
      <c r="C149" s="169"/>
      <c r="D149" s="169"/>
      <c r="E149" s="169"/>
      <c r="F149" s="169"/>
      <c r="G149" s="169"/>
      <c r="H149" s="169"/>
      <c r="I149" s="169"/>
      <c r="J149" s="169"/>
      <c r="K149" s="169"/>
      <c r="CR149" s="44"/>
      <c r="CS149" s="44"/>
      <c r="CT149" s="44"/>
      <c r="CU149" s="48"/>
      <c r="CV149" s="142"/>
      <c r="CW149" s="44"/>
      <c r="CX149" s="83"/>
      <c r="CY149" s="83"/>
      <c r="CZ149" s="83"/>
      <c r="DA149" s="44"/>
      <c r="DB149" s="143"/>
      <c r="DC149" s="44"/>
      <c r="DD149" s="44"/>
      <c r="DE149" s="44"/>
      <c r="DF149" s="44"/>
      <c r="DG149" s="44"/>
      <c r="DH149" s="44"/>
      <c r="DI149" s="75"/>
      <c r="DJ149" s="57"/>
      <c r="DK149" s="57"/>
      <c r="DL149" s="57"/>
      <c r="DM149" s="87"/>
      <c r="DN149" s="99"/>
      <c r="DO149" s="57"/>
      <c r="DP149" s="57"/>
      <c r="DQ149" s="87"/>
      <c r="DR149" s="99"/>
      <c r="DS149" s="44"/>
      <c r="DT149" s="83"/>
      <c r="DU149" s="83"/>
      <c r="DV149" s="83"/>
      <c r="DW149" s="44"/>
      <c r="DX149" s="144"/>
      <c r="DY149" s="144"/>
      <c r="DZ149" s="144"/>
      <c r="FR149" s="82"/>
      <c r="FS149" s="69">
        <f ca="1">INDEX(EB16:EB115,MATCH(GF148,A16:A115,0))</f>
        <v>0</v>
      </c>
      <c r="FT149" s="69">
        <f>FT148</f>
        <v>0</v>
      </c>
      <c r="FU149" s="69">
        <f ca="1">INDEX(EC16:EC115,MATCH(GF148,A16:A115,0))</f>
        <v>0</v>
      </c>
      <c r="FV149" s="69">
        <f t="shared" ref="FV149:FV151" si="513">FT149</f>
        <v>0</v>
      </c>
      <c r="FW149" s="69">
        <f ca="1">INDEX(ED16:ED115,MATCH(GF148,A16:A115,0))</f>
        <v>0</v>
      </c>
      <c r="FX149" s="70">
        <f t="shared" ref="FX149:FX151" si="514">FV149</f>
        <v>0</v>
      </c>
      <c r="FY149" s="82"/>
      <c r="FZ149" s="101">
        <f ca="1">INDEX(EE16:EE115,MATCH(GF148,A16:A115,0))</f>
        <v>0</v>
      </c>
      <c r="GA149" s="69">
        <f>GA148</f>
        <v>0</v>
      </c>
      <c r="GB149" s="61">
        <f ca="1">INDEX(EG16:EG115,MATCH(GF148,A16:A115,0))</f>
        <v>0</v>
      </c>
      <c r="GC149" s="109">
        <f t="shared" si="401"/>
        <v>0</v>
      </c>
      <c r="GD149" s="69">
        <f ca="1">INDEX(EI16:EI115,MATCH(GF148,A16:A115,0))</f>
        <v>0</v>
      </c>
      <c r="GE149" s="110">
        <f t="shared" ref="GE149:GE151" si="515">GC149</f>
        <v>0</v>
      </c>
      <c r="GF149" s="84"/>
      <c r="GG149" s="111">
        <f ca="1">FS149+FZ149</f>
        <v>0</v>
      </c>
      <c r="GH149" s="85">
        <f>GH148</f>
        <v>0</v>
      </c>
      <c r="GI149" s="111">
        <f ca="1">FU149+GB149</f>
        <v>0</v>
      </c>
      <c r="GJ149" s="112">
        <f t="shared" si="402"/>
        <v>0</v>
      </c>
      <c r="GK149" s="111">
        <f ca="1">FW149+GD149</f>
        <v>0</v>
      </c>
      <c r="GL149" s="112">
        <f t="shared" si="403"/>
        <v>0</v>
      </c>
      <c r="GN149" s="69">
        <f t="shared" si="503"/>
        <v>0</v>
      </c>
      <c r="GO149" s="113" t="e">
        <f ca="1">INDEX(FJ16:FJ115,MATCH(GM148,A16:A115,0))</f>
        <v>#DIV/0!</v>
      </c>
      <c r="GP149" s="113" t="e">
        <f ca="1">INDEX(FK16:FK115,MATCH(GM148,A16:A115,0))</f>
        <v>#DIV/0!</v>
      </c>
      <c r="GQ149" s="113" t="e">
        <f ca="1">INDEX(FL16:FL115,MATCH(GM148,A16:A115,0))</f>
        <v>#DIV/0!</v>
      </c>
      <c r="GR149" s="113" t="e">
        <f ca="1">INDEX(FM16:FM115,MATCH(GM148,A16:A115,0))</f>
        <v>#DIV/0!</v>
      </c>
      <c r="GS149" s="113" t="e">
        <f ca="1">INDEX(FN16:FN115,MATCH(GM148,A16:A115,0))</f>
        <v>#DIV/0!</v>
      </c>
      <c r="GT149" s="113" t="e">
        <f ca="1">INDEX(FO16:FO115,MATCH(GM148,A16:A115,0))</f>
        <v>#DIV/0!</v>
      </c>
      <c r="GU149" s="113" t="e">
        <f ca="1">INDEX(FP16:FP115,MATCH(GM148,A16:A115,0))</f>
        <v>#DIV/0!</v>
      </c>
    </row>
    <row r="150" spans="1:255" x14ac:dyDescent="0.3">
      <c r="A150" s="86"/>
      <c r="B150" s="86"/>
      <c r="C150" s="86"/>
      <c r="D150" s="86"/>
      <c r="E150" s="86"/>
      <c r="F150" s="86"/>
      <c r="G150" s="86"/>
      <c r="H150" s="86"/>
      <c r="I150" s="86"/>
      <c r="J150" s="86"/>
      <c r="K150" s="86"/>
      <c r="CR150" s="44"/>
      <c r="CS150" s="44"/>
      <c r="CT150" s="44"/>
      <c r="CU150" s="48"/>
      <c r="CV150" s="142"/>
      <c r="CW150" s="44"/>
      <c r="CX150" s="83"/>
      <c r="CY150" s="83"/>
      <c r="CZ150" s="83"/>
      <c r="DA150" s="44"/>
      <c r="DB150" s="143"/>
      <c r="DC150" s="44"/>
      <c r="DD150" s="44"/>
      <c r="DE150" s="44"/>
      <c r="DF150" s="44"/>
      <c r="DG150" s="44"/>
      <c r="DH150" s="44"/>
      <c r="DI150" s="75"/>
      <c r="DJ150" s="57"/>
      <c r="DK150" s="57"/>
      <c r="DL150" s="57"/>
      <c r="DM150" s="87"/>
      <c r="DN150" s="99"/>
      <c r="DO150" s="57"/>
      <c r="DP150" s="57"/>
      <c r="DQ150" s="87"/>
      <c r="DR150" s="99"/>
      <c r="DS150" s="44"/>
      <c r="DT150" s="83"/>
      <c r="DU150" s="83"/>
      <c r="DV150" s="83"/>
      <c r="DW150" s="44"/>
      <c r="DX150" s="144"/>
      <c r="DY150" s="144"/>
      <c r="DZ150" s="144"/>
      <c r="FR150" s="82"/>
      <c r="FS150" s="69">
        <f ca="1">FS149</f>
        <v>0</v>
      </c>
      <c r="FT150" s="69">
        <f>INDEX(AE16:AE115,MATCH(GF148,A16:A115,0))</f>
        <v>0</v>
      </c>
      <c r="FU150" s="69">
        <f ca="1">FU149</f>
        <v>0</v>
      </c>
      <c r="FV150" s="69">
        <f t="shared" si="513"/>
        <v>0</v>
      </c>
      <c r="FW150" s="69">
        <f ca="1">FW149</f>
        <v>0</v>
      </c>
      <c r="FX150" s="70">
        <f t="shared" si="514"/>
        <v>0</v>
      </c>
      <c r="FY150" s="82"/>
      <c r="FZ150" s="101">
        <f ca="1">INDEX(EF16:EF115,MATCH(GF148,A16:A115,0))</f>
        <v>0</v>
      </c>
      <c r="GA150" s="69">
        <f>FT150</f>
        <v>0</v>
      </c>
      <c r="GB150" s="61">
        <f ca="1">INDEX(EH16:EH115,MATCH(GF148,A16:A115,0))</f>
        <v>0</v>
      </c>
      <c r="GC150" s="109">
        <f t="shared" si="401"/>
        <v>0</v>
      </c>
      <c r="GD150" s="69">
        <f ca="1">INDEX(EJ16:EJ115,MATCH(GF148,A16:A115,0))</f>
        <v>0</v>
      </c>
      <c r="GE150" s="110">
        <f t="shared" si="515"/>
        <v>0</v>
      </c>
      <c r="GF150" s="84"/>
      <c r="GG150" s="111">
        <f ca="1">FS150+FZ150</f>
        <v>0</v>
      </c>
      <c r="GH150" s="85">
        <f>FT150</f>
        <v>0</v>
      </c>
      <c r="GI150" s="111">
        <f ca="1">FU150+GB150</f>
        <v>0</v>
      </c>
      <c r="GJ150" s="112">
        <f t="shared" si="402"/>
        <v>0</v>
      </c>
      <c r="GK150" s="111">
        <f ca="1">FW150+GD150</f>
        <v>0</v>
      </c>
      <c r="GL150" s="112">
        <f t="shared" si="403"/>
        <v>0</v>
      </c>
      <c r="GN150" s="69">
        <f t="shared" si="503"/>
        <v>0</v>
      </c>
      <c r="GO150" s="113" t="e">
        <f ca="1">GO149</f>
        <v>#DIV/0!</v>
      </c>
      <c r="GP150" s="113" t="e">
        <f t="shared" ref="GP150" ca="1" si="516">GP149</f>
        <v>#DIV/0!</v>
      </c>
      <c r="GQ150" s="113" t="e">
        <f t="shared" ref="GQ150" ca="1" si="517">GQ149</f>
        <v>#DIV/0!</v>
      </c>
      <c r="GR150" s="113" t="e">
        <f t="shared" ref="GR150" ca="1" si="518">GR149</f>
        <v>#DIV/0!</v>
      </c>
      <c r="GS150" s="113" t="e">
        <f t="shared" ref="GS150" ca="1" si="519">GS149</f>
        <v>#DIV/0!</v>
      </c>
      <c r="GT150" s="113" t="e">
        <f t="shared" ref="GT150" ca="1" si="520">GT149</f>
        <v>#DIV/0!</v>
      </c>
      <c r="GU150" s="113" t="e">
        <f t="shared" ref="GU150" ca="1" si="521">GU149</f>
        <v>#DIV/0!</v>
      </c>
    </row>
    <row r="151" spans="1:255" x14ac:dyDescent="0.3">
      <c r="A151" s="171"/>
      <c r="B151" s="36"/>
      <c r="C151" s="36"/>
      <c r="D151" s="36"/>
      <c r="E151" s="36"/>
      <c r="F151" s="36"/>
      <c r="G151" s="36"/>
      <c r="H151" s="36"/>
      <c r="I151" s="36"/>
      <c r="J151" s="36"/>
      <c r="K151" s="171"/>
      <c r="CR151" s="44"/>
      <c r="CS151" s="44"/>
      <c r="CT151" s="44"/>
      <c r="CU151" s="48"/>
      <c r="CV151" s="142"/>
      <c r="CW151" s="44"/>
      <c r="CX151" s="83"/>
      <c r="CY151" s="83"/>
      <c r="CZ151" s="83"/>
      <c r="DA151" s="44"/>
      <c r="DB151" s="143"/>
      <c r="DC151" s="44"/>
      <c r="DD151" s="44"/>
      <c r="DE151" s="44"/>
      <c r="DF151" s="44"/>
      <c r="DG151" s="44"/>
      <c r="DH151" s="44"/>
      <c r="DI151" s="75"/>
      <c r="DJ151" s="57"/>
      <c r="DK151" s="57"/>
      <c r="DL151" s="57"/>
      <c r="DM151" s="87"/>
      <c r="DN151" s="99"/>
      <c r="DO151" s="57"/>
      <c r="DP151" s="57"/>
      <c r="DQ151" s="87"/>
      <c r="DR151" s="99"/>
      <c r="DS151" s="44"/>
      <c r="DT151" s="83"/>
      <c r="DU151" s="83"/>
      <c r="DV151" s="83"/>
      <c r="DW151" s="44"/>
      <c r="DX151" s="144"/>
      <c r="DY151" s="144"/>
      <c r="DZ151" s="144"/>
      <c r="FR151" s="82"/>
      <c r="FS151" s="61">
        <v>0</v>
      </c>
      <c r="FT151" s="69">
        <f>FT150</f>
        <v>0</v>
      </c>
      <c r="FU151" s="61">
        <v>0</v>
      </c>
      <c r="FV151" s="69">
        <f t="shared" si="513"/>
        <v>0</v>
      </c>
      <c r="FW151" s="69">
        <v>0</v>
      </c>
      <c r="FX151" s="70">
        <f t="shared" si="514"/>
        <v>0</v>
      </c>
      <c r="FY151" s="82"/>
      <c r="FZ151" s="61">
        <v>0</v>
      </c>
      <c r="GA151" s="69">
        <f>GA150</f>
        <v>0</v>
      </c>
      <c r="GB151" s="61">
        <v>0</v>
      </c>
      <c r="GC151" s="109">
        <f t="shared" si="401"/>
        <v>0</v>
      </c>
      <c r="GD151" s="61">
        <v>0</v>
      </c>
      <c r="GE151" s="110">
        <f t="shared" si="515"/>
        <v>0</v>
      </c>
      <c r="GF151" s="84"/>
      <c r="GG151" s="111">
        <v>0</v>
      </c>
      <c r="GH151" s="85">
        <f>GH150</f>
        <v>0</v>
      </c>
      <c r="GI151" s="112">
        <v>0</v>
      </c>
      <c r="GJ151" s="112">
        <f t="shared" si="402"/>
        <v>0</v>
      </c>
      <c r="GK151" s="112">
        <v>0</v>
      </c>
      <c r="GL151" s="112">
        <f t="shared" si="403"/>
        <v>0</v>
      </c>
      <c r="GN151" s="69">
        <f t="shared" si="503"/>
        <v>0</v>
      </c>
      <c r="GO151" s="113"/>
      <c r="GP151" s="113"/>
      <c r="GQ151" s="113"/>
      <c r="GR151" s="113"/>
      <c r="GS151" s="113"/>
      <c r="GT151" s="113"/>
      <c r="GU151" s="113"/>
    </row>
    <row r="152" spans="1:255" s="57" customFormat="1" x14ac:dyDescent="0.3">
      <c r="A152" s="43"/>
      <c r="B152" s="44"/>
      <c r="C152" s="379"/>
      <c r="D152" s="379"/>
      <c r="E152" s="379"/>
      <c r="F152" s="379"/>
      <c r="G152" s="44"/>
      <c r="H152" s="44"/>
      <c r="I152" s="44"/>
      <c r="J152" s="44"/>
      <c r="K152" s="45"/>
      <c r="L152" s="36"/>
      <c r="M152" s="40"/>
      <c r="N152" s="40"/>
      <c r="O152" s="40"/>
      <c r="P152" s="41"/>
      <c r="Q152" s="41"/>
      <c r="R152" s="41"/>
      <c r="S152" s="41"/>
      <c r="T152" s="40"/>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8"/>
      <c r="BS152" s="58"/>
      <c r="BT152" s="58"/>
      <c r="BU152" s="58"/>
      <c r="BV152" s="58"/>
      <c r="BW152" s="58"/>
      <c r="BX152" s="58"/>
      <c r="BY152" s="58"/>
      <c r="BZ152" s="58"/>
      <c r="CA152" s="58"/>
      <c r="CB152" s="58"/>
      <c r="CC152" s="58"/>
      <c r="CD152" s="58"/>
      <c r="CE152" s="58"/>
      <c r="CF152" s="58"/>
      <c r="CG152" s="58"/>
      <c r="CH152" s="58"/>
      <c r="CI152" s="58"/>
      <c r="CJ152" s="58"/>
      <c r="CK152" s="58"/>
      <c r="CL152" s="58"/>
      <c r="CM152" s="58"/>
      <c r="CN152" s="58"/>
      <c r="CO152" s="58"/>
      <c r="CP152" s="58"/>
      <c r="CQ152" s="58"/>
      <c r="CR152" s="44"/>
      <c r="CS152" s="44"/>
      <c r="CT152" s="44"/>
      <c r="CU152" s="48"/>
      <c r="CV152" s="142"/>
      <c r="CW152" s="44"/>
      <c r="CX152" s="83"/>
      <c r="CY152" s="83"/>
      <c r="CZ152" s="83"/>
      <c r="DA152" s="44"/>
      <c r="DB152" s="143"/>
      <c r="DC152" s="44"/>
      <c r="DD152" s="44"/>
      <c r="DE152" s="44"/>
      <c r="DF152" s="44"/>
      <c r="DG152" s="44"/>
      <c r="DH152" s="44"/>
      <c r="DI152" s="75"/>
      <c r="DM152" s="87"/>
      <c r="DN152" s="99"/>
      <c r="DQ152" s="87"/>
      <c r="DR152" s="99"/>
      <c r="DS152" s="44"/>
      <c r="DT152" s="83"/>
      <c r="DU152" s="83"/>
      <c r="DV152" s="83"/>
      <c r="DW152" s="44"/>
      <c r="DX152" s="144"/>
      <c r="DY152" s="144"/>
      <c r="DZ152" s="144"/>
      <c r="EA152" s="39"/>
      <c r="EB152" s="39"/>
      <c r="EC152" s="39"/>
      <c r="ED152" s="39"/>
      <c r="EE152" s="39"/>
      <c r="EF152" s="39"/>
      <c r="EG152" s="39"/>
      <c r="EH152" s="39"/>
      <c r="EI152" s="39"/>
      <c r="EJ152" s="39"/>
      <c r="EK152" s="39"/>
      <c r="EL152" s="39"/>
      <c r="EM152" s="39"/>
      <c r="EN152" s="39"/>
      <c r="EO152" s="39"/>
      <c r="EP152" s="39"/>
      <c r="EQ152" s="39"/>
      <c r="ER152" s="39"/>
      <c r="ES152" s="39"/>
      <c r="ET152" s="39"/>
      <c r="EU152" s="39"/>
      <c r="EV152" s="39"/>
      <c r="EW152" s="39"/>
      <c r="EX152" s="39"/>
      <c r="EY152" s="39"/>
      <c r="EZ152" s="39"/>
      <c r="FA152" s="39"/>
      <c r="FB152" s="39"/>
      <c r="FC152" s="39"/>
      <c r="FD152" s="39"/>
      <c r="FE152" s="39"/>
      <c r="FF152" s="39"/>
      <c r="FG152" s="39"/>
      <c r="FH152" s="39"/>
      <c r="FI152" s="39"/>
      <c r="FJ152" s="39"/>
      <c r="FK152" s="39"/>
      <c r="FL152" s="39"/>
      <c r="FM152" s="39"/>
      <c r="FN152" s="39"/>
      <c r="FO152" s="39"/>
      <c r="FP152" s="39"/>
      <c r="FQ152" s="39"/>
      <c r="FR152" s="82">
        <f>FR148+1</f>
        <v>35</v>
      </c>
      <c r="FS152" s="61">
        <v>0</v>
      </c>
      <c r="FT152" s="69">
        <f>INDEX(AF16:AF115,MATCH(GF152,A16:A115,0))</f>
        <v>0</v>
      </c>
      <c r="FU152" s="61">
        <v>0</v>
      </c>
      <c r="FV152" s="69">
        <f>FT152</f>
        <v>0</v>
      </c>
      <c r="FW152" s="69">
        <v>0</v>
      </c>
      <c r="FX152" s="70">
        <f>FV152</f>
        <v>0</v>
      </c>
      <c r="FY152" s="82">
        <f>FY148+1</f>
        <v>35</v>
      </c>
      <c r="FZ152" s="61">
        <v>0</v>
      </c>
      <c r="GA152" s="69">
        <f>FT152</f>
        <v>0</v>
      </c>
      <c r="GB152" s="108">
        <v>0</v>
      </c>
      <c r="GC152" s="109">
        <f t="shared" si="401"/>
        <v>0</v>
      </c>
      <c r="GD152" s="61">
        <v>0</v>
      </c>
      <c r="GE152" s="110">
        <f>GC152</f>
        <v>0</v>
      </c>
      <c r="GF152" s="84">
        <f>GF148+1</f>
        <v>35</v>
      </c>
      <c r="GG152" s="111">
        <v>0</v>
      </c>
      <c r="GH152" s="85">
        <f>FT152</f>
        <v>0</v>
      </c>
      <c r="GI152" s="112">
        <v>0</v>
      </c>
      <c r="GJ152" s="112">
        <f t="shared" si="402"/>
        <v>0</v>
      </c>
      <c r="GK152" s="112">
        <v>0</v>
      </c>
      <c r="GL152" s="112">
        <f t="shared" si="403"/>
        <v>0</v>
      </c>
      <c r="GM152" s="117">
        <f>GM148+1</f>
        <v>35</v>
      </c>
      <c r="GN152" s="69">
        <f t="shared" si="503"/>
        <v>0</v>
      </c>
      <c r="GO152" s="113"/>
      <c r="GP152" s="113"/>
      <c r="GQ152" s="113"/>
      <c r="GR152" s="113"/>
      <c r="GS152" s="113"/>
      <c r="GT152" s="113"/>
      <c r="GU152" s="113"/>
      <c r="GV152" s="39"/>
      <c r="GW152" s="39"/>
      <c r="GX152" s="39"/>
      <c r="GY152" s="39"/>
      <c r="GZ152" s="39"/>
      <c r="HA152" s="39"/>
      <c r="HB152" s="39"/>
      <c r="HC152" s="39"/>
      <c r="HD152" s="39"/>
      <c r="HE152" s="39"/>
      <c r="HF152" s="39"/>
      <c r="HG152" s="39"/>
      <c r="HH152" s="39"/>
      <c r="HI152" s="39"/>
      <c r="HJ152" s="39"/>
      <c r="HK152" s="39"/>
      <c r="HL152" s="39"/>
      <c r="HM152" s="39"/>
      <c r="HN152" s="39"/>
      <c r="HO152" s="39"/>
      <c r="HP152" s="39"/>
      <c r="HQ152" s="39"/>
      <c r="HR152" s="39"/>
      <c r="HS152" s="39"/>
      <c r="HT152" s="39"/>
      <c r="HU152" s="39"/>
      <c r="HV152" s="39"/>
      <c r="HW152" s="39"/>
      <c r="HX152" s="39"/>
      <c r="HY152" s="39"/>
      <c r="HZ152" s="39"/>
      <c r="IA152" s="39"/>
      <c r="IB152" s="39"/>
      <c r="IC152" s="39"/>
      <c r="ID152" s="39"/>
      <c r="IE152" s="39"/>
      <c r="IF152" s="39"/>
      <c r="IG152" s="39"/>
      <c r="IH152" s="39"/>
      <c r="II152" s="39"/>
      <c r="IJ152" s="39"/>
      <c r="IK152" s="39"/>
      <c r="IL152" s="39"/>
      <c r="IM152" s="39"/>
      <c r="IN152" s="39"/>
      <c r="IO152" s="39"/>
      <c r="IP152" s="39"/>
      <c r="IQ152" s="39"/>
      <c r="IR152" s="39"/>
      <c r="IS152" s="39"/>
      <c r="IT152" s="39"/>
      <c r="IU152" s="39"/>
    </row>
    <row r="153" spans="1:255" s="150" customFormat="1" x14ac:dyDescent="0.3">
      <c r="A153" s="46"/>
      <c r="B153" s="47"/>
      <c r="C153" s="47"/>
      <c r="D153" s="61"/>
      <c r="E153" s="47"/>
      <c r="F153" s="47"/>
      <c r="G153" s="48"/>
      <c r="H153" s="48"/>
      <c r="I153" s="48"/>
      <c r="J153" s="48"/>
      <c r="K153" s="49"/>
      <c r="L153" s="50"/>
      <c r="M153" s="40"/>
      <c r="N153" s="40"/>
      <c r="O153" s="40"/>
      <c r="P153" s="41"/>
      <c r="Q153" s="41"/>
      <c r="R153" s="41"/>
      <c r="S153" s="41"/>
      <c r="T153" s="40"/>
      <c r="AH153" s="57"/>
      <c r="AI153" s="57"/>
      <c r="AJ153" s="57"/>
      <c r="AK153" s="57"/>
      <c r="AL153" s="57"/>
      <c r="AM153" s="57"/>
      <c r="AN153" s="57"/>
      <c r="AO153" s="57"/>
      <c r="AP153" s="57"/>
      <c r="AQ153" s="57"/>
      <c r="AR153" s="57"/>
      <c r="AS153" s="57"/>
      <c r="AT153" s="57"/>
      <c r="AU153" s="57"/>
      <c r="AV153" s="58"/>
      <c r="AW153" s="58"/>
      <c r="AX153" s="58"/>
      <c r="AY153" s="58"/>
      <c r="AZ153" s="58"/>
      <c r="BA153" s="58"/>
      <c r="BB153" s="58"/>
      <c r="BC153" s="58"/>
      <c r="BD153" s="58"/>
      <c r="BE153" s="58"/>
      <c r="BF153" s="58"/>
      <c r="BG153" s="58"/>
      <c r="BH153" s="58"/>
      <c r="BI153" s="58"/>
      <c r="BJ153" s="58"/>
      <c r="BK153" s="58"/>
      <c r="BL153" s="58"/>
      <c r="BM153" s="58"/>
      <c r="BN153" s="58"/>
      <c r="BO153" s="58"/>
      <c r="BP153" s="58"/>
      <c r="BQ153" s="58"/>
      <c r="BR153" s="58"/>
      <c r="BS153" s="58"/>
      <c r="BT153" s="58"/>
      <c r="BU153" s="58"/>
      <c r="BV153" s="58"/>
      <c r="BW153" s="58"/>
      <c r="BX153" s="58"/>
      <c r="BY153" s="58"/>
      <c r="BZ153" s="58"/>
      <c r="CA153" s="58"/>
      <c r="CB153" s="58"/>
      <c r="CC153" s="58"/>
      <c r="CD153" s="58"/>
      <c r="CE153" s="58"/>
      <c r="CF153" s="58"/>
      <c r="CG153" s="58"/>
      <c r="CH153" s="58"/>
      <c r="CI153" s="58"/>
      <c r="CJ153" s="58"/>
      <c r="CK153" s="58"/>
      <c r="CL153" s="58"/>
      <c r="CM153" s="58"/>
      <c r="CN153" s="58"/>
      <c r="CO153" s="58"/>
      <c r="CP153" s="58"/>
      <c r="CQ153" s="58"/>
      <c r="CR153" s="44"/>
      <c r="CS153" s="44"/>
      <c r="CT153" s="44"/>
      <c r="CU153" s="48"/>
      <c r="CV153" s="142"/>
      <c r="CW153" s="44"/>
      <c r="CX153" s="83"/>
      <c r="CY153" s="83"/>
      <c r="CZ153" s="83"/>
      <c r="DA153" s="44"/>
      <c r="DB153" s="143"/>
      <c r="DC153" s="44"/>
      <c r="DD153" s="44"/>
      <c r="DE153" s="44"/>
      <c r="DF153" s="44"/>
      <c r="DG153" s="44"/>
      <c r="DH153" s="44"/>
      <c r="DI153" s="75"/>
      <c r="DJ153" s="57"/>
      <c r="DK153" s="57"/>
      <c r="DL153" s="57"/>
      <c r="DM153" s="87"/>
      <c r="DN153" s="99"/>
      <c r="DO153" s="57"/>
      <c r="DP153" s="57"/>
      <c r="DQ153" s="87"/>
      <c r="DR153" s="99"/>
      <c r="DS153" s="44"/>
      <c r="DT153" s="83"/>
      <c r="DU153" s="83"/>
      <c r="DV153" s="83"/>
      <c r="DW153" s="44"/>
      <c r="DX153" s="144"/>
      <c r="DY153" s="144"/>
      <c r="DZ153" s="144"/>
      <c r="EA153" s="58"/>
      <c r="EB153" s="58"/>
      <c r="EC153" s="58"/>
      <c r="ED153" s="58"/>
      <c r="EE153" s="58"/>
      <c r="EF153" s="58"/>
      <c r="EG153" s="58"/>
      <c r="EH153" s="58"/>
      <c r="EI153" s="58"/>
      <c r="EJ153" s="58"/>
      <c r="EK153" s="58"/>
      <c r="EL153" s="58"/>
      <c r="EM153" s="58"/>
      <c r="EN153" s="58"/>
      <c r="EO153" s="58"/>
      <c r="EP153" s="58"/>
      <c r="EQ153" s="58"/>
      <c r="ER153" s="58"/>
      <c r="ES153" s="58"/>
      <c r="ET153" s="58"/>
      <c r="EU153" s="58"/>
      <c r="EV153" s="58"/>
      <c r="EW153" s="58"/>
      <c r="EX153" s="58"/>
      <c r="EY153" s="58"/>
      <c r="EZ153" s="58"/>
      <c r="FA153" s="58"/>
      <c r="FB153" s="58"/>
      <c r="FC153" s="58"/>
      <c r="FD153" s="58"/>
      <c r="FE153" s="58"/>
      <c r="FF153" s="58"/>
      <c r="FG153" s="58"/>
      <c r="FH153" s="58"/>
      <c r="FI153" s="58"/>
      <c r="FJ153" s="58"/>
      <c r="FK153" s="58"/>
      <c r="FL153" s="58"/>
      <c r="FM153" s="58"/>
      <c r="FN153" s="58"/>
      <c r="FO153" s="58"/>
      <c r="FP153" s="58"/>
      <c r="FQ153" s="58"/>
      <c r="FR153" s="82"/>
      <c r="FS153" s="69">
        <f ca="1">INDEX(EB16:EB115,MATCH(GF152,A16:A115,0))</f>
        <v>0</v>
      </c>
      <c r="FT153" s="69">
        <f>FT152</f>
        <v>0</v>
      </c>
      <c r="FU153" s="69">
        <f ca="1">INDEX(EC16:EC115,MATCH(GF152,A16:A115,0))</f>
        <v>0</v>
      </c>
      <c r="FV153" s="69">
        <f t="shared" ref="FV153:FV155" si="522">FT153</f>
        <v>0</v>
      </c>
      <c r="FW153" s="69">
        <f ca="1">INDEX(ED16:ED115,MATCH(GF152,A16:A115,0))</f>
        <v>0</v>
      </c>
      <c r="FX153" s="70">
        <f t="shared" ref="FX153:FX155" si="523">FV153</f>
        <v>0</v>
      </c>
      <c r="FY153" s="82"/>
      <c r="FZ153" s="101">
        <f ca="1">INDEX(EE16:EE115,MATCH(GF152,A16:A115,0))</f>
        <v>0</v>
      </c>
      <c r="GA153" s="69">
        <f>GA152</f>
        <v>0</v>
      </c>
      <c r="GB153" s="61">
        <f ca="1">INDEX(EG16:EG115,MATCH(GF152,A16:A115,0))</f>
        <v>0</v>
      </c>
      <c r="GC153" s="109">
        <f t="shared" si="401"/>
        <v>0</v>
      </c>
      <c r="GD153" s="69">
        <f ca="1">INDEX(EI16:EI115,MATCH(GF152,A16:A115,0))</f>
        <v>0</v>
      </c>
      <c r="GE153" s="110">
        <f t="shared" ref="GE153:GE155" si="524">GC153</f>
        <v>0</v>
      </c>
      <c r="GF153" s="84"/>
      <c r="GG153" s="111">
        <f ca="1">FS153+FZ153</f>
        <v>0</v>
      </c>
      <c r="GH153" s="85">
        <f>GH152</f>
        <v>0</v>
      </c>
      <c r="GI153" s="111">
        <f ca="1">FU153+GB153</f>
        <v>0</v>
      </c>
      <c r="GJ153" s="112">
        <f t="shared" si="402"/>
        <v>0</v>
      </c>
      <c r="GK153" s="111">
        <f ca="1">FW153+GD153</f>
        <v>0</v>
      </c>
      <c r="GL153" s="112">
        <f t="shared" si="403"/>
        <v>0</v>
      </c>
      <c r="GM153" s="39"/>
      <c r="GN153" s="69">
        <f t="shared" si="503"/>
        <v>0</v>
      </c>
      <c r="GO153" s="113" t="e">
        <f ca="1">INDEX(FJ16:FJ115,MATCH(GM152,A16:A115,0))</f>
        <v>#DIV/0!</v>
      </c>
      <c r="GP153" s="113" t="e">
        <f ca="1">INDEX(FK16:FK115,MATCH(GM152,A16:A115,0))</f>
        <v>#DIV/0!</v>
      </c>
      <c r="GQ153" s="113" t="e">
        <f ca="1">INDEX(FL16:FL115,MATCH(GM152,A16:A115,0))</f>
        <v>#DIV/0!</v>
      </c>
      <c r="GR153" s="113" t="e">
        <f ca="1">INDEX(FM16:FM115,MATCH(GM152,A16:A115,0))</f>
        <v>#DIV/0!</v>
      </c>
      <c r="GS153" s="113" t="e">
        <f ca="1">INDEX(FN16:FN115,MATCH(GM152,A16:A115,0))</f>
        <v>#DIV/0!</v>
      </c>
      <c r="GT153" s="113" t="e">
        <f ca="1">INDEX(FO16:FO115,MATCH(GM152,A16:A115,0))</f>
        <v>#DIV/0!</v>
      </c>
      <c r="GU153" s="113" t="e">
        <f ca="1">INDEX(FP16:FP115,MATCH(GM152,A16:A115,0))</f>
        <v>#DIV/0!</v>
      </c>
      <c r="GV153" s="58"/>
      <c r="GW153" s="58"/>
      <c r="GX153" s="58"/>
      <c r="GY153" s="58"/>
      <c r="GZ153" s="58"/>
      <c r="HA153" s="58"/>
      <c r="HB153" s="58"/>
      <c r="HC153" s="58"/>
      <c r="HD153" s="58"/>
      <c r="HE153" s="58"/>
      <c r="HF153" s="58"/>
      <c r="HG153" s="58"/>
      <c r="HH153" s="58"/>
      <c r="HI153" s="58"/>
      <c r="HJ153" s="58"/>
      <c r="HK153" s="58"/>
      <c r="HL153" s="58"/>
      <c r="HM153" s="58"/>
      <c r="HN153" s="58"/>
      <c r="HO153" s="58"/>
      <c r="HP153" s="58"/>
      <c r="HQ153" s="58"/>
      <c r="HR153" s="58"/>
      <c r="HS153" s="58"/>
      <c r="HT153" s="58"/>
      <c r="HU153" s="58"/>
      <c r="HV153" s="58"/>
      <c r="HW153" s="58"/>
      <c r="HX153" s="58"/>
      <c r="HY153" s="58"/>
      <c r="HZ153" s="58"/>
      <c r="IA153" s="58"/>
      <c r="IB153" s="58"/>
      <c r="IC153" s="58"/>
      <c r="ID153" s="58"/>
      <c r="IE153" s="58"/>
      <c r="IF153" s="58"/>
      <c r="IG153" s="58"/>
      <c r="IH153" s="58"/>
      <c r="II153" s="58"/>
      <c r="IJ153" s="58"/>
      <c r="IK153" s="58"/>
      <c r="IL153" s="58"/>
      <c r="IM153" s="58"/>
      <c r="IN153" s="58"/>
      <c r="IO153" s="58"/>
      <c r="IP153" s="58"/>
      <c r="IQ153" s="58"/>
      <c r="IR153" s="58"/>
      <c r="IS153" s="58"/>
      <c r="IT153" s="58"/>
      <c r="IU153" s="58"/>
    </row>
    <row r="154" spans="1:255" s="57" customFormat="1" x14ac:dyDescent="0.3">
      <c r="A154" s="54"/>
      <c r="B154" s="44"/>
      <c r="C154" s="378"/>
      <c r="D154" s="378"/>
      <c r="E154" s="378"/>
      <c r="F154" s="378"/>
      <c r="G154" s="55"/>
      <c r="H154" s="55"/>
      <c r="I154" s="55"/>
      <c r="J154" s="55"/>
      <c r="K154" s="49"/>
      <c r="L154" s="36"/>
      <c r="M154" s="40"/>
      <c r="N154" s="40"/>
      <c r="O154" s="40"/>
      <c r="P154" s="41"/>
      <c r="Q154" s="41"/>
      <c r="R154" s="41"/>
      <c r="S154" s="41"/>
      <c r="T154" s="40"/>
      <c r="AH154" s="89"/>
      <c r="AV154" s="58"/>
      <c r="AW154" s="58"/>
      <c r="AX154" s="58"/>
      <c r="AY154" s="58"/>
      <c r="AZ154" s="58"/>
      <c r="BA154" s="58"/>
      <c r="BB154" s="58"/>
      <c r="BC154" s="58"/>
      <c r="BD154" s="58"/>
      <c r="BE154" s="58"/>
      <c r="BF154" s="58"/>
      <c r="BG154" s="58"/>
      <c r="BH154" s="58"/>
      <c r="BI154" s="58"/>
      <c r="BJ154" s="58"/>
      <c r="BK154" s="58"/>
      <c r="BL154" s="58"/>
      <c r="BM154" s="58"/>
      <c r="BN154" s="58"/>
      <c r="BO154" s="58"/>
      <c r="BP154" s="58"/>
      <c r="BQ154" s="58"/>
      <c r="BR154" s="58"/>
      <c r="BS154" s="58"/>
      <c r="BT154" s="58"/>
      <c r="BU154" s="58"/>
      <c r="BV154" s="58"/>
      <c r="BW154" s="58"/>
      <c r="BX154" s="58"/>
      <c r="BY154" s="58"/>
      <c r="BZ154" s="58"/>
      <c r="CA154" s="58"/>
      <c r="CB154" s="58"/>
      <c r="CC154" s="58"/>
      <c r="CD154" s="58"/>
      <c r="CE154" s="58"/>
      <c r="CF154" s="58"/>
      <c r="CG154" s="58"/>
      <c r="CH154" s="58"/>
      <c r="CI154" s="58"/>
      <c r="CJ154" s="58"/>
      <c r="CK154" s="58"/>
      <c r="CL154" s="58"/>
      <c r="CM154" s="58"/>
      <c r="CN154" s="58"/>
      <c r="CO154" s="58"/>
      <c r="CP154" s="58"/>
      <c r="CQ154" s="58"/>
      <c r="CR154" s="44"/>
      <c r="CS154" s="44"/>
      <c r="CT154" s="44"/>
      <c r="CU154" s="48"/>
      <c r="CV154" s="142"/>
      <c r="CW154" s="44"/>
      <c r="CX154" s="83"/>
      <c r="CY154" s="83"/>
      <c r="CZ154" s="83"/>
      <c r="DA154" s="44"/>
      <c r="DB154" s="143"/>
      <c r="DC154" s="44"/>
      <c r="DD154" s="44"/>
      <c r="DE154" s="44"/>
      <c r="DF154" s="44"/>
      <c r="DG154" s="44"/>
      <c r="DH154" s="44"/>
      <c r="DI154" s="75"/>
      <c r="DM154" s="87"/>
      <c r="DN154" s="99"/>
      <c r="DQ154" s="87"/>
      <c r="DR154" s="99"/>
      <c r="DS154" s="44"/>
      <c r="DT154" s="83"/>
      <c r="DU154" s="83"/>
      <c r="DV154" s="83"/>
      <c r="DW154" s="44"/>
      <c r="DX154" s="144"/>
      <c r="DY154" s="144"/>
      <c r="DZ154" s="144"/>
      <c r="EA154" s="58"/>
      <c r="EB154" s="58"/>
      <c r="EC154" s="58"/>
      <c r="ED154" s="58"/>
      <c r="EE154" s="58"/>
      <c r="EF154" s="58"/>
      <c r="EG154" s="58"/>
      <c r="EH154" s="58"/>
      <c r="EI154" s="58"/>
      <c r="EJ154" s="58"/>
      <c r="EK154" s="58"/>
      <c r="EL154" s="58"/>
      <c r="EM154" s="58"/>
      <c r="EN154" s="58"/>
      <c r="EO154" s="58"/>
      <c r="EP154" s="58"/>
      <c r="EQ154" s="58"/>
      <c r="ER154" s="58"/>
      <c r="ES154" s="58"/>
      <c r="ET154" s="58"/>
      <c r="EU154" s="58"/>
      <c r="EV154" s="58"/>
      <c r="EW154" s="58"/>
      <c r="EX154" s="58"/>
      <c r="EY154" s="58"/>
      <c r="EZ154" s="58"/>
      <c r="FA154" s="58"/>
      <c r="FB154" s="58"/>
      <c r="FC154" s="58"/>
      <c r="FD154" s="58"/>
      <c r="FE154" s="58"/>
      <c r="FF154" s="58"/>
      <c r="FG154" s="58"/>
      <c r="FH154" s="58"/>
      <c r="FI154" s="58"/>
      <c r="FJ154" s="58"/>
      <c r="FK154" s="58"/>
      <c r="FL154" s="58"/>
      <c r="FM154" s="58"/>
      <c r="FN154" s="58"/>
      <c r="FO154" s="58"/>
      <c r="FP154" s="58"/>
      <c r="FQ154" s="58"/>
      <c r="FR154" s="82"/>
      <c r="FS154" s="69">
        <f ca="1">FS153</f>
        <v>0</v>
      </c>
      <c r="FT154" s="69">
        <f>INDEX(AE16:AE115,MATCH(GF152,A16:A115,0))</f>
        <v>0</v>
      </c>
      <c r="FU154" s="69">
        <f ca="1">FU153</f>
        <v>0</v>
      </c>
      <c r="FV154" s="69">
        <f t="shared" si="522"/>
        <v>0</v>
      </c>
      <c r="FW154" s="69">
        <f ca="1">FW153</f>
        <v>0</v>
      </c>
      <c r="FX154" s="70">
        <f t="shared" si="523"/>
        <v>0</v>
      </c>
      <c r="FY154" s="82"/>
      <c r="FZ154" s="101">
        <f ca="1">INDEX(EF16:EF115,MATCH(GF152,A16:A115,0))</f>
        <v>0</v>
      </c>
      <c r="GA154" s="69">
        <f>FT154</f>
        <v>0</v>
      </c>
      <c r="GB154" s="61">
        <f ca="1">INDEX(EH16:EH115,MATCH(GF152,A16:A115,0))</f>
        <v>0</v>
      </c>
      <c r="GC154" s="109">
        <f t="shared" si="401"/>
        <v>0</v>
      </c>
      <c r="GD154" s="69">
        <f ca="1">INDEX(EJ16:EJ115,MATCH(GF152,A16:A115,0))</f>
        <v>0</v>
      </c>
      <c r="GE154" s="110">
        <f t="shared" si="524"/>
        <v>0</v>
      </c>
      <c r="GF154" s="84"/>
      <c r="GG154" s="111">
        <f ca="1">FS154+FZ154</f>
        <v>0</v>
      </c>
      <c r="GH154" s="85">
        <f>FT154</f>
        <v>0</v>
      </c>
      <c r="GI154" s="111">
        <f ca="1">FU154+GB154</f>
        <v>0</v>
      </c>
      <c r="GJ154" s="112">
        <f t="shared" si="402"/>
        <v>0</v>
      </c>
      <c r="GK154" s="111">
        <f ca="1">FW154+GD154</f>
        <v>0</v>
      </c>
      <c r="GL154" s="112">
        <f t="shared" si="403"/>
        <v>0</v>
      </c>
      <c r="GM154" s="39"/>
      <c r="GN154" s="69">
        <f t="shared" si="503"/>
        <v>0</v>
      </c>
      <c r="GO154" s="113" t="e">
        <f ca="1">GO153</f>
        <v>#DIV/0!</v>
      </c>
      <c r="GP154" s="113" t="e">
        <f t="shared" ref="GP154" ca="1" si="525">GP153</f>
        <v>#DIV/0!</v>
      </c>
      <c r="GQ154" s="113" t="e">
        <f t="shared" ref="GQ154" ca="1" si="526">GQ153</f>
        <v>#DIV/0!</v>
      </c>
      <c r="GR154" s="113" t="e">
        <f t="shared" ref="GR154" ca="1" si="527">GR153</f>
        <v>#DIV/0!</v>
      </c>
      <c r="GS154" s="113" t="e">
        <f t="shared" ref="GS154" ca="1" si="528">GS153</f>
        <v>#DIV/0!</v>
      </c>
      <c r="GT154" s="113" t="e">
        <f t="shared" ref="GT154" ca="1" si="529">GT153</f>
        <v>#DIV/0!</v>
      </c>
      <c r="GU154" s="113" t="e">
        <f t="shared" ref="GU154" ca="1" si="530">GU153</f>
        <v>#DIV/0!</v>
      </c>
      <c r="GV154" s="58"/>
      <c r="GW154" s="58"/>
      <c r="GX154" s="58"/>
      <c r="GY154" s="58"/>
      <c r="GZ154" s="58"/>
      <c r="HA154" s="58"/>
      <c r="HB154" s="58"/>
      <c r="HC154" s="58"/>
      <c r="HD154" s="58"/>
      <c r="HE154" s="58"/>
      <c r="HF154" s="58"/>
      <c r="HG154" s="58"/>
      <c r="HH154" s="58"/>
      <c r="HI154" s="58"/>
      <c r="HJ154" s="58"/>
      <c r="HK154" s="58"/>
      <c r="HL154" s="58"/>
      <c r="HM154" s="58"/>
      <c r="HN154" s="58"/>
      <c r="HO154" s="58"/>
      <c r="HP154" s="58"/>
      <c r="HQ154" s="58"/>
      <c r="HR154" s="58"/>
      <c r="HS154" s="58"/>
      <c r="HT154" s="58"/>
      <c r="HU154" s="58"/>
      <c r="HV154" s="58"/>
      <c r="HW154" s="58"/>
      <c r="HX154" s="58"/>
      <c r="HY154" s="58"/>
      <c r="HZ154" s="58"/>
      <c r="IA154" s="58"/>
      <c r="IB154" s="58"/>
      <c r="IC154" s="58"/>
      <c r="ID154" s="58"/>
      <c r="IE154" s="58"/>
      <c r="IF154" s="58"/>
      <c r="IG154" s="58"/>
      <c r="IH154" s="58"/>
      <c r="II154" s="58"/>
      <c r="IJ154" s="58"/>
      <c r="IK154" s="58"/>
      <c r="IL154" s="58"/>
      <c r="IM154" s="58"/>
      <c r="IN154" s="58"/>
      <c r="IO154" s="58"/>
      <c r="IP154" s="58"/>
      <c r="IQ154" s="58"/>
      <c r="IR154" s="58"/>
      <c r="IS154" s="58"/>
      <c r="IT154" s="58"/>
      <c r="IU154" s="58"/>
    </row>
    <row r="155" spans="1:255" s="57" customFormat="1" ht="13.65" customHeight="1" x14ac:dyDescent="0.3">
      <c r="A155" s="139"/>
      <c r="B155" s="139"/>
      <c r="C155" s="139"/>
      <c r="D155" s="139"/>
      <c r="E155" s="139"/>
      <c r="F155" s="139"/>
      <c r="G155" s="139"/>
      <c r="H155" s="139"/>
      <c r="I155" s="139"/>
      <c r="J155" s="139"/>
      <c r="K155" s="139"/>
      <c r="L155" s="36"/>
      <c r="M155" s="40"/>
      <c r="N155" s="40"/>
      <c r="O155" s="40"/>
      <c r="P155" s="41"/>
      <c r="Q155" s="41"/>
      <c r="R155" s="41"/>
      <c r="S155" s="41"/>
      <c r="T155" s="40"/>
      <c r="AH155" s="89"/>
      <c r="AV155" s="58"/>
      <c r="AW155" s="58"/>
      <c r="AX155" s="58"/>
      <c r="AY155" s="58"/>
      <c r="AZ155" s="58"/>
      <c r="BA155" s="58"/>
      <c r="BB155" s="58"/>
      <c r="BC155" s="58"/>
      <c r="BD155" s="58"/>
      <c r="BE155" s="58"/>
      <c r="BF155" s="58"/>
      <c r="BG155" s="58"/>
      <c r="BH155" s="58"/>
      <c r="BI155" s="58"/>
      <c r="BJ155" s="58"/>
      <c r="BK155" s="58"/>
      <c r="BL155" s="58"/>
      <c r="BM155" s="58"/>
      <c r="BN155" s="58"/>
      <c r="BO155" s="58"/>
      <c r="BP155" s="58"/>
      <c r="BQ155" s="58"/>
      <c r="BR155" s="58"/>
      <c r="BS155" s="58"/>
      <c r="BT155" s="58"/>
      <c r="BU155" s="58"/>
      <c r="BV155" s="58"/>
      <c r="BW155" s="58"/>
      <c r="BX155" s="58"/>
      <c r="BY155" s="58"/>
      <c r="BZ155" s="58"/>
      <c r="CA155" s="58"/>
      <c r="CB155" s="58"/>
      <c r="CC155" s="58"/>
      <c r="CD155" s="58"/>
      <c r="CE155" s="58"/>
      <c r="CF155" s="58"/>
      <c r="CG155" s="58"/>
      <c r="CH155" s="58"/>
      <c r="CI155" s="58"/>
      <c r="CJ155" s="58"/>
      <c r="CK155" s="58"/>
      <c r="CL155" s="58"/>
      <c r="CM155" s="58"/>
      <c r="CN155" s="58"/>
      <c r="CO155" s="58"/>
      <c r="CP155" s="58"/>
      <c r="CQ155" s="58"/>
      <c r="CR155" s="44"/>
      <c r="CS155" s="44"/>
      <c r="CT155" s="44"/>
      <c r="CU155" s="48"/>
      <c r="CV155" s="142"/>
      <c r="CW155" s="44"/>
      <c r="CX155" s="83"/>
      <c r="CY155" s="83"/>
      <c r="CZ155" s="83"/>
      <c r="DA155" s="44"/>
      <c r="DB155" s="143"/>
      <c r="DC155" s="44"/>
      <c r="DD155" s="44"/>
      <c r="DE155" s="44"/>
      <c r="DF155" s="44"/>
      <c r="DG155" s="44"/>
      <c r="DH155" s="44"/>
      <c r="DI155" s="75"/>
      <c r="DM155" s="87"/>
      <c r="DN155" s="99"/>
      <c r="DQ155" s="87"/>
      <c r="DR155" s="99"/>
      <c r="DS155" s="44"/>
      <c r="DT155" s="83"/>
      <c r="DU155" s="83"/>
      <c r="DV155" s="83"/>
      <c r="DW155" s="44"/>
      <c r="DX155" s="144"/>
      <c r="DY155" s="144"/>
      <c r="DZ155" s="144"/>
      <c r="EA155" s="58"/>
      <c r="EB155" s="58"/>
      <c r="EC155" s="58"/>
      <c r="ED155" s="58"/>
      <c r="EE155" s="58"/>
      <c r="EF155" s="58"/>
      <c r="EG155" s="58"/>
      <c r="EH155" s="58"/>
      <c r="EI155" s="58"/>
      <c r="EJ155" s="58"/>
      <c r="EK155" s="58"/>
      <c r="EL155" s="58"/>
      <c r="EM155" s="58"/>
      <c r="EN155" s="58"/>
      <c r="EO155" s="58"/>
      <c r="EP155" s="58"/>
      <c r="EQ155" s="58"/>
      <c r="ER155" s="58"/>
      <c r="ES155" s="58"/>
      <c r="ET155" s="58"/>
      <c r="EU155" s="58"/>
      <c r="EV155" s="58"/>
      <c r="EW155" s="58"/>
      <c r="EX155" s="58"/>
      <c r="EY155" s="58"/>
      <c r="EZ155" s="58"/>
      <c r="FA155" s="58"/>
      <c r="FB155" s="58"/>
      <c r="FC155" s="58"/>
      <c r="FD155" s="58"/>
      <c r="FE155" s="58"/>
      <c r="FF155" s="58"/>
      <c r="FG155" s="58"/>
      <c r="FH155" s="58"/>
      <c r="FI155" s="58"/>
      <c r="FJ155" s="58"/>
      <c r="FK155" s="58"/>
      <c r="FL155" s="58"/>
      <c r="FM155" s="58"/>
      <c r="FN155" s="58"/>
      <c r="FO155" s="58"/>
      <c r="FP155" s="58"/>
      <c r="FQ155" s="58"/>
      <c r="FR155" s="82"/>
      <c r="FS155" s="61">
        <v>0</v>
      </c>
      <c r="FT155" s="69">
        <f>FT154</f>
        <v>0</v>
      </c>
      <c r="FU155" s="61">
        <v>0</v>
      </c>
      <c r="FV155" s="69">
        <f t="shared" si="522"/>
        <v>0</v>
      </c>
      <c r="FW155" s="69">
        <v>0</v>
      </c>
      <c r="FX155" s="70">
        <f t="shared" si="523"/>
        <v>0</v>
      </c>
      <c r="FY155" s="82"/>
      <c r="FZ155" s="61">
        <v>0</v>
      </c>
      <c r="GA155" s="69">
        <f>GA154</f>
        <v>0</v>
      </c>
      <c r="GB155" s="61">
        <v>0</v>
      </c>
      <c r="GC155" s="109">
        <f t="shared" si="401"/>
        <v>0</v>
      </c>
      <c r="GD155" s="61">
        <v>0</v>
      </c>
      <c r="GE155" s="110">
        <f t="shared" si="524"/>
        <v>0</v>
      </c>
      <c r="GF155" s="84"/>
      <c r="GG155" s="111">
        <v>0</v>
      </c>
      <c r="GH155" s="85">
        <f>GH154</f>
        <v>0</v>
      </c>
      <c r="GI155" s="112">
        <v>0</v>
      </c>
      <c r="GJ155" s="112">
        <f t="shared" si="402"/>
        <v>0</v>
      </c>
      <c r="GK155" s="112">
        <v>0</v>
      </c>
      <c r="GL155" s="112">
        <f t="shared" si="403"/>
        <v>0</v>
      </c>
      <c r="GM155" s="58"/>
      <c r="GN155" s="69">
        <f t="shared" si="503"/>
        <v>0</v>
      </c>
      <c r="GO155" s="113"/>
      <c r="GP155" s="113"/>
      <c r="GQ155" s="113"/>
      <c r="GR155" s="113"/>
      <c r="GS155" s="113"/>
      <c r="GT155" s="113"/>
      <c r="GU155" s="113"/>
      <c r="GV155" s="58"/>
      <c r="GW155" s="58"/>
      <c r="GX155" s="58"/>
      <c r="GY155" s="58"/>
      <c r="GZ155" s="58"/>
      <c r="HA155" s="58"/>
      <c r="HB155" s="58"/>
      <c r="HC155" s="58"/>
      <c r="HD155" s="58"/>
      <c r="HE155" s="58"/>
      <c r="HF155" s="58"/>
      <c r="HG155" s="58"/>
      <c r="HH155" s="58"/>
      <c r="HI155" s="58"/>
      <c r="HJ155" s="58"/>
      <c r="HK155" s="58"/>
      <c r="HL155" s="58"/>
      <c r="HM155" s="58"/>
      <c r="HN155" s="58"/>
      <c r="HO155" s="58"/>
      <c r="HP155" s="58"/>
      <c r="HQ155" s="58"/>
      <c r="HR155" s="58"/>
      <c r="HS155" s="58"/>
      <c r="HT155" s="58"/>
      <c r="HU155" s="58"/>
      <c r="HV155" s="58"/>
      <c r="HW155" s="58"/>
      <c r="HX155" s="58"/>
      <c r="HY155" s="58"/>
      <c r="HZ155" s="58"/>
      <c r="IA155" s="58"/>
      <c r="IB155" s="58"/>
      <c r="IC155" s="58"/>
      <c r="ID155" s="58"/>
      <c r="IE155" s="58"/>
      <c r="IF155" s="58"/>
      <c r="IG155" s="58"/>
      <c r="IH155" s="58"/>
      <c r="II155" s="58"/>
      <c r="IJ155" s="58"/>
      <c r="IK155" s="58"/>
      <c r="IL155" s="58"/>
      <c r="IM155" s="58"/>
      <c r="IN155" s="58"/>
      <c r="IO155" s="58"/>
      <c r="IP155" s="58"/>
      <c r="IQ155" s="58"/>
      <c r="IR155" s="58"/>
      <c r="IS155" s="58"/>
      <c r="IT155" s="58"/>
      <c r="IU155" s="58"/>
    </row>
    <row r="156" spans="1:255" s="57" customFormat="1" ht="13.65" customHeight="1" x14ac:dyDescent="0.3">
      <c r="A156" s="137"/>
      <c r="B156" s="168"/>
      <c r="C156" s="169"/>
      <c r="D156" s="169"/>
      <c r="E156" s="169"/>
      <c r="F156" s="169"/>
      <c r="G156" s="169"/>
      <c r="H156" s="169"/>
      <c r="I156" s="169"/>
      <c r="J156" s="169"/>
      <c r="K156" s="169"/>
      <c r="L156" s="36"/>
      <c r="M156" s="40"/>
      <c r="N156" s="40"/>
      <c r="O156" s="40"/>
      <c r="P156" s="41"/>
      <c r="Q156" s="41"/>
      <c r="R156" s="41"/>
      <c r="S156" s="41"/>
      <c r="T156" s="40"/>
      <c r="AH156" s="89"/>
      <c r="AV156" s="58"/>
      <c r="AW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c r="BZ156" s="58"/>
      <c r="CA156" s="58"/>
      <c r="CB156" s="58"/>
      <c r="CC156" s="58"/>
      <c r="CD156" s="58"/>
      <c r="CE156" s="58"/>
      <c r="CF156" s="58"/>
      <c r="CG156" s="58"/>
      <c r="CH156" s="58"/>
      <c r="CI156" s="58"/>
      <c r="CJ156" s="58"/>
      <c r="CK156" s="58"/>
      <c r="CL156" s="58"/>
      <c r="CM156" s="58"/>
      <c r="CN156" s="58"/>
      <c r="CO156" s="58"/>
      <c r="CP156" s="58"/>
      <c r="CQ156" s="58"/>
      <c r="CR156" s="44"/>
      <c r="CS156" s="44"/>
      <c r="CT156" s="44"/>
      <c r="CU156" s="48"/>
      <c r="CV156" s="142"/>
      <c r="CW156" s="44"/>
      <c r="CX156" s="83"/>
      <c r="CY156" s="83"/>
      <c r="CZ156" s="83"/>
      <c r="DA156" s="44"/>
      <c r="DB156" s="143"/>
      <c r="DC156" s="44"/>
      <c r="DD156" s="44"/>
      <c r="DE156" s="44"/>
      <c r="DF156" s="44"/>
      <c r="DG156" s="44"/>
      <c r="DH156" s="44"/>
      <c r="DI156" s="75"/>
      <c r="DM156" s="87"/>
      <c r="DN156" s="99"/>
      <c r="DQ156" s="87"/>
      <c r="DR156" s="99"/>
      <c r="DS156" s="44"/>
      <c r="DT156" s="83"/>
      <c r="DU156" s="83"/>
      <c r="DV156" s="83"/>
      <c r="DW156" s="44"/>
      <c r="DX156" s="144"/>
      <c r="DY156" s="144"/>
      <c r="DZ156" s="144"/>
      <c r="EA156" s="58"/>
      <c r="EB156" s="58"/>
      <c r="EC156" s="58"/>
      <c r="ED156" s="58"/>
      <c r="EE156" s="58"/>
      <c r="EF156" s="58"/>
      <c r="EG156" s="58"/>
      <c r="EH156" s="58"/>
      <c r="EI156" s="58"/>
      <c r="EJ156" s="58"/>
      <c r="EK156" s="58"/>
      <c r="EL156" s="58"/>
      <c r="EM156" s="58"/>
      <c r="EN156" s="58"/>
      <c r="EO156" s="58"/>
      <c r="EP156" s="58"/>
      <c r="EQ156" s="58"/>
      <c r="ER156" s="58"/>
      <c r="ES156" s="58"/>
      <c r="ET156" s="58"/>
      <c r="EU156" s="58"/>
      <c r="EV156" s="58"/>
      <c r="EW156" s="58"/>
      <c r="EX156" s="58"/>
      <c r="EY156" s="58"/>
      <c r="EZ156" s="58"/>
      <c r="FA156" s="58"/>
      <c r="FB156" s="58"/>
      <c r="FC156" s="58"/>
      <c r="FD156" s="58"/>
      <c r="FE156" s="58"/>
      <c r="FF156" s="58"/>
      <c r="FG156" s="58"/>
      <c r="FH156" s="58"/>
      <c r="FI156" s="58"/>
      <c r="FJ156" s="58"/>
      <c r="FK156" s="58"/>
      <c r="FL156" s="58"/>
      <c r="FM156" s="58"/>
      <c r="FN156" s="58"/>
      <c r="FO156" s="58"/>
      <c r="FP156" s="58"/>
      <c r="FQ156" s="58"/>
      <c r="FR156" s="58"/>
      <c r="FS156" s="58"/>
      <c r="FT156" s="58"/>
      <c r="FU156" s="58"/>
      <c r="FV156" s="58"/>
      <c r="FW156" s="58"/>
      <c r="FX156" s="58"/>
      <c r="FY156" s="58"/>
      <c r="FZ156" s="58"/>
      <c r="GA156" s="58"/>
      <c r="GB156" s="58"/>
      <c r="GC156" s="58"/>
      <c r="GD156" s="58"/>
      <c r="GE156" s="58"/>
      <c r="GF156" s="58"/>
      <c r="GG156" s="58"/>
      <c r="GH156" s="58"/>
      <c r="GI156" s="58"/>
      <c r="GJ156" s="58"/>
      <c r="GK156" s="58"/>
      <c r="GL156" s="58"/>
      <c r="GM156" s="58"/>
      <c r="GN156" s="58"/>
      <c r="GO156" s="58"/>
      <c r="GP156" s="58"/>
      <c r="GQ156" s="58"/>
      <c r="GR156" s="58"/>
      <c r="GS156" s="58"/>
      <c r="GT156" s="58"/>
      <c r="GU156" s="58"/>
      <c r="GV156" s="58"/>
      <c r="GW156" s="58"/>
      <c r="GX156" s="58"/>
      <c r="GY156" s="58"/>
      <c r="GZ156" s="58"/>
      <c r="HA156" s="58"/>
      <c r="HB156" s="58"/>
      <c r="HC156" s="58"/>
      <c r="HD156" s="58"/>
      <c r="HE156" s="58"/>
      <c r="HF156" s="58"/>
      <c r="HG156" s="58"/>
      <c r="HH156" s="58"/>
      <c r="HI156" s="58"/>
      <c r="HJ156" s="58"/>
      <c r="HK156" s="58"/>
      <c r="HL156" s="58"/>
      <c r="HM156" s="58"/>
      <c r="HN156" s="58"/>
      <c r="HO156" s="58"/>
      <c r="HP156" s="58"/>
      <c r="HQ156" s="58"/>
      <c r="HR156" s="58"/>
      <c r="HS156" s="58"/>
      <c r="HT156" s="58"/>
      <c r="HU156" s="58"/>
      <c r="HV156" s="58"/>
      <c r="HW156" s="58"/>
      <c r="HX156" s="58"/>
      <c r="HY156" s="58"/>
      <c r="HZ156" s="58"/>
      <c r="IA156" s="58"/>
      <c r="IB156" s="58"/>
      <c r="IC156" s="58"/>
      <c r="ID156" s="58"/>
      <c r="IE156" s="58"/>
      <c r="IF156" s="58"/>
      <c r="IG156" s="58"/>
      <c r="IH156" s="58"/>
      <c r="II156" s="58"/>
      <c r="IJ156" s="58"/>
      <c r="IK156" s="58"/>
      <c r="IL156" s="58"/>
      <c r="IM156" s="58"/>
      <c r="IN156" s="58"/>
      <c r="IO156" s="58"/>
      <c r="IP156" s="58"/>
      <c r="IQ156" s="58"/>
      <c r="IR156" s="58"/>
      <c r="IS156" s="58"/>
      <c r="IT156" s="58"/>
      <c r="IU156" s="58"/>
    </row>
    <row r="157" spans="1:255" s="57" customFormat="1" ht="13.65" customHeight="1" x14ac:dyDescent="0.3">
      <c r="M157" s="40"/>
      <c r="N157" s="40"/>
      <c r="O157" s="40"/>
      <c r="P157" s="41"/>
      <c r="Q157" s="41"/>
      <c r="R157" s="41"/>
      <c r="S157" s="41"/>
      <c r="T157" s="40"/>
      <c r="AH157" s="89"/>
      <c r="AV157" s="58"/>
      <c r="AW157" s="58"/>
      <c r="AX157" s="58"/>
      <c r="AY157" s="58"/>
      <c r="AZ157" s="58"/>
      <c r="BA157" s="58"/>
      <c r="BB157" s="58"/>
      <c r="BC157" s="58"/>
      <c r="BD157" s="58"/>
      <c r="BE157" s="58"/>
      <c r="BF157" s="58"/>
      <c r="BG157" s="58"/>
      <c r="BH157" s="58"/>
      <c r="BI157" s="58"/>
      <c r="BJ157" s="58"/>
      <c r="BK157" s="58"/>
      <c r="BL157" s="58"/>
      <c r="BM157" s="58"/>
      <c r="BN157" s="58"/>
      <c r="BO157" s="58"/>
      <c r="BP157" s="58"/>
      <c r="BQ157" s="58"/>
      <c r="BR157" s="58"/>
      <c r="BS157" s="58"/>
      <c r="BT157" s="58"/>
      <c r="BU157" s="58"/>
      <c r="BV157" s="58"/>
      <c r="BW157" s="58"/>
      <c r="BX157" s="58"/>
      <c r="BY157" s="58"/>
      <c r="BZ157" s="58"/>
      <c r="CA157" s="58"/>
      <c r="CB157" s="58"/>
      <c r="CC157" s="58"/>
      <c r="CD157" s="58"/>
      <c r="CE157" s="58"/>
      <c r="CF157" s="58"/>
      <c r="CG157" s="58"/>
      <c r="CH157" s="58"/>
      <c r="CI157" s="58"/>
      <c r="CJ157" s="58"/>
      <c r="CK157" s="58"/>
      <c r="CL157" s="58"/>
      <c r="CM157" s="58"/>
      <c r="CN157" s="58"/>
      <c r="CO157" s="58"/>
      <c r="CP157" s="58"/>
      <c r="CQ157" s="58"/>
      <c r="CR157" s="44"/>
      <c r="CS157" s="44"/>
      <c r="CT157" s="44"/>
      <c r="CU157" s="48"/>
      <c r="CV157" s="142"/>
      <c r="CW157" s="44"/>
      <c r="CX157" s="83"/>
      <c r="CY157" s="83"/>
      <c r="CZ157" s="83"/>
      <c r="DA157" s="44"/>
      <c r="DB157" s="143"/>
      <c r="DC157" s="44"/>
      <c r="DD157" s="44"/>
      <c r="DE157" s="44"/>
      <c r="DF157" s="44"/>
      <c r="DG157" s="44"/>
      <c r="DH157" s="44"/>
      <c r="DI157" s="75"/>
      <c r="DM157" s="87"/>
      <c r="DN157" s="99"/>
      <c r="DQ157" s="87"/>
      <c r="DR157" s="99"/>
      <c r="DS157" s="44"/>
      <c r="DT157" s="83"/>
      <c r="DU157" s="83"/>
      <c r="DV157" s="83"/>
      <c r="DW157" s="44"/>
      <c r="DX157" s="144"/>
      <c r="DY157" s="144"/>
      <c r="DZ157" s="144"/>
      <c r="EA157" s="58"/>
      <c r="EB157" s="58"/>
      <c r="EC157" s="58"/>
      <c r="ED157" s="58"/>
      <c r="EE157" s="58"/>
      <c r="EF157" s="58"/>
      <c r="EG157" s="58"/>
      <c r="EH157" s="58"/>
      <c r="EI157" s="58"/>
      <c r="EJ157" s="58"/>
      <c r="EK157" s="58"/>
      <c r="EL157" s="58"/>
      <c r="EM157" s="58"/>
      <c r="EN157" s="58"/>
      <c r="EO157" s="58"/>
      <c r="EP157" s="58"/>
      <c r="EQ157" s="58"/>
      <c r="ER157" s="58"/>
      <c r="ES157" s="58"/>
      <c r="ET157" s="58"/>
      <c r="EU157" s="58"/>
      <c r="EV157" s="58"/>
      <c r="EW157" s="58"/>
      <c r="EX157" s="58"/>
      <c r="EY157" s="58"/>
      <c r="EZ157" s="58"/>
      <c r="FA157" s="58"/>
      <c r="FB157" s="58"/>
      <c r="FC157" s="58"/>
      <c r="FD157" s="58"/>
      <c r="FE157" s="58"/>
      <c r="FF157" s="58"/>
      <c r="FG157" s="58"/>
      <c r="FH157" s="58"/>
      <c r="FI157" s="58"/>
      <c r="FJ157" s="58"/>
      <c r="FK157" s="58"/>
      <c r="FL157" s="58"/>
      <c r="FM157" s="58"/>
      <c r="FN157" s="58"/>
      <c r="FO157" s="58"/>
      <c r="FP157" s="58"/>
      <c r="FQ157" s="58"/>
      <c r="FR157" s="58"/>
      <c r="FS157" s="58"/>
      <c r="FT157" s="58"/>
      <c r="FU157" s="58"/>
      <c r="FV157" s="58"/>
      <c r="FW157" s="58"/>
      <c r="FX157" s="58"/>
      <c r="FY157" s="58"/>
      <c r="FZ157" s="58"/>
      <c r="GA157" s="58"/>
      <c r="GB157" s="58"/>
      <c r="GC157" s="58"/>
      <c r="GD157" s="58"/>
      <c r="GE157" s="58"/>
      <c r="GF157" s="58"/>
      <c r="GG157" s="58"/>
      <c r="GH157" s="58"/>
      <c r="GI157" s="58"/>
      <c r="GJ157" s="58"/>
      <c r="GK157" s="58"/>
      <c r="GL157" s="58"/>
      <c r="GM157" s="58"/>
      <c r="GN157" s="58"/>
      <c r="GO157" s="58"/>
      <c r="GP157" s="58"/>
      <c r="GQ157" s="58"/>
      <c r="GR157" s="58"/>
      <c r="GS157" s="58"/>
      <c r="GT157" s="58"/>
      <c r="GU157" s="58"/>
      <c r="GV157" s="58"/>
      <c r="GW157" s="58"/>
      <c r="GX157" s="58"/>
      <c r="GY157" s="58"/>
      <c r="GZ157" s="58"/>
      <c r="HA157" s="58"/>
      <c r="HB157" s="58"/>
      <c r="HC157" s="58"/>
      <c r="HD157" s="58"/>
      <c r="HE157" s="58"/>
      <c r="HF157" s="58"/>
      <c r="HG157" s="58"/>
      <c r="HH157" s="58"/>
      <c r="HI157" s="58"/>
      <c r="HJ157" s="58"/>
      <c r="HK157" s="58"/>
      <c r="HL157" s="58"/>
      <c r="HM157" s="58"/>
      <c r="HN157" s="58"/>
      <c r="HO157" s="58"/>
      <c r="HP157" s="58"/>
      <c r="HQ157" s="58"/>
      <c r="HR157" s="58"/>
      <c r="HS157" s="58"/>
      <c r="HT157" s="58"/>
      <c r="HU157" s="58"/>
      <c r="HV157" s="58"/>
      <c r="HW157" s="58"/>
      <c r="HX157" s="58"/>
      <c r="HY157" s="58"/>
      <c r="HZ157" s="58"/>
      <c r="IA157" s="58"/>
      <c r="IB157" s="58"/>
      <c r="IC157" s="58"/>
      <c r="ID157" s="58"/>
      <c r="IE157" s="58"/>
      <c r="IF157" s="58"/>
      <c r="IG157" s="58"/>
      <c r="IH157" s="58"/>
      <c r="II157" s="58"/>
      <c r="IJ157" s="58"/>
      <c r="IK157" s="58"/>
      <c r="IL157" s="58"/>
      <c r="IM157" s="58"/>
      <c r="IN157" s="58"/>
      <c r="IO157" s="58"/>
      <c r="IP157" s="58"/>
      <c r="IQ157" s="58"/>
      <c r="IR157" s="58"/>
      <c r="IS157" s="58"/>
      <c r="IT157" s="58"/>
      <c r="IU157" s="58"/>
    </row>
    <row r="158" spans="1:255" s="57" customFormat="1" ht="13.65" customHeight="1" x14ac:dyDescent="0.3">
      <c r="M158" s="40"/>
      <c r="N158" s="40"/>
      <c r="O158" s="40"/>
      <c r="P158" s="41"/>
      <c r="Q158" s="41"/>
      <c r="R158" s="41"/>
      <c r="S158" s="41"/>
      <c r="T158" s="40"/>
      <c r="AH158" s="89"/>
      <c r="AV158" s="58"/>
      <c r="AW158" s="58"/>
      <c r="AX158" s="58"/>
      <c r="AY158" s="58"/>
      <c r="AZ158" s="58"/>
      <c r="BA158" s="58"/>
      <c r="BB158" s="58"/>
      <c r="BC158" s="58"/>
      <c r="BD158" s="58"/>
      <c r="BE158" s="58"/>
      <c r="BF158" s="58"/>
      <c r="BG158" s="58"/>
      <c r="BH158" s="58"/>
      <c r="BI158" s="58"/>
      <c r="BJ158" s="58"/>
      <c r="BK158" s="58"/>
      <c r="BL158" s="58"/>
      <c r="BM158" s="58"/>
      <c r="BN158" s="58"/>
      <c r="BO158" s="58"/>
      <c r="BP158" s="58"/>
      <c r="BQ158" s="58"/>
      <c r="BR158" s="58"/>
      <c r="BS158" s="58"/>
      <c r="BT158" s="58"/>
      <c r="BU158" s="58"/>
      <c r="BV158" s="58"/>
      <c r="BW158" s="58"/>
      <c r="BX158" s="58"/>
      <c r="BY158" s="58"/>
      <c r="BZ158" s="58"/>
      <c r="CA158" s="58"/>
      <c r="CB158" s="58"/>
      <c r="CC158" s="58"/>
      <c r="CD158" s="58"/>
      <c r="CE158" s="58"/>
      <c r="CF158" s="58"/>
      <c r="CG158" s="58"/>
      <c r="CH158" s="58"/>
      <c r="CI158" s="58"/>
      <c r="CJ158" s="58"/>
      <c r="CK158" s="58"/>
      <c r="CL158" s="58"/>
      <c r="CM158" s="58"/>
      <c r="CN158" s="58"/>
      <c r="CO158" s="58"/>
      <c r="CP158" s="58"/>
      <c r="CQ158" s="58"/>
      <c r="CR158" s="44"/>
      <c r="CS158" s="44"/>
      <c r="CT158" s="44"/>
      <c r="CU158" s="48"/>
      <c r="CV158" s="142"/>
      <c r="CW158" s="44"/>
      <c r="CX158" s="83"/>
      <c r="CY158" s="83"/>
      <c r="CZ158" s="83"/>
      <c r="DA158" s="44"/>
      <c r="DB158" s="143"/>
      <c r="DC158" s="44"/>
      <c r="DD158" s="44"/>
      <c r="DE158" s="44"/>
      <c r="DF158" s="44"/>
      <c r="DG158" s="44"/>
      <c r="DH158" s="44"/>
      <c r="DI158" s="75"/>
      <c r="DM158" s="87"/>
      <c r="DN158" s="99"/>
      <c r="DQ158" s="87"/>
      <c r="DR158" s="99"/>
      <c r="DS158" s="44"/>
      <c r="DT158" s="83"/>
      <c r="DU158" s="83"/>
      <c r="DV158" s="83"/>
      <c r="DW158" s="44"/>
      <c r="DX158" s="144"/>
      <c r="DY158" s="144"/>
      <c r="DZ158" s="144"/>
      <c r="EA158" s="58"/>
      <c r="EB158" s="58"/>
      <c r="EC158" s="58"/>
      <c r="ED158" s="58"/>
      <c r="EE158" s="58"/>
      <c r="EF158" s="58"/>
      <c r="EG158" s="58"/>
      <c r="EH158" s="58"/>
      <c r="EI158" s="58"/>
      <c r="EJ158" s="58"/>
      <c r="EK158" s="58"/>
      <c r="EL158" s="58"/>
      <c r="EM158" s="58"/>
      <c r="EN158" s="58"/>
      <c r="EO158" s="58"/>
      <c r="EP158" s="58"/>
      <c r="EQ158" s="58"/>
      <c r="ER158" s="58"/>
      <c r="ES158" s="58"/>
      <c r="ET158" s="58"/>
      <c r="EU158" s="58"/>
      <c r="EV158" s="58"/>
      <c r="EW158" s="58"/>
      <c r="EX158" s="58"/>
      <c r="EY158" s="58"/>
      <c r="EZ158" s="58"/>
      <c r="FA158" s="58"/>
      <c r="FB158" s="58"/>
      <c r="FC158" s="58"/>
      <c r="FD158" s="58"/>
      <c r="FE158" s="58"/>
      <c r="FF158" s="58"/>
      <c r="FG158" s="58"/>
      <c r="FH158" s="58"/>
      <c r="FI158" s="58"/>
      <c r="FJ158" s="58"/>
      <c r="FK158" s="58"/>
      <c r="FL158" s="58"/>
      <c r="FM158" s="58"/>
      <c r="FN158" s="58"/>
      <c r="FO158" s="58"/>
      <c r="FP158" s="58"/>
      <c r="FQ158" s="58"/>
      <c r="FR158" s="58"/>
      <c r="FS158" s="58"/>
      <c r="FT158" s="58"/>
      <c r="FU158" s="58"/>
      <c r="FV158" s="58"/>
      <c r="FW158" s="58"/>
      <c r="FX158" s="58"/>
      <c r="FY158" s="58"/>
      <c r="FZ158" s="58"/>
      <c r="GA158" s="58"/>
      <c r="GB158" s="58"/>
      <c r="GC158" s="58"/>
      <c r="GD158" s="58"/>
      <c r="GE158" s="58"/>
      <c r="GF158" s="58"/>
      <c r="GG158" s="58"/>
      <c r="GH158" s="58"/>
      <c r="GI158" s="58"/>
      <c r="GJ158" s="58"/>
      <c r="GK158" s="58"/>
      <c r="GL158" s="58"/>
      <c r="GM158" s="58"/>
      <c r="GN158" s="58"/>
      <c r="GO158" s="58"/>
      <c r="GP158" s="58"/>
      <c r="GQ158" s="58"/>
      <c r="GR158" s="58"/>
      <c r="GS158" s="58"/>
      <c r="GT158" s="58"/>
      <c r="GU158" s="58"/>
      <c r="GV158" s="58"/>
      <c r="GW158" s="58"/>
      <c r="GX158" s="58"/>
      <c r="GY158" s="58"/>
      <c r="GZ158" s="58"/>
      <c r="HA158" s="58"/>
      <c r="HB158" s="58"/>
      <c r="HC158" s="58"/>
      <c r="HD158" s="58"/>
      <c r="HE158" s="58"/>
      <c r="HF158" s="58"/>
      <c r="HG158" s="58"/>
      <c r="HH158" s="58"/>
      <c r="HI158" s="58"/>
      <c r="HJ158" s="58"/>
      <c r="HK158" s="58"/>
      <c r="HL158" s="58"/>
      <c r="HM158" s="58"/>
      <c r="HN158" s="58"/>
      <c r="HO158" s="58"/>
      <c r="HP158" s="58"/>
      <c r="HQ158" s="58"/>
      <c r="HR158" s="58"/>
      <c r="HS158" s="58"/>
      <c r="HT158" s="58"/>
      <c r="HU158" s="58"/>
      <c r="HV158" s="58"/>
      <c r="HW158" s="58"/>
      <c r="HX158" s="58"/>
      <c r="HY158" s="58"/>
      <c r="HZ158" s="58"/>
      <c r="IA158" s="58"/>
      <c r="IB158" s="58"/>
      <c r="IC158" s="58"/>
      <c r="ID158" s="58"/>
      <c r="IE158" s="58"/>
      <c r="IF158" s="58"/>
      <c r="IG158" s="58"/>
      <c r="IH158" s="58"/>
      <c r="II158" s="58"/>
      <c r="IJ158" s="58"/>
      <c r="IK158" s="58"/>
      <c r="IL158" s="58"/>
      <c r="IM158" s="58"/>
      <c r="IN158" s="58"/>
      <c r="IO158" s="58"/>
      <c r="IP158" s="58"/>
      <c r="IQ158" s="58"/>
      <c r="IR158" s="58"/>
      <c r="IS158" s="58"/>
      <c r="IT158" s="58"/>
      <c r="IU158" s="58"/>
    </row>
    <row r="159" spans="1:255" s="57" customFormat="1" ht="13.65" customHeight="1" x14ac:dyDescent="0.3">
      <c r="M159" s="40"/>
      <c r="N159" s="40"/>
      <c r="O159" s="40"/>
      <c r="P159" s="41"/>
      <c r="Q159" s="41"/>
      <c r="R159" s="41"/>
      <c r="S159" s="41"/>
      <c r="T159" s="40"/>
      <c r="AH159" s="89"/>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8"/>
      <c r="CF159" s="58"/>
      <c r="CG159" s="58"/>
      <c r="CH159" s="58"/>
      <c r="CI159" s="58"/>
      <c r="CJ159" s="58"/>
      <c r="CK159" s="58"/>
      <c r="CL159" s="58"/>
      <c r="CM159" s="58"/>
      <c r="CN159" s="58"/>
      <c r="CO159" s="58"/>
      <c r="CP159" s="58"/>
      <c r="CQ159" s="58"/>
      <c r="CR159" s="44"/>
      <c r="CS159" s="44"/>
      <c r="CT159" s="44"/>
      <c r="CU159" s="48"/>
      <c r="CV159" s="142"/>
      <c r="CW159" s="44"/>
      <c r="CX159" s="83"/>
      <c r="CY159" s="83"/>
      <c r="CZ159" s="83"/>
      <c r="DA159" s="44"/>
      <c r="DB159" s="143"/>
      <c r="DC159" s="44"/>
      <c r="DD159" s="44"/>
      <c r="DE159" s="44"/>
      <c r="DF159" s="44"/>
      <c r="DG159" s="44"/>
      <c r="DH159" s="44"/>
      <c r="DI159" s="75"/>
      <c r="DM159" s="87"/>
      <c r="DN159" s="99"/>
      <c r="DQ159" s="87"/>
      <c r="DR159" s="99"/>
      <c r="DS159" s="44"/>
      <c r="DT159" s="83"/>
      <c r="DU159" s="83"/>
      <c r="DV159" s="83"/>
      <c r="DW159" s="44"/>
      <c r="DX159" s="144"/>
      <c r="DY159" s="144"/>
      <c r="DZ159" s="144"/>
      <c r="EA159" s="58"/>
      <c r="EB159" s="58"/>
      <c r="EC159" s="58"/>
      <c r="ED159" s="58"/>
      <c r="EE159" s="58"/>
      <c r="EF159" s="58"/>
      <c r="EG159" s="58"/>
      <c r="EH159" s="58"/>
      <c r="EI159" s="58"/>
      <c r="EJ159" s="58"/>
      <c r="EK159" s="58"/>
      <c r="EL159" s="58"/>
      <c r="EM159" s="58"/>
      <c r="EN159" s="58"/>
      <c r="EO159" s="58"/>
      <c r="EP159" s="58"/>
      <c r="EQ159" s="58"/>
      <c r="ER159" s="58"/>
      <c r="ES159" s="58"/>
      <c r="ET159" s="58"/>
      <c r="EU159" s="58"/>
      <c r="EV159" s="58"/>
      <c r="EW159" s="58"/>
      <c r="EX159" s="58"/>
      <c r="EY159" s="58"/>
      <c r="EZ159" s="58"/>
      <c r="FA159" s="58"/>
      <c r="FB159" s="58"/>
      <c r="FC159" s="58"/>
      <c r="FD159" s="58"/>
      <c r="FE159" s="58"/>
      <c r="FF159" s="58"/>
      <c r="FG159" s="58"/>
      <c r="FH159" s="58"/>
      <c r="FI159" s="58"/>
      <c r="FJ159" s="58"/>
      <c r="FK159" s="58"/>
      <c r="FL159" s="58"/>
      <c r="FM159" s="58"/>
      <c r="FN159" s="58"/>
      <c r="FO159" s="58"/>
      <c r="FP159" s="58"/>
      <c r="FQ159" s="58"/>
      <c r="FR159" s="58"/>
      <c r="FS159" s="58"/>
      <c r="FT159" s="58"/>
      <c r="FU159" s="58"/>
      <c r="FV159" s="58"/>
      <c r="FW159" s="58"/>
      <c r="FX159" s="58"/>
      <c r="FY159" s="58"/>
      <c r="FZ159" s="58"/>
      <c r="GA159" s="58"/>
      <c r="GB159" s="58"/>
      <c r="GC159" s="58"/>
      <c r="GD159" s="58"/>
      <c r="GE159" s="58"/>
      <c r="GF159" s="58"/>
      <c r="GG159" s="58"/>
      <c r="GH159" s="58"/>
      <c r="GI159" s="58"/>
      <c r="GJ159" s="58"/>
      <c r="GK159" s="58"/>
      <c r="GL159" s="58"/>
      <c r="GM159" s="58"/>
      <c r="GN159" s="58"/>
      <c r="GO159" s="58"/>
      <c r="GP159" s="58"/>
      <c r="GQ159" s="58"/>
      <c r="GR159" s="58"/>
      <c r="GS159" s="58"/>
      <c r="GT159" s="58"/>
      <c r="GU159" s="58"/>
      <c r="GV159" s="58"/>
      <c r="GW159" s="58"/>
      <c r="GX159" s="58"/>
      <c r="GY159" s="58"/>
      <c r="GZ159" s="58"/>
      <c r="HA159" s="58"/>
      <c r="HB159" s="58"/>
      <c r="HC159" s="58"/>
      <c r="HD159" s="58"/>
      <c r="HE159" s="58"/>
      <c r="HF159" s="58"/>
      <c r="HG159" s="58"/>
      <c r="HH159" s="58"/>
      <c r="HI159" s="58"/>
      <c r="HJ159" s="58"/>
      <c r="HK159" s="58"/>
      <c r="HL159" s="58"/>
      <c r="HM159" s="58"/>
      <c r="HN159" s="58"/>
      <c r="HO159" s="58"/>
      <c r="HP159" s="58"/>
      <c r="HQ159" s="58"/>
      <c r="HR159" s="58"/>
      <c r="HS159" s="58"/>
      <c r="HT159" s="58"/>
      <c r="HU159" s="58"/>
      <c r="HV159" s="58"/>
      <c r="HW159" s="58"/>
      <c r="HX159" s="58"/>
      <c r="HY159" s="58"/>
      <c r="HZ159" s="58"/>
      <c r="IA159" s="58"/>
      <c r="IB159" s="58"/>
      <c r="IC159" s="58"/>
      <c r="ID159" s="58"/>
      <c r="IE159" s="58"/>
      <c r="IF159" s="58"/>
      <c r="IG159" s="58"/>
      <c r="IH159" s="58"/>
      <c r="II159" s="58"/>
      <c r="IJ159" s="58"/>
      <c r="IK159" s="58"/>
      <c r="IL159" s="58"/>
      <c r="IM159" s="58"/>
      <c r="IN159" s="58"/>
      <c r="IO159" s="58"/>
      <c r="IP159" s="58"/>
      <c r="IQ159" s="58"/>
      <c r="IR159" s="58"/>
      <c r="IS159" s="58"/>
      <c r="IT159" s="58"/>
      <c r="IU159" s="58"/>
    </row>
    <row r="160" spans="1:255" s="57" customFormat="1" ht="13.65" customHeight="1" x14ac:dyDescent="0.3">
      <c r="M160" s="40"/>
      <c r="N160" s="40"/>
      <c r="O160" s="40"/>
      <c r="P160" s="41"/>
      <c r="Q160" s="41"/>
      <c r="R160" s="41"/>
      <c r="S160" s="41"/>
      <c r="T160" s="40"/>
      <c r="AH160" s="89"/>
      <c r="AV160" s="58"/>
      <c r="AW160" s="58"/>
      <c r="AX160" s="58"/>
      <c r="AY160" s="58"/>
      <c r="AZ160" s="58"/>
      <c r="BA160" s="58"/>
      <c r="BB160" s="58"/>
      <c r="BC160" s="58"/>
      <c r="BD160" s="58"/>
      <c r="BE160" s="58"/>
      <c r="BF160" s="58"/>
      <c r="BG160" s="58"/>
      <c r="BH160" s="58"/>
      <c r="BI160" s="58"/>
      <c r="BJ160" s="58"/>
      <c r="BK160" s="58"/>
      <c r="BL160" s="58"/>
      <c r="BM160" s="58"/>
      <c r="BN160" s="58"/>
      <c r="BO160" s="58"/>
      <c r="BP160" s="58"/>
      <c r="BQ160" s="58"/>
      <c r="BR160" s="58"/>
      <c r="BS160" s="58"/>
      <c r="BT160" s="58"/>
      <c r="BU160" s="58"/>
      <c r="BV160" s="58"/>
      <c r="BW160" s="58"/>
      <c r="BX160" s="58"/>
      <c r="BY160" s="58"/>
      <c r="BZ160" s="58"/>
      <c r="CA160" s="58"/>
      <c r="CB160" s="58"/>
      <c r="CC160" s="58"/>
      <c r="CD160" s="58"/>
      <c r="CE160" s="58"/>
      <c r="CF160" s="58"/>
      <c r="CG160" s="58"/>
      <c r="CH160" s="58"/>
      <c r="CI160" s="58"/>
      <c r="CJ160" s="58"/>
      <c r="CK160" s="58"/>
      <c r="CL160" s="58"/>
      <c r="CM160" s="58"/>
      <c r="CN160" s="58"/>
      <c r="CO160" s="58"/>
      <c r="CP160" s="58"/>
      <c r="CQ160" s="58"/>
      <c r="CR160" s="44"/>
      <c r="CS160" s="44"/>
      <c r="CT160" s="44"/>
      <c r="CU160" s="48"/>
      <c r="CV160" s="142"/>
      <c r="CW160" s="44"/>
      <c r="CX160" s="83"/>
      <c r="CY160" s="83"/>
      <c r="CZ160" s="83"/>
      <c r="DA160" s="44"/>
      <c r="DB160" s="143"/>
      <c r="DC160" s="44"/>
      <c r="DD160" s="44"/>
      <c r="DE160" s="44"/>
      <c r="DF160" s="44"/>
      <c r="DG160" s="44"/>
      <c r="DH160" s="44"/>
      <c r="DI160" s="75"/>
      <c r="DM160" s="87"/>
      <c r="DN160" s="99"/>
      <c r="DQ160" s="87"/>
      <c r="DR160" s="99"/>
      <c r="DS160" s="44"/>
      <c r="DT160" s="83"/>
      <c r="DU160" s="83"/>
      <c r="DV160" s="83"/>
      <c r="DW160" s="44"/>
      <c r="DX160" s="144"/>
      <c r="DY160" s="144"/>
      <c r="DZ160" s="144"/>
      <c r="EA160" s="58"/>
      <c r="EB160" s="58"/>
      <c r="EC160" s="58"/>
      <c r="ED160" s="58"/>
      <c r="EE160" s="58"/>
      <c r="EF160" s="58"/>
      <c r="EG160" s="58"/>
      <c r="EH160" s="58"/>
      <c r="EI160" s="58"/>
      <c r="EJ160" s="58"/>
      <c r="EK160" s="58"/>
      <c r="EL160" s="58"/>
      <c r="EM160" s="58"/>
      <c r="EN160" s="58"/>
      <c r="EO160" s="58"/>
      <c r="EP160" s="58"/>
      <c r="EQ160" s="58"/>
      <c r="ER160" s="58"/>
      <c r="ES160" s="58"/>
      <c r="ET160" s="58"/>
      <c r="EU160" s="58"/>
      <c r="EV160" s="58"/>
      <c r="EW160" s="58"/>
      <c r="EX160" s="58"/>
      <c r="EY160" s="58"/>
      <c r="EZ160" s="58"/>
      <c r="FA160" s="58"/>
      <c r="FB160" s="58"/>
      <c r="FC160" s="58"/>
      <c r="FD160" s="58"/>
      <c r="FE160" s="58"/>
      <c r="FF160" s="58"/>
      <c r="FG160" s="58"/>
      <c r="FH160" s="58"/>
      <c r="FI160" s="58"/>
      <c r="FJ160" s="58"/>
      <c r="FK160" s="58"/>
      <c r="FL160" s="58"/>
      <c r="FM160" s="58"/>
      <c r="FN160" s="58"/>
      <c r="FO160" s="58"/>
      <c r="FP160" s="58"/>
      <c r="FQ160" s="58"/>
      <c r="FR160" s="58"/>
      <c r="FS160" s="58"/>
      <c r="FT160" s="58"/>
      <c r="FU160" s="58"/>
      <c r="FV160" s="58"/>
      <c r="FW160" s="58"/>
      <c r="FX160" s="58"/>
      <c r="FY160" s="58"/>
      <c r="FZ160" s="58"/>
      <c r="GA160" s="58"/>
      <c r="GB160" s="58"/>
      <c r="GC160" s="58"/>
      <c r="GD160" s="58"/>
      <c r="GE160" s="58"/>
      <c r="GF160" s="58"/>
      <c r="GG160" s="58"/>
      <c r="GH160" s="58"/>
      <c r="GI160" s="58"/>
      <c r="GJ160" s="58"/>
      <c r="GK160" s="58"/>
      <c r="GL160" s="58"/>
      <c r="GM160" s="58"/>
      <c r="GN160" s="58"/>
      <c r="GO160" s="58"/>
      <c r="GP160" s="58"/>
      <c r="GQ160" s="58"/>
      <c r="GR160" s="58"/>
      <c r="GS160" s="58"/>
      <c r="GT160" s="58"/>
      <c r="GU160" s="58"/>
      <c r="GV160" s="58"/>
      <c r="GW160" s="58"/>
      <c r="GX160" s="58"/>
      <c r="GY160" s="58"/>
      <c r="GZ160" s="58"/>
      <c r="HA160" s="58"/>
      <c r="HB160" s="58"/>
      <c r="HC160" s="58"/>
      <c r="HD160" s="58"/>
      <c r="HE160" s="58"/>
      <c r="HF160" s="58"/>
      <c r="HG160" s="58"/>
      <c r="HH160" s="58"/>
      <c r="HI160" s="58"/>
      <c r="HJ160" s="58"/>
      <c r="HK160" s="58"/>
      <c r="HL160" s="58"/>
      <c r="HM160" s="58"/>
      <c r="HN160" s="58"/>
      <c r="HO160" s="58"/>
      <c r="HP160" s="58"/>
      <c r="HQ160" s="58"/>
      <c r="HR160" s="58"/>
      <c r="HS160" s="58"/>
      <c r="HT160" s="58"/>
      <c r="HU160" s="58"/>
      <c r="HV160" s="58"/>
      <c r="HW160" s="58"/>
      <c r="HX160" s="58"/>
      <c r="HY160" s="58"/>
      <c r="HZ160" s="58"/>
      <c r="IA160" s="58"/>
      <c r="IB160" s="58"/>
      <c r="IC160" s="58"/>
      <c r="ID160" s="58"/>
      <c r="IE160" s="58"/>
      <c r="IF160" s="58"/>
      <c r="IG160" s="58"/>
      <c r="IH160" s="58"/>
      <c r="II160" s="58"/>
      <c r="IJ160" s="58"/>
      <c r="IK160" s="58"/>
      <c r="IL160" s="58"/>
      <c r="IM160" s="58"/>
      <c r="IN160" s="58"/>
      <c r="IO160" s="58"/>
      <c r="IP160" s="58"/>
      <c r="IQ160" s="58"/>
      <c r="IR160" s="58"/>
      <c r="IS160" s="58"/>
      <c r="IT160" s="58"/>
      <c r="IU160" s="58"/>
    </row>
    <row r="161" spans="13:255" s="57" customFormat="1" ht="13.65" customHeight="1" x14ac:dyDescent="0.3">
      <c r="M161" s="40"/>
      <c r="N161" s="40"/>
      <c r="O161" s="40"/>
      <c r="P161" s="41"/>
      <c r="Q161" s="41"/>
      <c r="R161" s="41"/>
      <c r="S161" s="41"/>
      <c r="T161" s="40"/>
      <c r="AH161" s="89"/>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8"/>
      <c r="CJ161" s="58"/>
      <c r="CK161" s="58"/>
      <c r="CL161" s="58"/>
      <c r="CM161" s="58"/>
      <c r="CN161" s="58"/>
      <c r="CO161" s="58"/>
      <c r="CP161" s="58"/>
      <c r="CQ161" s="58"/>
      <c r="CR161" s="44"/>
      <c r="CS161" s="44"/>
      <c r="CT161" s="44"/>
      <c r="CU161" s="48"/>
      <c r="CV161" s="142"/>
      <c r="CW161" s="44"/>
      <c r="CX161" s="83"/>
      <c r="CY161" s="83"/>
      <c r="CZ161" s="83"/>
      <c r="DA161" s="44"/>
      <c r="DB161" s="143"/>
      <c r="DC161" s="44"/>
      <c r="DD161" s="44"/>
      <c r="DE161" s="44"/>
      <c r="DF161" s="44"/>
      <c r="DG161" s="44"/>
      <c r="DH161" s="44"/>
      <c r="DI161" s="75"/>
      <c r="DM161" s="87"/>
      <c r="DN161" s="99"/>
      <c r="DQ161" s="87"/>
      <c r="DR161" s="99"/>
      <c r="DS161" s="44"/>
      <c r="DT161" s="83"/>
      <c r="DU161" s="83"/>
      <c r="DV161" s="83"/>
      <c r="DW161" s="44"/>
      <c r="DX161" s="144"/>
      <c r="DY161" s="144"/>
      <c r="DZ161" s="144"/>
      <c r="EA161" s="58"/>
      <c r="EB161" s="58"/>
      <c r="EC161" s="58"/>
      <c r="ED161" s="58"/>
      <c r="EE161" s="58"/>
      <c r="EF161" s="58"/>
      <c r="EG161" s="58"/>
      <c r="EH161" s="58"/>
      <c r="EI161" s="58"/>
      <c r="EJ161" s="58"/>
      <c r="EK161" s="58"/>
      <c r="EL161" s="58"/>
      <c r="EM161" s="58"/>
      <c r="EN161" s="58"/>
      <c r="EO161" s="58"/>
      <c r="EP161" s="58"/>
      <c r="EQ161" s="58"/>
      <c r="ER161" s="58"/>
      <c r="ES161" s="58"/>
      <c r="ET161" s="58"/>
      <c r="EU161" s="58"/>
      <c r="EV161" s="58"/>
      <c r="EW161" s="58"/>
      <c r="EX161" s="58"/>
      <c r="EY161" s="58"/>
      <c r="EZ161" s="58"/>
      <c r="FA161" s="58"/>
      <c r="FB161" s="58"/>
      <c r="FC161" s="58"/>
      <c r="FD161" s="58"/>
      <c r="FE161" s="58"/>
      <c r="FF161" s="58"/>
      <c r="FG161" s="58"/>
      <c r="FH161" s="58"/>
      <c r="FI161" s="58"/>
      <c r="FJ161" s="58"/>
      <c r="FK161" s="58"/>
      <c r="FL161" s="58"/>
      <c r="FM161" s="58"/>
      <c r="FN161" s="58"/>
      <c r="FO161" s="58"/>
      <c r="FP161" s="58"/>
      <c r="FQ161" s="58"/>
      <c r="FR161" s="58"/>
      <c r="FS161" s="58"/>
      <c r="FT161" s="58"/>
      <c r="FU161" s="58"/>
      <c r="FV161" s="58"/>
      <c r="FW161" s="58"/>
      <c r="FX161" s="58"/>
      <c r="FY161" s="58"/>
      <c r="FZ161" s="58"/>
      <c r="GA161" s="58"/>
      <c r="GB161" s="58"/>
      <c r="GC161" s="58"/>
      <c r="GD161" s="58"/>
      <c r="GE161" s="58"/>
      <c r="GF161" s="58"/>
      <c r="GG161" s="58"/>
      <c r="GH161" s="58"/>
      <c r="GI161" s="58"/>
      <c r="GJ161" s="58"/>
      <c r="GK161" s="58"/>
      <c r="GL161" s="58"/>
      <c r="GM161" s="58"/>
      <c r="GN161" s="58"/>
      <c r="GO161" s="58"/>
      <c r="GP161" s="58"/>
      <c r="GQ161" s="58"/>
      <c r="GR161" s="58"/>
      <c r="GS161" s="58"/>
      <c r="GT161" s="58"/>
      <c r="GU161" s="58"/>
      <c r="GV161" s="58"/>
      <c r="GW161" s="58"/>
      <c r="GX161" s="58"/>
      <c r="GY161" s="58"/>
      <c r="GZ161" s="58"/>
      <c r="HA161" s="58"/>
      <c r="HB161" s="58"/>
      <c r="HC161" s="58"/>
      <c r="HD161" s="58"/>
      <c r="HE161" s="58"/>
      <c r="HF161" s="58"/>
      <c r="HG161" s="58"/>
      <c r="HH161" s="58"/>
      <c r="HI161" s="58"/>
      <c r="HJ161" s="58"/>
      <c r="HK161" s="58"/>
      <c r="HL161" s="58"/>
      <c r="HM161" s="58"/>
      <c r="HN161" s="58"/>
      <c r="HO161" s="58"/>
      <c r="HP161" s="58"/>
      <c r="HQ161" s="58"/>
      <c r="HR161" s="58"/>
      <c r="HS161" s="58"/>
      <c r="HT161" s="58"/>
      <c r="HU161" s="58"/>
      <c r="HV161" s="58"/>
      <c r="HW161" s="58"/>
      <c r="HX161" s="58"/>
      <c r="HY161" s="58"/>
      <c r="HZ161" s="58"/>
      <c r="IA161" s="58"/>
      <c r="IB161" s="58"/>
      <c r="IC161" s="58"/>
      <c r="ID161" s="58"/>
      <c r="IE161" s="58"/>
      <c r="IF161" s="58"/>
      <c r="IG161" s="58"/>
      <c r="IH161" s="58"/>
      <c r="II161" s="58"/>
      <c r="IJ161" s="58"/>
      <c r="IK161" s="58"/>
      <c r="IL161" s="58"/>
      <c r="IM161" s="58"/>
      <c r="IN161" s="58"/>
      <c r="IO161" s="58"/>
      <c r="IP161" s="58"/>
      <c r="IQ161" s="58"/>
      <c r="IR161" s="58"/>
      <c r="IS161" s="58"/>
      <c r="IT161" s="58"/>
      <c r="IU161" s="58"/>
    </row>
    <row r="162" spans="13:255" s="57" customFormat="1" ht="13.65" customHeight="1" x14ac:dyDescent="0.3">
      <c r="M162" s="40"/>
      <c r="N162" s="40"/>
      <c r="O162" s="40"/>
      <c r="P162" s="41"/>
      <c r="Q162" s="41"/>
      <c r="R162" s="41"/>
      <c r="S162" s="41"/>
      <c r="T162" s="40"/>
      <c r="AH162" s="89"/>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44"/>
      <c r="CS162" s="44"/>
      <c r="CT162" s="44"/>
      <c r="CU162" s="48"/>
      <c r="CV162" s="142"/>
      <c r="CW162" s="44"/>
      <c r="CX162" s="83"/>
      <c r="CY162" s="83"/>
      <c r="CZ162" s="83"/>
      <c r="DA162" s="44"/>
      <c r="DB162" s="143"/>
      <c r="DC162" s="44"/>
      <c r="DD162" s="44"/>
      <c r="DE162" s="44"/>
      <c r="DF162" s="44"/>
      <c r="DG162" s="44"/>
      <c r="DH162" s="44"/>
      <c r="DI162" s="75"/>
      <c r="DM162" s="87"/>
      <c r="DN162" s="99"/>
      <c r="DQ162" s="87"/>
      <c r="DR162" s="99"/>
      <c r="DS162" s="44"/>
      <c r="DT162" s="83"/>
      <c r="DU162" s="83"/>
      <c r="DV162" s="83"/>
      <c r="DW162" s="44"/>
      <c r="DX162" s="144"/>
      <c r="DY162" s="144"/>
      <c r="DZ162" s="144"/>
      <c r="EA162" s="58"/>
      <c r="EB162" s="58"/>
      <c r="EC162" s="58"/>
      <c r="ED162" s="58"/>
      <c r="EE162" s="58"/>
      <c r="EF162" s="58"/>
      <c r="EG162" s="58"/>
      <c r="EH162" s="58"/>
      <c r="EI162" s="58"/>
      <c r="EJ162" s="58"/>
      <c r="EK162" s="58"/>
      <c r="EL162" s="58"/>
      <c r="EM162" s="58"/>
      <c r="EN162" s="58"/>
      <c r="EO162" s="58"/>
      <c r="EP162" s="58"/>
      <c r="EQ162" s="58"/>
      <c r="ER162" s="58"/>
      <c r="ES162" s="58"/>
      <c r="ET162" s="58"/>
      <c r="EU162" s="58"/>
      <c r="EV162" s="58"/>
      <c r="EW162" s="58"/>
      <c r="EX162" s="58"/>
      <c r="EY162" s="58"/>
      <c r="EZ162" s="58"/>
      <c r="FA162" s="58"/>
      <c r="FB162" s="58"/>
      <c r="FC162" s="58"/>
      <c r="FD162" s="58"/>
      <c r="FE162" s="58"/>
      <c r="FF162" s="58"/>
      <c r="FG162" s="58"/>
      <c r="FH162" s="58"/>
      <c r="FI162" s="58"/>
      <c r="FJ162" s="58"/>
      <c r="FK162" s="58"/>
      <c r="FL162" s="58"/>
      <c r="FM162" s="58"/>
      <c r="FN162" s="58"/>
      <c r="FO162" s="58"/>
      <c r="FP162" s="58"/>
      <c r="FQ162" s="58"/>
      <c r="FR162" s="58"/>
      <c r="FS162" s="58"/>
      <c r="FT162" s="58"/>
      <c r="FU162" s="58"/>
      <c r="FV162" s="58"/>
      <c r="FW162" s="58"/>
      <c r="FX162" s="58"/>
      <c r="FY162" s="58"/>
      <c r="FZ162" s="58"/>
      <c r="GA162" s="58"/>
      <c r="GB162" s="58"/>
      <c r="GC162" s="58"/>
      <c r="GD162" s="58"/>
      <c r="GE162" s="58"/>
      <c r="GF162" s="58"/>
      <c r="GG162" s="58"/>
      <c r="GH162" s="58"/>
      <c r="GI162" s="58"/>
      <c r="GJ162" s="58"/>
      <c r="GK162" s="58"/>
      <c r="GL162" s="58"/>
      <c r="GM162" s="58"/>
      <c r="GN162" s="58"/>
      <c r="GO162" s="58"/>
      <c r="GP162" s="58"/>
      <c r="GQ162" s="58"/>
      <c r="GR162" s="58"/>
      <c r="GS162" s="58"/>
      <c r="GT162" s="58"/>
      <c r="GU162" s="58"/>
      <c r="GV162" s="58"/>
      <c r="GW162" s="58"/>
      <c r="GX162" s="58"/>
      <c r="GY162" s="58"/>
      <c r="GZ162" s="58"/>
      <c r="HA162" s="58"/>
      <c r="HB162" s="58"/>
      <c r="HC162" s="58"/>
      <c r="HD162" s="58"/>
      <c r="HE162" s="58"/>
      <c r="HF162" s="58"/>
      <c r="HG162" s="58"/>
      <c r="HH162" s="58"/>
      <c r="HI162" s="58"/>
      <c r="HJ162" s="58"/>
      <c r="HK162" s="58"/>
      <c r="HL162" s="58"/>
      <c r="HM162" s="58"/>
      <c r="HN162" s="58"/>
      <c r="HO162" s="58"/>
      <c r="HP162" s="58"/>
      <c r="HQ162" s="58"/>
      <c r="HR162" s="58"/>
      <c r="HS162" s="58"/>
      <c r="HT162" s="58"/>
      <c r="HU162" s="58"/>
      <c r="HV162" s="58"/>
      <c r="HW162" s="58"/>
      <c r="HX162" s="58"/>
      <c r="HY162" s="58"/>
      <c r="HZ162" s="58"/>
      <c r="IA162" s="58"/>
      <c r="IB162" s="58"/>
      <c r="IC162" s="58"/>
      <c r="ID162" s="58"/>
      <c r="IE162" s="58"/>
      <c r="IF162" s="58"/>
      <c r="IG162" s="58"/>
      <c r="IH162" s="58"/>
      <c r="II162" s="58"/>
      <c r="IJ162" s="58"/>
      <c r="IK162" s="58"/>
      <c r="IL162" s="58"/>
      <c r="IM162" s="58"/>
      <c r="IN162" s="58"/>
      <c r="IO162" s="58"/>
      <c r="IP162" s="58"/>
      <c r="IQ162" s="58"/>
      <c r="IR162" s="58"/>
      <c r="IS162" s="58"/>
      <c r="IT162" s="58"/>
      <c r="IU162" s="58"/>
    </row>
    <row r="163" spans="13:255" s="57" customFormat="1" ht="13.65" customHeight="1" x14ac:dyDescent="0.3">
      <c r="M163" s="40"/>
      <c r="N163" s="40"/>
      <c r="O163" s="40"/>
      <c r="P163" s="41"/>
      <c r="Q163" s="41"/>
      <c r="R163" s="41"/>
      <c r="S163" s="41"/>
      <c r="T163" s="40"/>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c r="CH163" s="58"/>
      <c r="CI163" s="58"/>
      <c r="CJ163" s="58"/>
      <c r="CK163" s="58"/>
      <c r="CL163" s="58"/>
      <c r="CM163" s="58"/>
      <c r="CN163" s="58"/>
      <c r="CO163" s="58"/>
      <c r="CP163" s="58"/>
      <c r="CQ163" s="58"/>
      <c r="CR163" s="44"/>
      <c r="CS163" s="44"/>
      <c r="CT163" s="44"/>
      <c r="CU163" s="48"/>
      <c r="CV163" s="142"/>
      <c r="CW163" s="44"/>
      <c r="CX163" s="83"/>
      <c r="CY163" s="83"/>
      <c r="CZ163" s="83"/>
      <c r="DA163" s="44"/>
      <c r="DB163" s="143"/>
      <c r="DC163" s="44"/>
      <c r="DD163" s="44"/>
      <c r="DE163" s="44"/>
      <c r="DF163" s="44"/>
      <c r="DG163" s="44"/>
      <c r="DH163" s="44"/>
      <c r="DI163" s="75"/>
      <c r="DM163" s="87"/>
      <c r="DN163" s="99"/>
      <c r="DQ163" s="87"/>
      <c r="DR163" s="99"/>
      <c r="DS163" s="44"/>
      <c r="DT163" s="83"/>
      <c r="DU163" s="83"/>
      <c r="DV163" s="83"/>
      <c r="DW163" s="44"/>
      <c r="DX163" s="144"/>
      <c r="DY163" s="144"/>
      <c r="DZ163" s="144"/>
      <c r="EA163" s="58"/>
      <c r="EB163" s="58"/>
      <c r="EC163" s="58"/>
      <c r="ED163" s="58"/>
      <c r="EE163" s="58"/>
      <c r="EF163" s="58"/>
      <c r="EG163" s="58"/>
      <c r="EH163" s="58"/>
      <c r="EI163" s="58"/>
      <c r="EJ163" s="58"/>
      <c r="EK163" s="58"/>
      <c r="EL163" s="58"/>
      <c r="EM163" s="58"/>
      <c r="EN163" s="58"/>
      <c r="EO163" s="58"/>
      <c r="EP163" s="58"/>
      <c r="EQ163" s="58"/>
      <c r="ER163" s="58"/>
      <c r="ES163" s="58"/>
      <c r="ET163" s="58"/>
      <c r="EU163" s="58"/>
      <c r="EV163" s="58"/>
      <c r="EW163" s="58"/>
      <c r="EX163" s="58"/>
      <c r="EY163" s="58"/>
      <c r="EZ163" s="58"/>
      <c r="FA163" s="58"/>
      <c r="FB163" s="58"/>
      <c r="FC163" s="58"/>
      <c r="FD163" s="58"/>
      <c r="FE163" s="58"/>
      <c r="FF163" s="58"/>
      <c r="FG163" s="58"/>
      <c r="FH163" s="58"/>
      <c r="FI163" s="58"/>
      <c r="FJ163" s="58"/>
      <c r="FK163" s="58"/>
      <c r="FL163" s="58"/>
      <c r="FM163" s="58"/>
      <c r="FN163" s="58"/>
      <c r="FO163" s="58"/>
      <c r="FP163" s="58"/>
      <c r="FQ163" s="58"/>
      <c r="FR163" s="58"/>
      <c r="FS163" s="58"/>
      <c r="FT163" s="58"/>
      <c r="FU163" s="58"/>
      <c r="FV163" s="58"/>
      <c r="FW163" s="58"/>
      <c r="FX163" s="58"/>
      <c r="FY163" s="58"/>
      <c r="FZ163" s="58"/>
      <c r="GA163" s="58"/>
      <c r="GB163" s="58"/>
      <c r="GC163" s="58"/>
      <c r="GD163" s="58"/>
      <c r="GE163" s="58"/>
      <c r="GF163" s="58"/>
      <c r="GG163" s="58"/>
      <c r="GH163" s="58"/>
      <c r="GI163" s="58"/>
      <c r="GJ163" s="58"/>
      <c r="GK163" s="58"/>
      <c r="GL163" s="58"/>
      <c r="GM163" s="58"/>
      <c r="GN163" s="58"/>
      <c r="GO163" s="58"/>
      <c r="GP163" s="58"/>
      <c r="GQ163" s="58"/>
      <c r="GR163" s="58"/>
      <c r="GS163" s="58"/>
      <c r="GT163" s="58"/>
      <c r="GU163" s="58"/>
      <c r="GV163" s="58"/>
      <c r="GW163" s="58"/>
      <c r="GX163" s="58"/>
      <c r="GY163" s="58"/>
      <c r="GZ163" s="58"/>
      <c r="HA163" s="58"/>
      <c r="HB163" s="58"/>
      <c r="HC163" s="58"/>
      <c r="HD163" s="58"/>
      <c r="HE163" s="58"/>
      <c r="HF163" s="58"/>
      <c r="HG163" s="58"/>
      <c r="HH163" s="58"/>
      <c r="HI163" s="58"/>
      <c r="HJ163" s="58"/>
      <c r="HK163" s="58"/>
      <c r="HL163" s="58"/>
      <c r="HM163" s="58"/>
      <c r="HN163" s="58"/>
      <c r="HO163" s="58"/>
      <c r="HP163" s="58"/>
      <c r="HQ163" s="58"/>
      <c r="HR163" s="58"/>
      <c r="HS163" s="58"/>
      <c r="HT163" s="58"/>
      <c r="HU163" s="58"/>
      <c r="HV163" s="58"/>
      <c r="HW163" s="58"/>
      <c r="HX163" s="58"/>
      <c r="HY163" s="58"/>
      <c r="HZ163" s="58"/>
      <c r="IA163" s="58"/>
      <c r="IB163" s="58"/>
      <c r="IC163" s="58"/>
      <c r="ID163" s="58"/>
      <c r="IE163" s="58"/>
      <c r="IF163" s="58"/>
      <c r="IG163" s="58"/>
      <c r="IH163" s="58"/>
      <c r="II163" s="58"/>
      <c r="IJ163" s="58"/>
      <c r="IK163" s="58"/>
      <c r="IL163" s="58"/>
      <c r="IM163" s="58"/>
      <c r="IN163" s="58"/>
      <c r="IO163" s="58"/>
      <c r="IP163" s="58"/>
      <c r="IQ163" s="58"/>
      <c r="IR163" s="58"/>
      <c r="IS163" s="58"/>
      <c r="IT163" s="58"/>
      <c r="IU163" s="58"/>
    </row>
    <row r="164" spans="13:255" s="57" customFormat="1" ht="13.65" customHeight="1" x14ac:dyDescent="0.3">
      <c r="M164" s="40"/>
      <c r="N164" s="40"/>
      <c r="O164" s="40"/>
      <c r="P164" s="41"/>
      <c r="Q164" s="41"/>
      <c r="R164" s="41"/>
      <c r="S164" s="41"/>
      <c r="T164" s="40"/>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c r="CH164" s="58"/>
      <c r="CI164" s="58"/>
      <c r="CJ164" s="58"/>
      <c r="CK164" s="58"/>
      <c r="CL164" s="58"/>
      <c r="CM164" s="58"/>
      <c r="CN164" s="58"/>
      <c r="CO164" s="58"/>
      <c r="CP164" s="58"/>
      <c r="CQ164" s="58"/>
      <c r="CR164" s="44"/>
      <c r="CS164" s="44"/>
      <c r="CT164" s="44"/>
      <c r="CU164" s="48"/>
      <c r="CV164" s="142"/>
      <c r="CW164" s="44"/>
      <c r="CX164" s="83"/>
      <c r="CY164" s="83"/>
      <c r="CZ164" s="83"/>
      <c r="DA164" s="44"/>
      <c r="DB164" s="143"/>
      <c r="DC164" s="44"/>
      <c r="DD164" s="44"/>
      <c r="DE164" s="44"/>
      <c r="DF164" s="44"/>
      <c r="DG164" s="44"/>
      <c r="DH164" s="44"/>
      <c r="DI164" s="75"/>
      <c r="DM164" s="87"/>
      <c r="DN164" s="99"/>
      <c r="DQ164" s="87"/>
      <c r="DR164" s="99"/>
      <c r="DS164" s="44"/>
      <c r="DT164" s="83"/>
      <c r="DU164" s="83"/>
      <c r="DV164" s="83"/>
      <c r="DW164" s="44"/>
      <c r="DX164" s="144"/>
      <c r="DY164" s="144"/>
      <c r="DZ164" s="144"/>
      <c r="EA164" s="58"/>
      <c r="EB164" s="58"/>
      <c r="EC164" s="58"/>
      <c r="ED164" s="58"/>
      <c r="EE164" s="58"/>
      <c r="EF164" s="58"/>
      <c r="EG164" s="58"/>
      <c r="EH164" s="58"/>
      <c r="EI164" s="58"/>
      <c r="EJ164" s="58"/>
      <c r="EK164" s="58"/>
      <c r="EL164" s="58"/>
      <c r="EM164" s="58"/>
      <c r="EN164" s="58"/>
      <c r="EO164" s="58"/>
      <c r="EP164" s="58"/>
      <c r="EQ164" s="58"/>
      <c r="ER164" s="58"/>
      <c r="ES164" s="58"/>
      <c r="ET164" s="58"/>
      <c r="EU164" s="58"/>
      <c r="EV164" s="58"/>
      <c r="EW164" s="58"/>
      <c r="EX164" s="58"/>
      <c r="EY164" s="58"/>
      <c r="EZ164" s="58"/>
      <c r="FA164" s="58"/>
      <c r="FB164" s="58"/>
      <c r="FC164" s="58"/>
      <c r="FD164" s="58"/>
      <c r="FE164" s="58"/>
      <c r="FF164" s="58"/>
      <c r="FG164" s="58"/>
      <c r="FH164" s="58"/>
      <c r="FI164" s="58"/>
      <c r="FJ164" s="58"/>
      <c r="FK164" s="58"/>
      <c r="FL164" s="58"/>
      <c r="FM164" s="58"/>
      <c r="FN164" s="58"/>
      <c r="FO164" s="58"/>
      <c r="FP164" s="58"/>
      <c r="FQ164" s="58"/>
      <c r="FR164" s="58"/>
      <c r="FS164" s="58"/>
      <c r="FT164" s="58"/>
      <c r="FU164" s="58"/>
      <c r="FV164" s="58"/>
      <c r="FW164" s="58"/>
      <c r="FX164" s="58"/>
      <c r="FY164" s="58"/>
      <c r="FZ164" s="58"/>
      <c r="GA164" s="58"/>
      <c r="GB164" s="58"/>
      <c r="GC164" s="58"/>
      <c r="GD164" s="58"/>
      <c r="GE164" s="58"/>
      <c r="GF164" s="58"/>
      <c r="GG164" s="58"/>
      <c r="GH164" s="58"/>
      <c r="GI164" s="58"/>
      <c r="GJ164" s="58"/>
      <c r="GK164" s="58"/>
      <c r="GL164" s="58"/>
      <c r="GM164" s="58"/>
      <c r="GN164" s="58"/>
      <c r="GO164" s="58"/>
      <c r="GP164" s="58"/>
      <c r="GQ164" s="58"/>
      <c r="GR164" s="58"/>
      <c r="GS164" s="58"/>
      <c r="GT164" s="58"/>
      <c r="GU164" s="58"/>
      <c r="GV164" s="58"/>
      <c r="GW164" s="58"/>
      <c r="GX164" s="58"/>
      <c r="GY164" s="58"/>
      <c r="GZ164" s="58"/>
      <c r="HA164" s="58"/>
      <c r="HB164" s="58"/>
      <c r="HC164" s="58"/>
      <c r="HD164" s="58"/>
      <c r="HE164" s="58"/>
      <c r="HF164" s="58"/>
      <c r="HG164" s="58"/>
      <c r="HH164" s="58"/>
      <c r="HI164" s="58"/>
      <c r="HJ164" s="58"/>
      <c r="HK164" s="58"/>
      <c r="HL164" s="58"/>
      <c r="HM164" s="58"/>
      <c r="HN164" s="58"/>
      <c r="HO164" s="58"/>
      <c r="HP164" s="58"/>
      <c r="HQ164" s="58"/>
      <c r="HR164" s="58"/>
      <c r="HS164" s="58"/>
      <c r="HT164" s="58"/>
      <c r="HU164" s="58"/>
      <c r="HV164" s="58"/>
      <c r="HW164" s="58"/>
      <c r="HX164" s="58"/>
      <c r="HY164" s="58"/>
      <c r="HZ164" s="58"/>
      <c r="IA164" s="58"/>
      <c r="IB164" s="58"/>
      <c r="IC164" s="58"/>
      <c r="ID164" s="58"/>
      <c r="IE164" s="58"/>
      <c r="IF164" s="58"/>
      <c r="IG164" s="58"/>
      <c r="IH164" s="58"/>
      <c r="II164" s="58"/>
      <c r="IJ164" s="58"/>
      <c r="IK164" s="58"/>
      <c r="IL164" s="58"/>
      <c r="IM164" s="58"/>
      <c r="IN164" s="58"/>
      <c r="IO164" s="58"/>
      <c r="IP164" s="58"/>
      <c r="IQ164" s="58"/>
      <c r="IR164" s="58"/>
      <c r="IS164" s="58"/>
      <c r="IT164" s="58"/>
      <c r="IU164" s="58"/>
    </row>
    <row r="165" spans="13:255" s="57" customFormat="1" ht="13.65" customHeight="1" x14ac:dyDescent="0.3">
      <c r="M165" s="40"/>
      <c r="N165" s="40"/>
      <c r="O165" s="40"/>
      <c r="P165" s="41"/>
      <c r="Q165" s="41"/>
      <c r="R165" s="41"/>
      <c r="S165" s="41"/>
      <c r="T165" s="40"/>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c r="CH165" s="58"/>
      <c r="CI165" s="58"/>
      <c r="CJ165" s="58"/>
      <c r="CK165" s="58"/>
      <c r="CL165" s="58"/>
      <c r="CM165" s="58"/>
      <c r="CN165" s="58"/>
      <c r="CO165" s="58"/>
      <c r="CP165" s="58"/>
      <c r="CQ165" s="58"/>
      <c r="CR165" s="44"/>
      <c r="CS165" s="44"/>
      <c r="CT165" s="44"/>
      <c r="CU165" s="48"/>
      <c r="CV165" s="142"/>
      <c r="CW165" s="44"/>
      <c r="CX165" s="83"/>
      <c r="CY165" s="83"/>
      <c r="CZ165" s="83"/>
      <c r="DA165" s="44"/>
      <c r="DB165" s="143"/>
      <c r="DC165" s="44"/>
      <c r="DD165" s="44"/>
      <c r="DE165" s="44"/>
      <c r="DF165" s="44"/>
      <c r="DG165" s="44"/>
      <c r="DH165" s="44"/>
      <c r="DI165" s="75"/>
      <c r="DM165" s="87"/>
      <c r="DN165" s="99"/>
      <c r="DQ165" s="87"/>
      <c r="DR165" s="99"/>
      <c r="DS165" s="44"/>
      <c r="DT165" s="83"/>
      <c r="DU165" s="83"/>
      <c r="DV165" s="83"/>
      <c r="DW165" s="44"/>
      <c r="DX165" s="144"/>
      <c r="DY165" s="144"/>
      <c r="DZ165" s="144"/>
      <c r="EA165" s="58"/>
      <c r="EB165" s="58"/>
      <c r="EC165" s="58"/>
      <c r="ED165" s="58"/>
      <c r="EE165" s="58"/>
      <c r="EF165" s="58"/>
      <c r="EG165" s="58"/>
      <c r="EH165" s="58"/>
      <c r="EI165" s="58"/>
      <c r="EJ165" s="58"/>
      <c r="EK165" s="58"/>
      <c r="EL165" s="58"/>
      <c r="EM165" s="58"/>
      <c r="EN165" s="58"/>
      <c r="EO165" s="58"/>
      <c r="EP165" s="58"/>
      <c r="EQ165" s="58"/>
      <c r="ER165" s="58"/>
      <c r="ES165" s="58"/>
      <c r="ET165" s="58"/>
      <c r="EU165" s="58"/>
      <c r="EV165" s="58"/>
      <c r="EW165" s="58"/>
      <c r="EX165" s="58"/>
      <c r="EY165" s="58"/>
      <c r="EZ165" s="58"/>
      <c r="FA165" s="58"/>
      <c r="FB165" s="58"/>
      <c r="FC165" s="58"/>
      <c r="FD165" s="58"/>
      <c r="FE165" s="58"/>
      <c r="FF165" s="58"/>
      <c r="FG165" s="58"/>
      <c r="FH165" s="58"/>
      <c r="FI165" s="58"/>
      <c r="FJ165" s="58"/>
      <c r="FK165" s="58"/>
      <c r="FL165" s="58"/>
      <c r="FM165" s="58"/>
      <c r="FN165" s="58"/>
      <c r="FO165" s="58"/>
      <c r="FP165" s="58"/>
      <c r="FQ165" s="58"/>
      <c r="FR165" s="58"/>
      <c r="FS165" s="58"/>
      <c r="FT165" s="58"/>
      <c r="FU165" s="58"/>
      <c r="FV165" s="58"/>
      <c r="FW165" s="58"/>
      <c r="FX165" s="58"/>
      <c r="FY165" s="58"/>
      <c r="FZ165" s="58"/>
      <c r="GA165" s="58"/>
      <c r="GB165" s="58"/>
      <c r="GC165" s="58"/>
      <c r="GD165" s="58"/>
      <c r="GE165" s="58"/>
      <c r="GF165" s="58"/>
      <c r="GG165" s="58"/>
      <c r="GH165" s="58"/>
      <c r="GI165" s="58"/>
      <c r="GJ165" s="58"/>
      <c r="GK165" s="58"/>
      <c r="GL165" s="58"/>
      <c r="GM165" s="58"/>
      <c r="GN165" s="58"/>
      <c r="GO165" s="58"/>
      <c r="GP165" s="58"/>
      <c r="GQ165" s="58"/>
      <c r="GR165" s="58"/>
      <c r="GS165" s="58"/>
      <c r="GT165" s="58"/>
      <c r="GU165" s="58"/>
      <c r="GV165" s="58"/>
      <c r="GW165" s="58"/>
      <c r="GX165" s="58"/>
      <c r="GY165" s="58"/>
      <c r="GZ165" s="58"/>
      <c r="HA165" s="58"/>
      <c r="HB165" s="58"/>
      <c r="HC165" s="58"/>
      <c r="HD165" s="58"/>
      <c r="HE165" s="58"/>
      <c r="HF165" s="58"/>
      <c r="HG165" s="58"/>
      <c r="HH165" s="58"/>
      <c r="HI165" s="58"/>
      <c r="HJ165" s="58"/>
      <c r="HK165" s="58"/>
      <c r="HL165" s="58"/>
      <c r="HM165" s="58"/>
      <c r="HN165" s="58"/>
      <c r="HO165" s="58"/>
      <c r="HP165" s="58"/>
      <c r="HQ165" s="58"/>
      <c r="HR165" s="58"/>
      <c r="HS165" s="58"/>
      <c r="HT165" s="58"/>
      <c r="HU165" s="58"/>
      <c r="HV165" s="58"/>
      <c r="HW165" s="58"/>
      <c r="HX165" s="58"/>
      <c r="HY165" s="58"/>
      <c r="HZ165" s="58"/>
      <c r="IA165" s="58"/>
      <c r="IB165" s="58"/>
      <c r="IC165" s="58"/>
      <c r="ID165" s="58"/>
      <c r="IE165" s="58"/>
      <c r="IF165" s="58"/>
      <c r="IG165" s="58"/>
      <c r="IH165" s="58"/>
      <c r="II165" s="58"/>
      <c r="IJ165" s="58"/>
      <c r="IK165" s="58"/>
      <c r="IL165" s="58"/>
      <c r="IM165" s="58"/>
      <c r="IN165" s="58"/>
      <c r="IO165" s="58"/>
      <c r="IP165" s="58"/>
      <c r="IQ165" s="58"/>
      <c r="IR165" s="58"/>
      <c r="IS165" s="58"/>
      <c r="IT165" s="58"/>
      <c r="IU165" s="58"/>
    </row>
    <row r="166" spans="13:255" s="57" customFormat="1" ht="13.65" customHeight="1" x14ac:dyDescent="0.3">
      <c r="M166" s="40"/>
      <c r="N166" s="40"/>
      <c r="O166" s="40"/>
      <c r="P166" s="41"/>
      <c r="Q166" s="41"/>
      <c r="R166" s="41"/>
      <c r="S166" s="41"/>
      <c r="T166" s="40"/>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c r="CH166" s="58"/>
      <c r="CI166" s="58"/>
      <c r="CJ166" s="58"/>
      <c r="CK166" s="58"/>
      <c r="CL166" s="58"/>
      <c r="CM166" s="58"/>
      <c r="CN166" s="58"/>
      <c r="CO166" s="58"/>
      <c r="CP166" s="58"/>
      <c r="CQ166" s="58"/>
      <c r="CR166" s="44"/>
      <c r="CS166" s="44"/>
      <c r="CT166" s="44"/>
      <c r="CU166" s="48"/>
      <c r="CV166" s="142"/>
      <c r="CW166" s="44"/>
      <c r="CX166" s="83"/>
      <c r="CY166" s="83"/>
      <c r="CZ166" s="83"/>
      <c r="DA166" s="44"/>
      <c r="DB166" s="143"/>
      <c r="DC166" s="44"/>
      <c r="DD166" s="44"/>
      <c r="DE166" s="44"/>
      <c r="DF166" s="44"/>
      <c r="DG166" s="44"/>
      <c r="DH166" s="44"/>
      <c r="DI166" s="75"/>
      <c r="DM166" s="87"/>
      <c r="DN166" s="99"/>
      <c r="DQ166" s="87"/>
      <c r="DR166" s="99"/>
      <c r="DS166" s="44"/>
      <c r="DT166" s="83"/>
      <c r="DU166" s="83"/>
      <c r="DV166" s="83"/>
      <c r="DW166" s="44"/>
      <c r="DX166" s="144"/>
      <c r="DY166" s="144"/>
      <c r="DZ166" s="144"/>
      <c r="EA166" s="58"/>
      <c r="EB166" s="58"/>
      <c r="EC166" s="58"/>
      <c r="ED166" s="58"/>
      <c r="EE166" s="58"/>
      <c r="EF166" s="58"/>
      <c r="EG166" s="58"/>
      <c r="EH166" s="58"/>
      <c r="EI166" s="58"/>
      <c r="EJ166" s="58"/>
      <c r="EK166" s="58"/>
      <c r="EL166" s="58"/>
      <c r="EM166" s="58"/>
      <c r="EN166" s="58"/>
      <c r="EO166" s="58"/>
      <c r="EP166" s="58"/>
      <c r="EQ166" s="58"/>
      <c r="ER166" s="58"/>
      <c r="ES166" s="58"/>
      <c r="ET166" s="58"/>
      <c r="EU166" s="58"/>
      <c r="EV166" s="58"/>
      <c r="EW166" s="58"/>
      <c r="EX166" s="58"/>
      <c r="EY166" s="58"/>
      <c r="EZ166" s="58"/>
      <c r="FA166" s="58"/>
      <c r="FB166" s="58"/>
      <c r="FC166" s="58"/>
      <c r="FD166" s="58"/>
      <c r="FE166" s="58"/>
      <c r="FF166" s="58"/>
      <c r="FG166" s="58"/>
      <c r="FH166" s="58"/>
      <c r="FI166" s="58"/>
      <c r="FJ166" s="58"/>
      <c r="FK166" s="58"/>
      <c r="FL166" s="58"/>
      <c r="FM166" s="58"/>
      <c r="FN166" s="58"/>
      <c r="FO166" s="58"/>
      <c r="FP166" s="58"/>
      <c r="FQ166" s="58"/>
      <c r="FR166" s="58"/>
      <c r="FS166" s="58"/>
      <c r="FT166" s="58"/>
      <c r="FU166" s="58"/>
      <c r="FV166" s="58"/>
      <c r="FW166" s="58"/>
      <c r="FX166" s="58"/>
      <c r="FY166" s="58"/>
      <c r="FZ166" s="58"/>
      <c r="GA166" s="58"/>
      <c r="GB166" s="58"/>
      <c r="GC166" s="58"/>
      <c r="GD166" s="58"/>
      <c r="GE166" s="58"/>
      <c r="GF166" s="58"/>
      <c r="GG166" s="58"/>
      <c r="GH166" s="58"/>
      <c r="GI166" s="58"/>
      <c r="GJ166" s="58"/>
      <c r="GK166" s="58"/>
      <c r="GL166" s="58"/>
      <c r="GM166" s="58"/>
      <c r="GN166" s="58"/>
      <c r="GO166" s="58"/>
      <c r="GP166" s="58"/>
      <c r="GQ166" s="58"/>
      <c r="GR166" s="58"/>
      <c r="GS166" s="58"/>
      <c r="GT166" s="58"/>
      <c r="GU166" s="58"/>
      <c r="GV166" s="58"/>
      <c r="GW166" s="58"/>
      <c r="GX166" s="58"/>
      <c r="GY166" s="58"/>
      <c r="GZ166" s="58"/>
      <c r="HA166" s="58"/>
      <c r="HB166" s="58"/>
      <c r="HC166" s="58"/>
      <c r="HD166" s="58"/>
      <c r="HE166" s="58"/>
      <c r="HF166" s="58"/>
      <c r="HG166" s="58"/>
      <c r="HH166" s="58"/>
      <c r="HI166" s="58"/>
      <c r="HJ166" s="58"/>
      <c r="HK166" s="58"/>
      <c r="HL166" s="58"/>
      <c r="HM166" s="58"/>
      <c r="HN166" s="58"/>
      <c r="HO166" s="58"/>
      <c r="HP166" s="58"/>
      <c r="HQ166" s="58"/>
      <c r="HR166" s="58"/>
      <c r="HS166" s="58"/>
      <c r="HT166" s="58"/>
      <c r="HU166" s="58"/>
      <c r="HV166" s="58"/>
      <c r="HW166" s="58"/>
      <c r="HX166" s="58"/>
      <c r="HY166" s="58"/>
      <c r="HZ166" s="58"/>
      <c r="IA166" s="58"/>
      <c r="IB166" s="58"/>
      <c r="IC166" s="58"/>
      <c r="ID166" s="58"/>
      <c r="IE166" s="58"/>
      <c r="IF166" s="58"/>
      <c r="IG166" s="58"/>
      <c r="IH166" s="58"/>
      <c r="II166" s="58"/>
      <c r="IJ166" s="58"/>
      <c r="IK166" s="58"/>
      <c r="IL166" s="58"/>
      <c r="IM166" s="58"/>
      <c r="IN166" s="58"/>
      <c r="IO166" s="58"/>
      <c r="IP166" s="58"/>
      <c r="IQ166" s="58"/>
      <c r="IR166" s="58"/>
      <c r="IS166" s="58"/>
      <c r="IT166" s="58"/>
      <c r="IU166" s="58"/>
    </row>
    <row r="167" spans="13:255" s="57" customFormat="1" ht="13.65" customHeight="1" x14ac:dyDescent="0.3">
      <c r="M167" s="40"/>
      <c r="N167" s="40"/>
      <c r="O167" s="40"/>
      <c r="P167" s="41"/>
      <c r="Q167" s="41"/>
      <c r="R167" s="41"/>
      <c r="S167" s="41"/>
      <c r="T167" s="40"/>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c r="CH167" s="58"/>
      <c r="CI167" s="58"/>
      <c r="CJ167" s="58"/>
      <c r="CK167" s="58"/>
      <c r="CL167" s="58"/>
      <c r="CM167" s="58"/>
      <c r="CN167" s="58"/>
      <c r="CO167" s="58"/>
      <c r="CP167" s="58"/>
      <c r="CQ167" s="58"/>
      <c r="CR167" s="44"/>
      <c r="CS167" s="44"/>
      <c r="CT167" s="44"/>
      <c r="CU167" s="48"/>
      <c r="CV167" s="142"/>
      <c r="CW167" s="44"/>
      <c r="CX167" s="83"/>
      <c r="CY167" s="83"/>
      <c r="CZ167" s="83"/>
      <c r="DA167" s="44"/>
      <c r="DB167" s="143"/>
      <c r="DC167" s="44"/>
      <c r="DD167" s="44"/>
      <c r="DE167" s="44"/>
      <c r="DF167" s="44"/>
      <c r="DG167" s="44"/>
      <c r="DH167" s="44"/>
      <c r="DI167" s="75"/>
      <c r="DM167" s="87"/>
      <c r="DN167" s="99"/>
      <c r="DQ167" s="87"/>
      <c r="DR167" s="99"/>
      <c r="DS167" s="44"/>
      <c r="DT167" s="83"/>
      <c r="DU167" s="83"/>
      <c r="DV167" s="83"/>
      <c r="DW167" s="44"/>
      <c r="DX167" s="144"/>
      <c r="DY167" s="144"/>
      <c r="DZ167" s="144"/>
      <c r="EA167" s="58"/>
      <c r="EB167" s="58"/>
      <c r="EC167" s="58"/>
      <c r="ED167" s="58"/>
      <c r="EE167" s="58"/>
      <c r="EF167" s="58"/>
      <c r="EG167" s="58"/>
      <c r="EH167" s="58"/>
      <c r="EI167" s="58"/>
      <c r="EJ167" s="58"/>
      <c r="EK167" s="58"/>
      <c r="EL167" s="58"/>
      <c r="EM167" s="58"/>
      <c r="EN167" s="58"/>
      <c r="EO167" s="58"/>
      <c r="EP167" s="58"/>
      <c r="EQ167" s="58"/>
      <c r="ER167" s="58"/>
      <c r="ES167" s="58"/>
      <c r="ET167" s="58"/>
      <c r="EU167" s="58"/>
      <c r="EV167" s="58"/>
      <c r="EW167" s="58"/>
      <c r="EX167" s="58"/>
      <c r="EY167" s="58"/>
      <c r="EZ167" s="58"/>
      <c r="FA167" s="58"/>
      <c r="FB167" s="58"/>
      <c r="FC167" s="58"/>
      <c r="FD167" s="58"/>
      <c r="FE167" s="58"/>
      <c r="FF167" s="58"/>
      <c r="FG167" s="58"/>
      <c r="FH167" s="58"/>
      <c r="FI167" s="58"/>
      <c r="FJ167" s="58"/>
      <c r="FK167" s="58"/>
      <c r="FL167" s="58"/>
      <c r="FM167" s="58"/>
      <c r="FN167" s="58"/>
      <c r="FO167" s="58"/>
      <c r="FP167" s="58"/>
      <c r="FQ167" s="58"/>
      <c r="FR167" s="58"/>
      <c r="FS167" s="58"/>
      <c r="FT167" s="58"/>
      <c r="FU167" s="58"/>
      <c r="FV167" s="58"/>
      <c r="FW167" s="58"/>
      <c r="FX167" s="58"/>
      <c r="FY167" s="58"/>
      <c r="FZ167" s="58"/>
      <c r="GA167" s="58"/>
      <c r="GB167" s="58"/>
      <c r="GC167" s="58"/>
      <c r="GD167" s="58"/>
      <c r="GE167" s="58"/>
      <c r="GF167" s="58"/>
      <c r="GG167" s="58"/>
      <c r="GH167" s="58"/>
      <c r="GI167" s="58"/>
      <c r="GJ167" s="58"/>
      <c r="GK167" s="58"/>
      <c r="GL167" s="58"/>
      <c r="GM167" s="58"/>
      <c r="GN167" s="58"/>
      <c r="GO167" s="58"/>
      <c r="GP167" s="58"/>
      <c r="GQ167" s="58"/>
      <c r="GR167" s="58"/>
      <c r="GS167" s="58"/>
      <c r="GT167" s="58"/>
      <c r="GU167" s="58"/>
      <c r="GV167" s="58"/>
      <c r="GW167" s="58"/>
      <c r="GX167" s="58"/>
      <c r="GY167" s="58"/>
      <c r="GZ167" s="58"/>
      <c r="HA167" s="58"/>
      <c r="HB167" s="58"/>
      <c r="HC167" s="58"/>
      <c r="HD167" s="58"/>
      <c r="HE167" s="58"/>
      <c r="HF167" s="58"/>
      <c r="HG167" s="58"/>
      <c r="HH167" s="58"/>
      <c r="HI167" s="58"/>
      <c r="HJ167" s="58"/>
      <c r="HK167" s="58"/>
      <c r="HL167" s="58"/>
      <c r="HM167" s="58"/>
      <c r="HN167" s="58"/>
      <c r="HO167" s="58"/>
      <c r="HP167" s="58"/>
      <c r="HQ167" s="58"/>
      <c r="HR167" s="58"/>
      <c r="HS167" s="58"/>
      <c r="HT167" s="58"/>
      <c r="HU167" s="58"/>
      <c r="HV167" s="58"/>
      <c r="HW167" s="58"/>
      <c r="HX167" s="58"/>
      <c r="HY167" s="58"/>
      <c r="HZ167" s="58"/>
      <c r="IA167" s="58"/>
      <c r="IB167" s="58"/>
      <c r="IC167" s="58"/>
      <c r="ID167" s="58"/>
      <c r="IE167" s="58"/>
      <c r="IF167" s="58"/>
      <c r="IG167" s="58"/>
      <c r="IH167" s="58"/>
      <c r="II167" s="58"/>
      <c r="IJ167" s="58"/>
      <c r="IK167" s="58"/>
      <c r="IL167" s="58"/>
      <c r="IM167" s="58"/>
      <c r="IN167" s="58"/>
      <c r="IO167" s="58"/>
      <c r="IP167" s="58"/>
      <c r="IQ167" s="58"/>
      <c r="IR167" s="58"/>
      <c r="IS167" s="58"/>
      <c r="IT167" s="58"/>
      <c r="IU167" s="58"/>
    </row>
    <row r="168" spans="13:255" s="57" customFormat="1" ht="13.65" customHeight="1" x14ac:dyDescent="0.3">
      <c r="M168" s="40"/>
      <c r="N168" s="40"/>
      <c r="O168" s="40"/>
      <c r="P168" s="41"/>
      <c r="Q168" s="41"/>
      <c r="R168" s="41"/>
      <c r="S168" s="41"/>
      <c r="T168" s="40"/>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c r="CH168" s="58"/>
      <c r="CI168" s="58"/>
      <c r="CJ168" s="58"/>
      <c r="CK168" s="58"/>
      <c r="CL168" s="58"/>
      <c r="CM168" s="58"/>
      <c r="CN168" s="58"/>
      <c r="CO168" s="58"/>
      <c r="CP168" s="58"/>
      <c r="CQ168" s="58"/>
      <c r="CR168" s="44"/>
      <c r="CS168" s="44"/>
      <c r="CT168" s="44"/>
      <c r="CU168" s="48"/>
      <c r="CV168" s="142"/>
      <c r="CW168" s="44"/>
      <c r="CX168" s="83"/>
      <c r="CY168" s="83"/>
      <c r="CZ168" s="83"/>
      <c r="DA168" s="44"/>
      <c r="DB168" s="143"/>
      <c r="DC168" s="44"/>
      <c r="DD168" s="44"/>
      <c r="DE168" s="44"/>
      <c r="DF168" s="44"/>
      <c r="DG168" s="44"/>
      <c r="DH168" s="44"/>
      <c r="DI168" s="75"/>
      <c r="DM168" s="87"/>
      <c r="DN168" s="99"/>
      <c r="DQ168" s="87"/>
      <c r="DR168" s="99"/>
      <c r="DS168" s="44"/>
      <c r="DT168" s="83"/>
      <c r="DU168" s="83"/>
      <c r="DV168" s="83"/>
      <c r="DW168" s="44"/>
      <c r="DX168" s="144"/>
      <c r="DY168" s="144"/>
      <c r="DZ168" s="144"/>
      <c r="EA168" s="58"/>
      <c r="EB168" s="58"/>
      <c r="EC168" s="58"/>
      <c r="ED168" s="58"/>
      <c r="EE168" s="58"/>
      <c r="EF168" s="58"/>
      <c r="EG168" s="58"/>
      <c r="EH168" s="58"/>
      <c r="EI168" s="58"/>
      <c r="EJ168" s="58"/>
      <c r="EK168" s="58"/>
      <c r="EL168" s="58"/>
      <c r="EM168" s="58"/>
      <c r="EN168" s="58"/>
      <c r="EO168" s="58"/>
      <c r="EP168" s="58"/>
      <c r="EQ168" s="58"/>
      <c r="ER168" s="58"/>
      <c r="ES168" s="58"/>
      <c r="ET168" s="58"/>
      <c r="EU168" s="58"/>
      <c r="EV168" s="58"/>
      <c r="EW168" s="58"/>
      <c r="EX168" s="58"/>
      <c r="EY168" s="58"/>
      <c r="EZ168" s="58"/>
      <c r="FA168" s="58"/>
      <c r="FB168" s="58"/>
      <c r="FC168" s="58"/>
      <c r="FD168" s="58"/>
      <c r="FE168" s="58"/>
      <c r="FF168" s="58"/>
      <c r="FG168" s="58"/>
      <c r="FH168" s="58"/>
      <c r="FI168" s="58"/>
      <c r="FJ168" s="58"/>
      <c r="FK168" s="58"/>
      <c r="FL168" s="58"/>
      <c r="FM168" s="58"/>
      <c r="FN168" s="58"/>
      <c r="FO168" s="58"/>
      <c r="FP168" s="58"/>
      <c r="FQ168" s="58"/>
      <c r="FR168" s="58"/>
      <c r="FS168" s="58"/>
      <c r="FT168" s="58"/>
      <c r="FU168" s="58"/>
      <c r="FV168" s="58"/>
      <c r="FW168" s="58"/>
      <c r="FX168" s="58"/>
      <c r="FY168" s="58"/>
      <c r="FZ168" s="58"/>
      <c r="GA168" s="58"/>
      <c r="GB168" s="58"/>
      <c r="GC168" s="58"/>
      <c r="GD168" s="58"/>
      <c r="GE168" s="58"/>
      <c r="GF168" s="58"/>
      <c r="GG168" s="58"/>
      <c r="GH168" s="58"/>
      <c r="GI168" s="58"/>
      <c r="GJ168" s="58"/>
      <c r="GK168" s="58"/>
      <c r="GL168" s="58"/>
      <c r="GM168" s="58"/>
      <c r="GN168" s="58"/>
      <c r="GO168" s="58"/>
      <c r="GP168" s="58"/>
      <c r="GQ168" s="58"/>
      <c r="GR168" s="58"/>
      <c r="GS168" s="58"/>
      <c r="GT168" s="58"/>
      <c r="GU168" s="58"/>
      <c r="GV168" s="58"/>
      <c r="GW168" s="58"/>
      <c r="GX168" s="58"/>
      <c r="GY168" s="58"/>
      <c r="GZ168" s="58"/>
      <c r="HA168" s="58"/>
      <c r="HB168" s="58"/>
      <c r="HC168" s="58"/>
      <c r="HD168" s="58"/>
      <c r="HE168" s="58"/>
      <c r="HF168" s="58"/>
      <c r="HG168" s="58"/>
      <c r="HH168" s="58"/>
      <c r="HI168" s="58"/>
      <c r="HJ168" s="58"/>
      <c r="HK168" s="58"/>
      <c r="HL168" s="58"/>
      <c r="HM168" s="58"/>
      <c r="HN168" s="58"/>
      <c r="HO168" s="58"/>
      <c r="HP168" s="58"/>
      <c r="HQ168" s="58"/>
      <c r="HR168" s="58"/>
      <c r="HS168" s="58"/>
      <c r="HT168" s="58"/>
      <c r="HU168" s="58"/>
      <c r="HV168" s="58"/>
      <c r="HW168" s="58"/>
      <c r="HX168" s="58"/>
      <c r="HY168" s="58"/>
      <c r="HZ168" s="58"/>
      <c r="IA168" s="58"/>
      <c r="IB168" s="58"/>
      <c r="IC168" s="58"/>
      <c r="ID168" s="58"/>
      <c r="IE168" s="58"/>
      <c r="IF168" s="58"/>
      <c r="IG168" s="58"/>
      <c r="IH168" s="58"/>
      <c r="II168" s="58"/>
      <c r="IJ168" s="58"/>
      <c r="IK168" s="58"/>
      <c r="IL168" s="58"/>
      <c r="IM168" s="58"/>
      <c r="IN168" s="58"/>
      <c r="IO168" s="58"/>
      <c r="IP168" s="58"/>
      <c r="IQ168" s="58"/>
      <c r="IR168" s="58"/>
      <c r="IS168" s="58"/>
      <c r="IT168" s="58"/>
      <c r="IU168" s="58"/>
    </row>
    <row r="169" spans="13:255" s="57" customFormat="1" ht="13.65" customHeight="1" x14ac:dyDescent="0.3">
      <c r="M169" s="40"/>
      <c r="N169" s="40"/>
      <c r="O169" s="40"/>
      <c r="P169" s="41"/>
      <c r="Q169" s="41"/>
      <c r="R169" s="41"/>
      <c r="S169" s="41"/>
      <c r="T169" s="40"/>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c r="CH169" s="58"/>
      <c r="CI169" s="58"/>
      <c r="CJ169" s="58"/>
      <c r="CK169" s="58"/>
      <c r="CL169" s="58"/>
      <c r="CM169" s="58"/>
      <c r="CN169" s="58"/>
      <c r="CO169" s="58"/>
      <c r="CP169" s="58"/>
      <c r="CQ169" s="58"/>
      <c r="CR169" s="44"/>
      <c r="CS169" s="44"/>
      <c r="CT169" s="44"/>
      <c r="CU169" s="48"/>
      <c r="CV169" s="142"/>
      <c r="CW169" s="44"/>
      <c r="CX169" s="83"/>
      <c r="CY169" s="83"/>
      <c r="CZ169" s="83"/>
      <c r="DA169" s="44"/>
      <c r="DB169" s="143"/>
      <c r="DC169" s="44"/>
      <c r="DD169" s="44"/>
      <c r="DE169" s="44"/>
      <c r="DF169" s="44"/>
      <c r="DG169" s="44"/>
      <c r="DH169" s="44"/>
      <c r="DI169" s="75"/>
      <c r="DM169" s="87"/>
      <c r="DN169" s="99"/>
      <c r="DQ169" s="87"/>
      <c r="DR169" s="99"/>
      <c r="DS169" s="44"/>
      <c r="DT169" s="83"/>
      <c r="DU169" s="83"/>
      <c r="DV169" s="83"/>
      <c r="DW169" s="44"/>
      <c r="DX169" s="144"/>
      <c r="DY169" s="144"/>
      <c r="DZ169" s="144"/>
      <c r="EA169" s="58"/>
      <c r="EB169" s="58"/>
      <c r="EC169" s="58"/>
      <c r="ED169" s="58"/>
      <c r="EE169" s="58"/>
      <c r="EF169" s="58"/>
      <c r="EG169" s="58"/>
      <c r="EH169" s="58"/>
      <c r="EI169" s="58"/>
      <c r="EJ169" s="58"/>
      <c r="EK169" s="58"/>
      <c r="EL169" s="58"/>
      <c r="EM169" s="58"/>
      <c r="EN169" s="58"/>
      <c r="EO169" s="58"/>
      <c r="EP169" s="58"/>
      <c r="EQ169" s="58"/>
      <c r="ER169" s="58"/>
      <c r="ES169" s="58"/>
      <c r="ET169" s="58"/>
      <c r="EU169" s="58"/>
      <c r="EV169" s="58"/>
      <c r="EW169" s="58"/>
      <c r="EX169" s="58"/>
      <c r="EY169" s="58"/>
      <c r="EZ169" s="58"/>
      <c r="FA169" s="58"/>
      <c r="FB169" s="58"/>
      <c r="FC169" s="58"/>
      <c r="FD169" s="58"/>
      <c r="FE169" s="58"/>
      <c r="FF169" s="58"/>
      <c r="FG169" s="58"/>
      <c r="FH169" s="58"/>
      <c r="FI169" s="58"/>
      <c r="FJ169" s="58"/>
      <c r="FK169" s="58"/>
      <c r="FL169" s="58"/>
      <c r="FM169" s="58"/>
      <c r="FN169" s="58"/>
      <c r="FO169" s="58"/>
      <c r="FP169" s="58"/>
      <c r="FQ169" s="58"/>
      <c r="FR169" s="58"/>
      <c r="FS169" s="58"/>
      <c r="FT169" s="58"/>
      <c r="FU169" s="58"/>
      <c r="FV169" s="58"/>
      <c r="FW169" s="58"/>
      <c r="FX169" s="58"/>
      <c r="FY169" s="58"/>
      <c r="FZ169" s="58"/>
      <c r="GA169" s="58"/>
      <c r="GB169" s="58"/>
      <c r="GC169" s="58"/>
      <c r="GD169" s="58"/>
      <c r="GE169" s="58"/>
      <c r="GF169" s="58"/>
      <c r="GG169" s="58"/>
      <c r="GH169" s="58"/>
      <c r="GI169" s="58"/>
      <c r="GJ169" s="58"/>
      <c r="GK169" s="58"/>
      <c r="GL169" s="58"/>
      <c r="GM169" s="58"/>
      <c r="GN169" s="58"/>
      <c r="GO169" s="58"/>
      <c r="GP169" s="58"/>
      <c r="GQ169" s="58"/>
      <c r="GR169" s="58"/>
      <c r="GS169" s="58"/>
      <c r="GT169" s="58"/>
      <c r="GU169" s="58"/>
      <c r="GV169" s="58"/>
      <c r="GW169" s="58"/>
      <c r="GX169" s="58"/>
      <c r="GY169" s="58"/>
      <c r="GZ169" s="58"/>
      <c r="HA169" s="58"/>
      <c r="HB169" s="58"/>
      <c r="HC169" s="58"/>
      <c r="HD169" s="58"/>
      <c r="HE169" s="58"/>
      <c r="HF169" s="58"/>
      <c r="HG169" s="58"/>
      <c r="HH169" s="58"/>
      <c r="HI169" s="58"/>
      <c r="HJ169" s="58"/>
      <c r="HK169" s="58"/>
      <c r="HL169" s="58"/>
      <c r="HM169" s="58"/>
      <c r="HN169" s="58"/>
      <c r="HO169" s="58"/>
      <c r="HP169" s="58"/>
      <c r="HQ169" s="58"/>
      <c r="HR169" s="58"/>
      <c r="HS169" s="58"/>
      <c r="HT169" s="58"/>
      <c r="HU169" s="58"/>
      <c r="HV169" s="58"/>
      <c r="HW169" s="58"/>
      <c r="HX169" s="58"/>
      <c r="HY169" s="58"/>
      <c r="HZ169" s="58"/>
      <c r="IA169" s="58"/>
      <c r="IB169" s="58"/>
      <c r="IC169" s="58"/>
      <c r="ID169" s="58"/>
      <c r="IE169" s="58"/>
      <c r="IF169" s="58"/>
      <c r="IG169" s="58"/>
      <c r="IH169" s="58"/>
      <c r="II169" s="58"/>
      <c r="IJ169" s="58"/>
      <c r="IK169" s="58"/>
      <c r="IL169" s="58"/>
      <c r="IM169" s="58"/>
      <c r="IN169" s="58"/>
      <c r="IO169" s="58"/>
      <c r="IP169" s="58"/>
      <c r="IQ169" s="58"/>
      <c r="IR169" s="58"/>
      <c r="IS169" s="58"/>
      <c r="IT169" s="58"/>
      <c r="IU169" s="58"/>
    </row>
    <row r="170" spans="13:255" s="57" customFormat="1" ht="13.65" customHeight="1" x14ac:dyDescent="0.3">
      <c r="M170" s="40"/>
      <c r="N170" s="40"/>
      <c r="O170" s="40"/>
      <c r="P170" s="41"/>
      <c r="Q170" s="41"/>
      <c r="R170" s="41"/>
      <c r="S170" s="41"/>
      <c r="T170" s="40"/>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c r="CH170" s="58"/>
      <c r="CI170" s="58"/>
      <c r="CJ170" s="58"/>
      <c r="CK170" s="58"/>
      <c r="CL170" s="58"/>
      <c r="CM170" s="58"/>
      <c r="CN170" s="58"/>
      <c r="CO170" s="58"/>
      <c r="CP170" s="58"/>
      <c r="CQ170" s="58"/>
      <c r="CR170" s="44"/>
      <c r="CS170" s="44"/>
      <c r="CT170" s="44"/>
      <c r="CU170" s="48"/>
      <c r="CV170" s="142"/>
      <c r="CW170" s="44"/>
      <c r="CX170" s="83"/>
      <c r="CY170" s="83"/>
      <c r="CZ170" s="83"/>
      <c r="DA170" s="44"/>
      <c r="DB170" s="143"/>
      <c r="DC170" s="44"/>
      <c r="DD170" s="44"/>
      <c r="DE170" s="44"/>
      <c r="DF170" s="44"/>
      <c r="DG170" s="44"/>
      <c r="DH170" s="44"/>
      <c r="DI170" s="75"/>
      <c r="DM170" s="87"/>
      <c r="DN170" s="99"/>
      <c r="DQ170" s="87"/>
      <c r="DR170" s="99"/>
      <c r="DS170" s="44"/>
      <c r="DT170" s="83"/>
      <c r="DU170" s="83"/>
      <c r="DV170" s="83"/>
      <c r="DW170" s="44"/>
      <c r="DX170" s="144"/>
      <c r="DY170" s="144"/>
      <c r="DZ170" s="144"/>
      <c r="EA170" s="58"/>
      <c r="EB170" s="58"/>
      <c r="EC170" s="58"/>
      <c r="ED170" s="58"/>
      <c r="EE170" s="58"/>
      <c r="EF170" s="58"/>
      <c r="EG170" s="58"/>
      <c r="EH170" s="58"/>
      <c r="EI170" s="58"/>
      <c r="EJ170" s="58"/>
      <c r="EK170" s="58"/>
      <c r="EL170" s="58"/>
      <c r="EM170" s="58"/>
      <c r="EN170" s="58"/>
      <c r="EO170" s="58"/>
      <c r="EP170" s="58"/>
      <c r="EQ170" s="58"/>
      <c r="ER170" s="58"/>
      <c r="ES170" s="58"/>
      <c r="ET170" s="58"/>
      <c r="EU170" s="58"/>
      <c r="EV170" s="58"/>
      <c r="EW170" s="58"/>
      <c r="EX170" s="58"/>
      <c r="EY170" s="58"/>
      <c r="EZ170" s="58"/>
      <c r="FA170" s="58"/>
      <c r="FB170" s="58"/>
      <c r="FC170" s="58"/>
      <c r="FD170" s="58"/>
      <c r="FE170" s="58"/>
      <c r="FF170" s="58"/>
      <c r="FG170" s="58"/>
      <c r="FH170" s="58"/>
      <c r="FI170" s="58"/>
      <c r="FJ170" s="58"/>
      <c r="FK170" s="58"/>
      <c r="FL170" s="58"/>
      <c r="FM170" s="58"/>
      <c r="FN170" s="58"/>
      <c r="FO170" s="58"/>
      <c r="FP170" s="58"/>
      <c r="FQ170" s="58"/>
      <c r="FR170" s="58"/>
      <c r="FS170" s="58"/>
      <c r="FT170" s="58"/>
      <c r="FU170" s="58"/>
      <c r="FV170" s="58"/>
      <c r="FW170" s="58"/>
      <c r="FX170" s="58"/>
      <c r="FY170" s="58"/>
      <c r="FZ170" s="58"/>
      <c r="GA170" s="58"/>
      <c r="GB170" s="58"/>
      <c r="GC170" s="58"/>
      <c r="GD170" s="58"/>
      <c r="GE170" s="58"/>
      <c r="GF170" s="58"/>
      <c r="GG170" s="58"/>
      <c r="GH170" s="58"/>
      <c r="GI170" s="58"/>
      <c r="GJ170" s="58"/>
      <c r="GK170" s="58"/>
      <c r="GL170" s="58"/>
      <c r="GM170" s="58"/>
      <c r="GN170" s="58"/>
      <c r="GO170" s="58"/>
      <c r="GP170" s="58"/>
      <c r="GQ170" s="58"/>
      <c r="GR170" s="58"/>
      <c r="GS170" s="58"/>
      <c r="GT170" s="58"/>
      <c r="GU170" s="58"/>
      <c r="GV170" s="58"/>
      <c r="GW170" s="58"/>
      <c r="GX170" s="58"/>
      <c r="GY170" s="58"/>
      <c r="GZ170" s="58"/>
      <c r="HA170" s="58"/>
      <c r="HB170" s="58"/>
      <c r="HC170" s="58"/>
      <c r="HD170" s="58"/>
      <c r="HE170" s="58"/>
      <c r="HF170" s="58"/>
      <c r="HG170" s="58"/>
      <c r="HH170" s="58"/>
      <c r="HI170" s="58"/>
      <c r="HJ170" s="58"/>
      <c r="HK170" s="58"/>
      <c r="HL170" s="58"/>
      <c r="HM170" s="58"/>
      <c r="HN170" s="58"/>
      <c r="HO170" s="58"/>
      <c r="HP170" s="58"/>
      <c r="HQ170" s="58"/>
      <c r="HR170" s="58"/>
      <c r="HS170" s="58"/>
      <c r="HT170" s="58"/>
      <c r="HU170" s="58"/>
      <c r="HV170" s="58"/>
      <c r="HW170" s="58"/>
      <c r="HX170" s="58"/>
      <c r="HY170" s="58"/>
      <c r="HZ170" s="58"/>
      <c r="IA170" s="58"/>
      <c r="IB170" s="58"/>
      <c r="IC170" s="58"/>
      <c r="ID170" s="58"/>
      <c r="IE170" s="58"/>
      <c r="IF170" s="58"/>
      <c r="IG170" s="58"/>
      <c r="IH170" s="58"/>
      <c r="II170" s="58"/>
      <c r="IJ170" s="58"/>
      <c r="IK170" s="58"/>
      <c r="IL170" s="58"/>
      <c r="IM170" s="58"/>
      <c r="IN170" s="58"/>
      <c r="IO170" s="58"/>
      <c r="IP170" s="58"/>
      <c r="IQ170" s="58"/>
      <c r="IR170" s="58"/>
      <c r="IS170" s="58"/>
      <c r="IT170" s="58"/>
      <c r="IU170" s="58"/>
    </row>
    <row r="171" spans="13:255" s="57" customFormat="1" ht="13.65" customHeight="1" x14ac:dyDescent="0.3">
      <c r="M171" s="40"/>
      <c r="N171" s="40"/>
      <c r="O171" s="40"/>
      <c r="P171" s="41"/>
      <c r="Q171" s="41"/>
      <c r="R171" s="41"/>
      <c r="S171" s="41"/>
      <c r="T171" s="40"/>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c r="CH171" s="58"/>
      <c r="CI171" s="58"/>
      <c r="CJ171" s="58"/>
      <c r="CK171" s="58"/>
      <c r="CL171" s="58"/>
      <c r="CM171" s="58"/>
      <c r="CN171" s="58"/>
      <c r="CO171" s="58"/>
      <c r="CP171" s="58"/>
      <c r="CQ171" s="58"/>
      <c r="CR171" s="44"/>
      <c r="CS171" s="44"/>
      <c r="CT171" s="44"/>
      <c r="CU171" s="48"/>
      <c r="CV171" s="142"/>
      <c r="CW171" s="44"/>
      <c r="CX171" s="83"/>
      <c r="CY171" s="83"/>
      <c r="CZ171" s="83"/>
      <c r="DA171" s="44"/>
      <c r="DB171" s="143"/>
      <c r="DC171" s="44"/>
      <c r="DD171" s="44"/>
      <c r="DE171" s="44"/>
      <c r="DF171" s="44"/>
      <c r="DG171" s="44"/>
      <c r="DH171" s="44"/>
      <c r="DI171" s="75"/>
      <c r="DM171" s="87"/>
      <c r="DN171" s="99"/>
      <c r="DQ171" s="87"/>
      <c r="DR171" s="99"/>
      <c r="DS171" s="44"/>
      <c r="DT171" s="83"/>
      <c r="DU171" s="83"/>
      <c r="DV171" s="83"/>
      <c r="DW171" s="44"/>
      <c r="DX171" s="144"/>
      <c r="DY171" s="144"/>
      <c r="DZ171" s="144"/>
      <c r="EA171" s="58"/>
      <c r="EB171" s="58"/>
      <c r="EC171" s="58"/>
      <c r="ED171" s="58"/>
      <c r="EE171" s="58"/>
      <c r="EF171" s="58"/>
      <c r="EG171" s="58"/>
      <c r="EH171" s="58"/>
      <c r="EI171" s="58"/>
      <c r="EJ171" s="58"/>
      <c r="EK171" s="58"/>
      <c r="EL171" s="58"/>
      <c r="EM171" s="58"/>
      <c r="EN171" s="58"/>
      <c r="EO171" s="58"/>
      <c r="EP171" s="58"/>
      <c r="EQ171" s="58"/>
      <c r="ER171" s="58"/>
      <c r="ES171" s="58"/>
      <c r="ET171" s="58"/>
      <c r="EU171" s="58"/>
      <c r="EV171" s="58"/>
      <c r="EW171" s="58"/>
      <c r="EX171" s="58"/>
      <c r="EY171" s="58"/>
      <c r="EZ171" s="58"/>
      <c r="FA171" s="58"/>
      <c r="FB171" s="58"/>
      <c r="FC171" s="58"/>
      <c r="FD171" s="58"/>
      <c r="FE171" s="58"/>
      <c r="FF171" s="58"/>
      <c r="FG171" s="58"/>
      <c r="FH171" s="58"/>
      <c r="FI171" s="58"/>
      <c r="FJ171" s="58"/>
      <c r="FK171" s="58"/>
      <c r="FL171" s="58"/>
      <c r="FM171" s="58"/>
      <c r="FN171" s="58"/>
      <c r="FO171" s="58"/>
      <c r="FP171" s="58"/>
      <c r="FQ171" s="58"/>
      <c r="FR171" s="58"/>
      <c r="FS171" s="58"/>
      <c r="FT171" s="58"/>
      <c r="FU171" s="58"/>
      <c r="FV171" s="58"/>
      <c r="FW171" s="58"/>
      <c r="FX171" s="58"/>
      <c r="FY171" s="58"/>
      <c r="FZ171" s="58"/>
      <c r="GA171" s="58"/>
      <c r="GB171" s="58"/>
      <c r="GC171" s="58"/>
      <c r="GD171" s="58"/>
      <c r="GE171" s="58"/>
      <c r="GF171" s="58"/>
      <c r="GG171" s="58"/>
      <c r="GH171" s="58"/>
      <c r="GI171" s="58"/>
      <c r="GJ171" s="58"/>
      <c r="GK171" s="58"/>
      <c r="GL171" s="58"/>
      <c r="GM171" s="58"/>
      <c r="GN171" s="58"/>
      <c r="GO171" s="58"/>
      <c r="GP171" s="58"/>
      <c r="GQ171" s="58"/>
      <c r="GR171" s="58"/>
      <c r="GS171" s="58"/>
      <c r="GT171" s="58"/>
      <c r="GU171" s="58"/>
      <c r="GV171" s="58"/>
      <c r="GW171" s="58"/>
      <c r="GX171" s="58"/>
      <c r="GY171" s="58"/>
      <c r="GZ171" s="58"/>
      <c r="HA171" s="58"/>
      <c r="HB171" s="58"/>
      <c r="HC171" s="58"/>
      <c r="HD171" s="58"/>
      <c r="HE171" s="58"/>
      <c r="HF171" s="58"/>
      <c r="HG171" s="58"/>
      <c r="HH171" s="58"/>
      <c r="HI171" s="58"/>
      <c r="HJ171" s="58"/>
      <c r="HK171" s="58"/>
      <c r="HL171" s="58"/>
      <c r="HM171" s="58"/>
      <c r="HN171" s="58"/>
      <c r="HO171" s="58"/>
      <c r="HP171" s="58"/>
      <c r="HQ171" s="58"/>
      <c r="HR171" s="58"/>
      <c r="HS171" s="58"/>
      <c r="HT171" s="58"/>
      <c r="HU171" s="58"/>
      <c r="HV171" s="58"/>
      <c r="HW171" s="58"/>
      <c r="HX171" s="58"/>
      <c r="HY171" s="58"/>
      <c r="HZ171" s="58"/>
      <c r="IA171" s="58"/>
      <c r="IB171" s="58"/>
      <c r="IC171" s="58"/>
      <c r="ID171" s="58"/>
      <c r="IE171" s="58"/>
      <c r="IF171" s="58"/>
      <c r="IG171" s="58"/>
      <c r="IH171" s="58"/>
      <c r="II171" s="58"/>
      <c r="IJ171" s="58"/>
      <c r="IK171" s="58"/>
      <c r="IL171" s="58"/>
      <c r="IM171" s="58"/>
      <c r="IN171" s="58"/>
      <c r="IO171" s="58"/>
      <c r="IP171" s="58"/>
      <c r="IQ171" s="58"/>
      <c r="IR171" s="58"/>
      <c r="IS171" s="58"/>
      <c r="IT171" s="58"/>
      <c r="IU171" s="58"/>
    </row>
    <row r="172" spans="13:255" s="57" customFormat="1" ht="13.65" customHeight="1" x14ac:dyDescent="0.3">
      <c r="M172" s="40"/>
      <c r="N172" s="40"/>
      <c r="O172" s="40"/>
      <c r="P172" s="41"/>
      <c r="Q172" s="41"/>
      <c r="R172" s="41"/>
      <c r="S172" s="41"/>
      <c r="T172" s="40"/>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c r="CH172" s="58"/>
      <c r="CI172" s="58"/>
      <c r="CJ172" s="58"/>
      <c r="CK172" s="58"/>
      <c r="CL172" s="58"/>
      <c r="CM172" s="58"/>
      <c r="CN172" s="58"/>
      <c r="CO172" s="58"/>
      <c r="CP172" s="58"/>
      <c r="CQ172" s="58"/>
      <c r="CR172" s="44"/>
      <c r="CS172" s="44"/>
      <c r="CT172" s="44"/>
      <c r="CU172" s="48"/>
      <c r="CV172" s="142"/>
      <c r="CW172" s="44"/>
      <c r="CX172" s="83"/>
      <c r="CY172" s="83"/>
      <c r="CZ172" s="83"/>
      <c r="DA172" s="44"/>
      <c r="DB172" s="143"/>
      <c r="DC172" s="44"/>
      <c r="DD172" s="44"/>
      <c r="DE172" s="44"/>
      <c r="DF172" s="44"/>
      <c r="DG172" s="44"/>
      <c r="DH172" s="44"/>
      <c r="DI172" s="75"/>
      <c r="DM172" s="87"/>
      <c r="DN172" s="99"/>
      <c r="DQ172" s="87"/>
      <c r="DR172" s="99"/>
      <c r="DS172" s="44"/>
      <c r="DT172" s="83"/>
      <c r="DU172" s="83"/>
      <c r="DV172" s="83"/>
      <c r="DW172" s="44"/>
      <c r="DX172" s="144"/>
      <c r="DY172" s="144"/>
      <c r="DZ172" s="144"/>
      <c r="EA172" s="58"/>
      <c r="EB172" s="58"/>
      <c r="EC172" s="58"/>
      <c r="ED172" s="58"/>
      <c r="EE172" s="58"/>
      <c r="EF172" s="58"/>
      <c r="EG172" s="58"/>
      <c r="EH172" s="58"/>
      <c r="EI172" s="58"/>
      <c r="EJ172" s="58"/>
      <c r="EK172" s="58"/>
      <c r="EL172" s="58"/>
      <c r="EM172" s="58"/>
      <c r="EN172" s="58"/>
      <c r="EO172" s="58"/>
      <c r="EP172" s="58"/>
      <c r="EQ172" s="58"/>
      <c r="ER172" s="58"/>
      <c r="ES172" s="58"/>
      <c r="ET172" s="58"/>
      <c r="EU172" s="58"/>
      <c r="EV172" s="58"/>
      <c r="EW172" s="58"/>
      <c r="EX172" s="58"/>
      <c r="EY172" s="58"/>
      <c r="EZ172" s="58"/>
      <c r="FA172" s="58"/>
      <c r="FB172" s="58"/>
      <c r="FC172" s="58"/>
      <c r="FD172" s="58"/>
      <c r="FE172" s="58"/>
      <c r="FF172" s="58"/>
      <c r="FG172" s="58"/>
      <c r="FH172" s="58"/>
      <c r="FI172" s="58"/>
      <c r="FJ172" s="58"/>
      <c r="FK172" s="58"/>
      <c r="FL172" s="58"/>
      <c r="FM172" s="58"/>
      <c r="FN172" s="58"/>
      <c r="FO172" s="58"/>
      <c r="FP172" s="58"/>
      <c r="FQ172" s="58"/>
      <c r="FR172" s="58"/>
      <c r="FS172" s="58"/>
      <c r="FT172" s="58"/>
      <c r="FU172" s="58"/>
      <c r="FV172" s="58"/>
      <c r="FW172" s="58"/>
      <c r="FX172" s="58"/>
      <c r="FY172" s="58"/>
      <c r="FZ172" s="58"/>
      <c r="GA172" s="58"/>
      <c r="GB172" s="58"/>
      <c r="GC172" s="58"/>
      <c r="GD172" s="58"/>
      <c r="GE172" s="58"/>
      <c r="GF172" s="58"/>
      <c r="GG172" s="58"/>
      <c r="GH172" s="58"/>
      <c r="GI172" s="58"/>
      <c r="GJ172" s="58"/>
      <c r="GK172" s="58"/>
      <c r="GL172" s="58"/>
      <c r="GM172" s="58"/>
      <c r="GN172" s="58"/>
      <c r="GO172" s="58"/>
      <c r="GP172" s="58"/>
      <c r="GQ172" s="58"/>
      <c r="GR172" s="58"/>
      <c r="GS172" s="58"/>
      <c r="GT172" s="58"/>
      <c r="GU172" s="58"/>
      <c r="GV172" s="58"/>
      <c r="GW172" s="58"/>
      <c r="GX172" s="58"/>
      <c r="GY172" s="58"/>
      <c r="GZ172" s="58"/>
      <c r="HA172" s="58"/>
      <c r="HB172" s="58"/>
      <c r="HC172" s="58"/>
      <c r="HD172" s="58"/>
      <c r="HE172" s="58"/>
      <c r="HF172" s="58"/>
      <c r="HG172" s="58"/>
      <c r="HH172" s="58"/>
      <c r="HI172" s="58"/>
      <c r="HJ172" s="58"/>
      <c r="HK172" s="58"/>
      <c r="HL172" s="58"/>
      <c r="HM172" s="58"/>
      <c r="HN172" s="58"/>
      <c r="HO172" s="58"/>
      <c r="HP172" s="58"/>
      <c r="HQ172" s="58"/>
      <c r="HR172" s="58"/>
      <c r="HS172" s="58"/>
      <c r="HT172" s="58"/>
      <c r="HU172" s="58"/>
      <c r="HV172" s="58"/>
      <c r="HW172" s="58"/>
      <c r="HX172" s="58"/>
      <c r="HY172" s="58"/>
      <c r="HZ172" s="58"/>
      <c r="IA172" s="58"/>
      <c r="IB172" s="58"/>
      <c r="IC172" s="58"/>
      <c r="ID172" s="58"/>
      <c r="IE172" s="58"/>
      <c r="IF172" s="58"/>
      <c r="IG172" s="58"/>
      <c r="IH172" s="58"/>
      <c r="II172" s="58"/>
      <c r="IJ172" s="58"/>
      <c r="IK172" s="58"/>
      <c r="IL172" s="58"/>
      <c r="IM172" s="58"/>
      <c r="IN172" s="58"/>
      <c r="IO172" s="58"/>
      <c r="IP172" s="58"/>
      <c r="IQ172" s="58"/>
      <c r="IR172" s="58"/>
      <c r="IS172" s="58"/>
      <c r="IT172" s="58"/>
      <c r="IU172" s="58"/>
    </row>
    <row r="173" spans="13:255" s="57" customFormat="1" ht="13.65" customHeight="1" x14ac:dyDescent="0.3">
      <c r="M173" s="40"/>
      <c r="N173" s="40"/>
      <c r="O173" s="40"/>
      <c r="P173" s="41"/>
      <c r="Q173" s="41"/>
      <c r="R173" s="41"/>
      <c r="S173" s="41"/>
      <c r="T173" s="40"/>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c r="CH173" s="58"/>
      <c r="CI173" s="58"/>
      <c r="CJ173" s="58"/>
      <c r="CK173" s="58"/>
      <c r="CL173" s="58"/>
      <c r="CM173" s="58"/>
      <c r="CN173" s="58"/>
      <c r="CO173" s="58"/>
      <c r="CP173" s="58"/>
      <c r="CQ173" s="58"/>
      <c r="CR173" s="44"/>
      <c r="CS173" s="44"/>
      <c r="CT173" s="44"/>
      <c r="CU173" s="48"/>
      <c r="CV173" s="142"/>
      <c r="CW173" s="44"/>
      <c r="CX173" s="83"/>
      <c r="CY173" s="83"/>
      <c r="CZ173" s="83"/>
      <c r="DA173" s="44"/>
      <c r="DB173" s="143"/>
      <c r="DC173" s="44"/>
      <c r="DD173" s="44"/>
      <c r="DE173" s="44"/>
      <c r="DF173" s="44"/>
      <c r="DG173" s="44"/>
      <c r="DH173" s="44"/>
      <c r="DI173" s="75"/>
      <c r="DM173" s="87"/>
      <c r="DN173" s="99"/>
      <c r="DQ173" s="87"/>
      <c r="DR173" s="99"/>
      <c r="DS173" s="44"/>
      <c r="DT173" s="83"/>
      <c r="DU173" s="83"/>
      <c r="DV173" s="83"/>
      <c r="DW173" s="44"/>
      <c r="DX173" s="144"/>
      <c r="DY173" s="144"/>
      <c r="DZ173" s="144"/>
      <c r="EA173" s="58"/>
      <c r="EB173" s="58"/>
      <c r="EC173" s="58"/>
      <c r="ED173" s="58"/>
      <c r="EE173" s="58"/>
      <c r="EF173" s="58"/>
      <c r="EG173" s="58"/>
      <c r="EH173" s="58"/>
      <c r="EI173" s="58"/>
      <c r="EJ173" s="58"/>
      <c r="EK173" s="58"/>
      <c r="EL173" s="58"/>
      <c r="EM173" s="58"/>
      <c r="EN173" s="58"/>
      <c r="EO173" s="58"/>
      <c r="EP173" s="58"/>
      <c r="EQ173" s="58"/>
      <c r="ER173" s="58"/>
      <c r="ES173" s="58"/>
      <c r="ET173" s="58"/>
      <c r="EU173" s="58"/>
      <c r="EV173" s="58"/>
      <c r="EW173" s="58"/>
      <c r="EX173" s="58"/>
      <c r="EY173" s="58"/>
      <c r="EZ173" s="58"/>
      <c r="FA173" s="58"/>
      <c r="FB173" s="58"/>
      <c r="FC173" s="58"/>
      <c r="FD173" s="58"/>
      <c r="FE173" s="58"/>
      <c r="FF173" s="58"/>
      <c r="FG173" s="58"/>
      <c r="FH173" s="58"/>
      <c r="FI173" s="58"/>
      <c r="FJ173" s="58"/>
      <c r="FK173" s="58"/>
      <c r="FL173" s="58"/>
      <c r="FM173" s="58"/>
      <c r="FN173" s="58"/>
      <c r="FO173" s="58"/>
      <c r="FP173" s="58"/>
      <c r="FQ173" s="58"/>
      <c r="FR173" s="58"/>
      <c r="FS173" s="58"/>
      <c r="FT173" s="58"/>
      <c r="FU173" s="58"/>
      <c r="FV173" s="58"/>
      <c r="FW173" s="58"/>
      <c r="FX173" s="58"/>
      <c r="FY173" s="58"/>
      <c r="FZ173" s="58"/>
      <c r="GA173" s="58"/>
      <c r="GB173" s="58"/>
      <c r="GC173" s="58"/>
      <c r="GD173" s="58"/>
      <c r="GE173" s="58"/>
      <c r="GF173" s="58"/>
      <c r="GG173" s="58"/>
      <c r="GH173" s="58"/>
      <c r="GI173" s="58"/>
      <c r="GJ173" s="58"/>
      <c r="GK173" s="58"/>
      <c r="GL173" s="58"/>
      <c r="GM173" s="58"/>
      <c r="GN173" s="58"/>
      <c r="GO173" s="58"/>
      <c r="GP173" s="58"/>
      <c r="GQ173" s="58"/>
      <c r="GR173" s="58"/>
      <c r="GS173" s="58"/>
      <c r="GT173" s="58"/>
      <c r="GU173" s="58"/>
      <c r="GV173" s="58"/>
      <c r="GW173" s="58"/>
      <c r="GX173" s="58"/>
      <c r="GY173" s="58"/>
      <c r="GZ173" s="58"/>
      <c r="HA173" s="58"/>
      <c r="HB173" s="58"/>
      <c r="HC173" s="58"/>
      <c r="HD173" s="58"/>
      <c r="HE173" s="58"/>
      <c r="HF173" s="58"/>
      <c r="HG173" s="58"/>
      <c r="HH173" s="58"/>
      <c r="HI173" s="58"/>
      <c r="HJ173" s="58"/>
      <c r="HK173" s="58"/>
      <c r="HL173" s="58"/>
      <c r="HM173" s="58"/>
      <c r="HN173" s="58"/>
      <c r="HO173" s="58"/>
      <c r="HP173" s="58"/>
      <c r="HQ173" s="58"/>
      <c r="HR173" s="58"/>
      <c r="HS173" s="58"/>
      <c r="HT173" s="58"/>
      <c r="HU173" s="58"/>
      <c r="HV173" s="58"/>
      <c r="HW173" s="58"/>
      <c r="HX173" s="58"/>
      <c r="HY173" s="58"/>
      <c r="HZ173" s="58"/>
      <c r="IA173" s="58"/>
      <c r="IB173" s="58"/>
      <c r="IC173" s="58"/>
      <c r="ID173" s="58"/>
      <c r="IE173" s="58"/>
      <c r="IF173" s="58"/>
      <c r="IG173" s="58"/>
      <c r="IH173" s="58"/>
      <c r="II173" s="58"/>
      <c r="IJ173" s="58"/>
      <c r="IK173" s="58"/>
      <c r="IL173" s="58"/>
      <c r="IM173" s="58"/>
      <c r="IN173" s="58"/>
      <c r="IO173" s="58"/>
      <c r="IP173" s="58"/>
      <c r="IQ173" s="58"/>
      <c r="IR173" s="58"/>
      <c r="IS173" s="58"/>
      <c r="IT173" s="58"/>
      <c r="IU173" s="58"/>
    </row>
    <row r="174" spans="13:255" s="57" customFormat="1" ht="13.65" customHeight="1" x14ac:dyDescent="0.3">
      <c r="M174" s="40"/>
      <c r="N174" s="40"/>
      <c r="O174" s="40"/>
      <c r="P174" s="41"/>
      <c r="Q174" s="41"/>
      <c r="R174" s="41"/>
      <c r="S174" s="41"/>
      <c r="T174" s="40"/>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c r="CH174" s="58"/>
      <c r="CI174" s="58"/>
      <c r="CJ174" s="58"/>
      <c r="CK174" s="58"/>
      <c r="CL174" s="58"/>
      <c r="CM174" s="58"/>
      <c r="CN174" s="58"/>
      <c r="CO174" s="58"/>
      <c r="CP174" s="58"/>
      <c r="CQ174" s="58"/>
      <c r="CR174" s="44"/>
      <c r="CS174" s="44"/>
      <c r="CT174" s="44"/>
      <c r="CU174" s="48"/>
      <c r="CV174" s="142"/>
      <c r="CW174" s="44"/>
      <c r="CX174" s="83"/>
      <c r="CY174" s="83"/>
      <c r="CZ174" s="83"/>
      <c r="DA174" s="44"/>
      <c r="DB174" s="143"/>
      <c r="DC174" s="44"/>
      <c r="DD174" s="44"/>
      <c r="DE174" s="44"/>
      <c r="DF174" s="44"/>
      <c r="DG174" s="44"/>
      <c r="DH174" s="44"/>
      <c r="DI174" s="75"/>
      <c r="DM174" s="87"/>
      <c r="DN174" s="99"/>
      <c r="DQ174" s="87"/>
      <c r="DR174" s="99"/>
      <c r="DS174" s="44"/>
      <c r="DT174" s="83"/>
      <c r="DU174" s="83"/>
      <c r="DV174" s="83"/>
      <c r="DW174" s="44"/>
      <c r="DX174" s="144"/>
      <c r="DY174" s="144"/>
      <c r="DZ174" s="144"/>
      <c r="EA174" s="58"/>
      <c r="EB174" s="58"/>
      <c r="EC174" s="58"/>
      <c r="ED174" s="58"/>
      <c r="EE174" s="58"/>
      <c r="EF174" s="58"/>
      <c r="EG174" s="58"/>
      <c r="EH174" s="58"/>
      <c r="EI174" s="58"/>
      <c r="EJ174" s="58"/>
      <c r="EK174" s="58"/>
      <c r="EL174" s="58"/>
      <c r="EM174" s="58"/>
      <c r="EN174" s="58"/>
      <c r="EO174" s="58"/>
      <c r="EP174" s="58"/>
      <c r="EQ174" s="58"/>
      <c r="ER174" s="58"/>
      <c r="ES174" s="58"/>
      <c r="ET174" s="58"/>
      <c r="EU174" s="58"/>
      <c r="EV174" s="58"/>
      <c r="EW174" s="58"/>
      <c r="EX174" s="58"/>
      <c r="EY174" s="58"/>
      <c r="EZ174" s="58"/>
      <c r="FA174" s="58"/>
      <c r="FB174" s="58"/>
      <c r="FC174" s="58"/>
      <c r="FD174" s="58"/>
      <c r="FE174" s="58"/>
      <c r="FF174" s="58"/>
      <c r="FG174" s="58"/>
      <c r="FH174" s="58"/>
      <c r="FI174" s="58"/>
      <c r="FJ174" s="58"/>
      <c r="FK174" s="58"/>
      <c r="FL174" s="58"/>
      <c r="FM174" s="58"/>
      <c r="FN174" s="58"/>
      <c r="FO174" s="58"/>
      <c r="FP174" s="58"/>
      <c r="FQ174" s="58"/>
      <c r="FR174" s="58"/>
      <c r="FS174" s="58"/>
      <c r="FT174" s="58"/>
      <c r="FU174" s="58"/>
      <c r="FV174" s="58"/>
      <c r="FW174" s="58"/>
      <c r="FX174" s="58"/>
      <c r="FY174" s="58"/>
      <c r="FZ174" s="58"/>
      <c r="GA174" s="58"/>
      <c r="GB174" s="58"/>
      <c r="GC174" s="58"/>
      <c r="GD174" s="58"/>
      <c r="GE174" s="58"/>
      <c r="GF174" s="58"/>
      <c r="GG174" s="58"/>
      <c r="GH174" s="58"/>
      <c r="GI174" s="58"/>
      <c r="GJ174" s="58"/>
      <c r="GK174" s="58"/>
      <c r="GL174" s="58"/>
      <c r="GM174" s="58"/>
      <c r="GN174" s="58"/>
      <c r="GO174" s="58"/>
      <c r="GP174" s="58"/>
      <c r="GQ174" s="58"/>
      <c r="GR174" s="58"/>
      <c r="GS174" s="58"/>
      <c r="GT174" s="58"/>
      <c r="GU174" s="58"/>
      <c r="GV174" s="58"/>
      <c r="GW174" s="58"/>
      <c r="GX174" s="58"/>
      <c r="GY174" s="58"/>
      <c r="GZ174" s="58"/>
      <c r="HA174" s="58"/>
      <c r="HB174" s="58"/>
      <c r="HC174" s="58"/>
      <c r="HD174" s="58"/>
      <c r="HE174" s="58"/>
      <c r="HF174" s="58"/>
      <c r="HG174" s="58"/>
      <c r="HH174" s="58"/>
      <c r="HI174" s="58"/>
      <c r="HJ174" s="58"/>
      <c r="HK174" s="58"/>
      <c r="HL174" s="58"/>
      <c r="HM174" s="58"/>
      <c r="HN174" s="58"/>
      <c r="HO174" s="58"/>
      <c r="HP174" s="58"/>
      <c r="HQ174" s="58"/>
      <c r="HR174" s="58"/>
      <c r="HS174" s="58"/>
      <c r="HT174" s="58"/>
      <c r="HU174" s="58"/>
      <c r="HV174" s="58"/>
      <c r="HW174" s="58"/>
      <c r="HX174" s="58"/>
      <c r="HY174" s="58"/>
      <c r="HZ174" s="58"/>
      <c r="IA174" s="58"/>
      <c r="IB174" s="58"/>
      <c r="IC174" s="58"/>
      <c r="ID174" s="58"/>
      <c r="IE174" s="58"/>
      <c r="IF174" s="58"/>
      <c r="IG174" s="58"/>
      <c r="IH174" s="58"/>
      <c r="II174" s="58"/>
      <c r="IJ174" s="58"/>
      <c r="IK174" s="58"/>
      <c r="IL174" s="58"/>
      <c r="IM174" s="58"/>
      <c r="IN174" s="58"/>
      <c r="IO174" s="58"/>
      <c r="IP174" s="58"/>
      <c r="IQ174" s="58"/>
      <c r="IR174" s="58"/>
      <c r="IS174" s="58"/>
      <c r="IT174" s="58"/>
      <c r="IU174" s="58"/>
    </row>
    <row r="175" spans="13:255" s="57" customFormat="1" ht="13.65" customHeight="1" x14ac:dyDescent="0.3">
      <c r="M175" s="40"/>
      <c r="N175" s="40"/>
      <c r="O175" s="40"/>
      <c r="P175" s="41"/>
      <c r="Q175" s="41"/>
      <c r="R175" s="41"/>
      <c r="S175" s="41"/>
      <c r="T175" s="40"/>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c r="CH175" s="58"/>
      <c r="CI175" s="58"/>
      <c r="CJ175" s="58"/>
      <c r="CK175" s="58"/>
      <c r="CL175" s="58"/>
      <c r="CM175" s="58"/>
      <c r="CN175" s="58"/>
      <c r="CO175" s="58"/>
      <c r="CP175" s="58"/>
      <c r="CQ175" s="58"/>
      <c r="CR175" s="44"/>
      <c r="CS175" s="44"/>
      <c r="CT175" s="44"/>
      <c r="CU175" s="48"/>
      <c r="CV175" s="142"/>
      <c r="CW175" s="44"/>
      <c r="CX175" s="83"/>
      <c r="CY175" s="83"/>
      <c r="CZ175" s="83"/>
      <c r="DA175" s="44"/>
      <c r="DB175" s="143"/>
      <c r="DC175" s="44"/>
      <c r="DD175" s="44"/>
      <c r="DE175" s="44"/>
      <c r="DF175" s="44"/>
      <c r="DG175" s="44"/>
      <c r="DH175" s="44"/>
      <c r="DI175" s="75"/>
      <c r="DM175" s="87"/>
      <c r="DN175" s="99"/>
      <c r="DQ175" s="87"/>
      <c r="DR175" s="99"/>
      <c r="DS175" s="44"/>
      <c r="DT175" s="83"/>
      <c r="DU175" s="83"/>
      <c r="DV175" s="83"/>
      <c r="DW175" s="44"/>
      <c r="DX175" s="144"/>
      <c r="DY175" s="144"/>
      <c r="DZ175" s="144"/>
      <c r="EA175" s="58"/>
      <c r="EB175" s="58"/>
      <c r="EC175" s="58"/>
      <c r="ED175" s="58"/>
      <c r="EE175" s="58"/>
      <c r="EF175" s="58"/>
      <c r="EG175" s="58"/>
      <c r="EH175" s="58"/>
      <c r="EI175" s="58"/>
      <c r="EJ175" s="58"/>
      <c r="EK175" s="58"/>
      <c r="EL175" s="58"/>
      <c r="EM175" s="58"/>
      <c r="EN175" s="58"/>
      <c r="EO175" s="58"/>
      <c r="EP175" s="58"/>
      <c r="EQ175" s="58"/>
      <c r="ER175" s="58"/>
      <c r="ES175" s="58"/>
      <c r="ET175" s="58"/>
      <c r="EU175" s="58"/>
      <c r="EV175" s="58"/>
      <c r="EW175" s="58"/>
      <c r="EX175" s="58"/>
      <c r="EY175" s="58"/>
      <c r="EZ175" s="58"/>
      <c r="FA175" s="58"/>
      <c r="FB175" s="58"/>
      <c r="FC175" s="58"/>
      <c r="FD175" s="58"/>
      <c r="FE175" s="58"/>
      <c r="FF175" s="58"/>
      <c r="FG175" s="58"/>
      <c r="FH175" s="58"/>
      <c r="FI175" s="58"/>
      <c r="FJ175" s="58"/>
      <c r="FK175" s="58"/>
      <c r="FL175" s="58"/>
      <c r="FM175" s="58"/>
      <c r="FN175" s="58"/>
      <c r="FO175" s="58"/>
      <c r="FP175" s="58"/>
      <c r="FQ175" s="58"/>
      <c r="FR175" s="58"/>
      <c r="FS175" s="58"/>
      <c r="FT175" s="58"/>
      <c r="FU175" s="58"/>
      <c r="FV175" s="58"/>
      <c r="FW175" s="58"/>
      <c r="FX175" s="58"/>
      <c r="FY175" s="58"/>
      <c r="FZ175" s="58"/>
      <c r="GA175" s="58"/>
      <c r="GB175" s="58"/>
      <c r="GC175" s="58"/>
      <c r="GD175" s="58"/>
      <c r="GE175" s="58"/>
      <c r="GF175" s="58"/>
      <c r="GG175" s="58"/>
      <c r="GH175" s="58"/>
      <c r="GI175" s="58"/>
      <c r="GJ175" s="58"/>
      <c r="GK175" s="58"/>
      <c r="GL175" s="58"/>
      <c r="GM175" s="58"/>
      <c r="GN175" s="58"/>
      <c r="GO175" s="58"/>
      <c r="GP175" s="58"/>
      <c r="GQ175" s="58"/>
      <c r="GR175" s="58"/>
      <c r="GS175" s="58"/>
      <c r="GT175" s="58"/>
      <c r="GU175" s="58"/>
      <c r="GV175" s="58"/>
      <c r="GW175" s="58"/>
      <c r="GX175" s="58"/>
      <c r="GY175" s="58"/>
      <c r="GZ175" s="58"/>
      <c r="HA175" s="58"/>
      <c r="HB175" s="58"/>
      <c r="HC175" s="58"/>
      <c r="HD175" s="58"/>
      <c r="HE175" s="58"/>
      <c r="HF175" s="58"/>
      <c r="HG175" s="58"/>
      <c r="HH175" s="58"/>
      <c r="HI175" s="58"/>
      <c r="HJ175" s="58"/>
      <c r="HK175" s="58"/>
      <c r="HL175" s="58"/>
      <c r="HM175" s="58"/>
      <c r="HN175" s="58"/>
      <c r="HO175" s="58"/>
      <c r="HP175" s="58"/>
      <c r="HQ175" s="58"/>
      <c r="HR175" s="58"/>
      <c r="HS175" s="58"/>
      <c r="HT175" s="58"/>
      <c r="HU175" s="58"/>
      <c r="HV175" s="58"/>
      <c r="HW175" s="58"/>
      <c r="HX175" s="58"/>
      <c r="HY175" s="58"/>
      <c r="HZ175" s="58"/>
      <c r="IA175" s="58"/>
      <c r="IB175" s="58"/>
      <c r="IC175" s="58"/>
      <c r="ID175" s="58"/>
      <c r="IE175" s="58"/>
      <c r="IF175" s="58"/>
      <c r="IG175" s="58"/>
      <c r="IH175" s="58"/>
      <c r="II175" s="58"/>
      <c r="IJ175" s="58"/>
      <c r="IK175" s="58"/>
      <c r="IL175" s="58"/>
      <c r="IM175" s="58"/>
      <c r="IN175" s="58"/>
      <c r="IO175" s="58"/>
      <c r="IP175" s="58"/>
      <c r="IQ175" s="58"/>
      <c r="IR175" s="58"/>
      <c r="IS175" s="58"/>
      <c r="IT175" s="58"/>
      <c r="IU175" s="58"/>
    </row>
    <row r="176" spans="13:255" s="57" customFormat="1" ht="13.65" customHeight="1" x14ac:dyDescent="0.3">
      <c r="M176" s="40"/>
      <c r="N176" s="40"/>
      <c r="O176" s="40"/>
      <c r="P176" s="41"/>
      <c r="Q176" s="41"/>
      <c r="R176" s="41"/>
      <c r="S176" s="41"/>
      <c r="T176" s="40"/>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c r="CH176" s="58"/>
      <c r="CI176" s="58"/>
      <c r="CJ176" s="58"/>
      <c r="CK176" s="58"/>
      <c r="CL176" s="58"/>
      <c r="CM176" s="58"/>
      <c r="CN176" s="58"/>
      <c r="CO176" s="58"/>
      <c r="CP176" s="58"/>
      <c r="CQ176" s="58"/>
      <c r="CR176" s="44"/>
      <c r="CS176" s="44"/>
      <c r="CT176" s="44"/>
      <c r="CU176" s="48"/>
      <c r="CV176" s="142"/>
      <c r="CW176" s="44"/>
      <c r="CX176" s="83"/>
      <c r="CY176" s="83"/>
      <c r="CZ176" s="83"/>
      <c r="DA176" s="44"/>
      <c r="DB176" s="143"/>
      <c r="DC176" s="44"/>
      <c r="DD176" s="44"/>
      <c r="DE176" s="44"/>
      <c r="DF176" s="44"/>
      <c r="DG176" s="44"/>
      <c r="DH176" s="44"/>
      <c r="DI176" s="75"/>
      <c r="DM176" s="87"/>
      <c r="DN176" s="99"/>
      <c r="DQ176" s="87"/>
      <c r="DR176" s="99"/>
      <c r="DS176" s="44"/>
      <c r="DT176" s="83"/>
      <c r="DU176" s="83"/>
      <c r="DV176" s="83"/>
      <c r="DW176" s="44"/>
      <c r="DX176" s="144"/>
      <c r="DY176" s="144"/>
      <c r="DZ176" s="144"/>
      <c r="EA176" s="58"/>
      <c r="EB176" s="58"/>
      <c r="EC176" s="58"/>
      <c r="ED176" s="58"/>
      <c r="EE176" s="58"/>
      <c r="EF176" s="58"/>
      <c r="EG176" s="58"/>
      <c r="EH176" s="58"/>
      <c r="EI176" s="58"/>
      <c r="EJ176" s="58"/>
      <c r="EK176" s="58"/>
      <c r="EL176" s="58"/>
      <c r="EM176" s="58"/>
      <c r="EN176" s="58"/>
      <c r="EO176" s="58"/>
      <c r="EP176" s="58"/>
      <c r="EQ176" s="58"/>
      <c r="ER176" s="58"/>
      <c r="ES176" s="58"/>
      <c r="ET176" s="58"/>
      <c r="EU176" s="58"/>
      <c r="EV176" s="58"/>
      <c r="EW176" s="58"/>
      <c r="EX176" s="58"/>
      <c r="EY176" s="58"/>
      <c r="EZ176" s="58"/>
      <c r="FA176" s="58"/>
      <c r="FB176" s="58"/>
      <c r="FC176" s="58"/>
      <c r="FD176" s="58"/>
      <c r="FE176" s="58"/>
      <c r="FF176" s="58"/>
      <c r="FG176" s="58"/>
      <c r="FH176" s="58"/>
      <c r="FI176" s="58"/>
      <c r="FJ176" s="58"/>
      <c r="FK176" s="58"/>
      <c r="FL176" s="58"/>
      <c r="FM176" s="58"/>
      <c r="FN176" s="58"/>
      <c r="FO176" s="58"/>
      <c r="FP176" s="58"/>
      <c r="FQ176" s="58"/>
      <c r="FR176" s="58"/>
      <c r="FS176" s="58"/>
      <c r="FT176" s="58"/>
      <c r="FU176" s="58"/>
      <c r="FV176" s="58"/>
      <c r="FW176" s="58"/>
      <c r="FX176" s="58"/>
      <c r="FY176" s="58"/>
      <c r="FZ176" s="58"/>
      <c r="GA176" s="58"/>
      <c r="GB176" s="58"/>
      <c r="GC176" s="58"/>
      <c r="GD176" s="58"/>
      <c r="GE176" s="58"/>
      <c r="GF176" s="58"/>
      <c r="GG176" s="58"/>
      <c r="GH176" s="58"/>
      <c r="GI176" s="58"/>
      <c r="GJ176" s="58"/>
      <c r="GK176" s="58"/>
      <c r="GL176" s="58"/>
      <c r="GM176" s="58"/>
      <c r="GN176" s="58"/>
      <c r="GO176" s="58"/>
      <c r="GP176" s="58"/>
      <c r="GQ176" s="58"/>
      <c r="GR176" s="58"/>
      <c r="GS176" s="58"/>
      <c r="GT176" s="58"/>
      <c r="GU176" s="58"/>
      <c r="GV176" s="58"/>
      <c r="GW176" s="58"/>
      <c r="GX176" s="58"/>
      <c r="GY176" s="58"/>
      <c r="GZ176" s="58"/>
      <c r="HA176" s="58"/>
      <c r="HB176" s="58"/>
      <c r="HC176" s="58"/>
      <c r="HD176" s="58"/>
      <c r="HE176" s="58"/>
      <c r="HF176" s="58"/>
      <c r="HG176" s="58"/>
      <c r="HH176" s="58"/>
      <c r="HI176" s="58"/>
      <c r="HJ176" s="58"/>
      <c r="HK176" s="58"/>
      <c r="HL176" s="58"/>
      <c r="HM176" s="58"/>
      <c r="HN176" s="58"/>
      <c r="HO176" s="58"/>
      <c r="HP176" s="58"/>
      <c r="HQ176" s="58"/>
      <c r="HR176" s="58"/>
      <c r="HS176" s="58"/>
      <c r="HT176" s="58"/>
      <c r="HU176" s="58"/>
      <c r="HV176" s="58"/>
      <c r="HW176" s="58"/>
      <c r="HX176" s="58"/>
      <c r="HY176" s="58"/>
      <c r="HZ176" s="58"/>
      <c r="IA176" s="58"/>
      <c r="IB176" s="58"/>
      <c r="IC176" s="58"/>
      <c r="ID176" s="58"/>
      <c r="IE176" s="58"/>
      <c r="IF176" s="58"/>
      <c r="IG176" s="58"/>
      <c r="IH176" s="58"/>
      <c r="II176" s="58"/>
      <c r="IJ176" s="58"/>
      <c r="IK176" s="58"/>
      <c r="IL176" s="58"/>
      <c r="IM176" s="58"/>
      <c r="IN176" s="58"/>
      <c r="IO176" s="58"/>
      <c r="IP176" s="58"/>
      <c r="IQ176" s="58"/>
      <c r="IR176" s="58"/>
      <c r="IS176" s="58"/>
      <c r="IT176" s="58"/>
      <c r="IU176" s="58"/>
    </row>
    <row r="177" spans="13:255" s="57" customFormat="1" ht="13.65" customHeight="1" x14ac:dyDescent="0.3">
      <c r="M177" s="40"/>
      <c r="N177" s="40"/>
      <c r="O177" s="40"/>
      <c r="P177" s="41"/>
      <c r="Q177" s="41"/>
      <c r="R177" s="41"/>
      <c r="S177" s="41"/>
      <c r="T177" s="40"/>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c r="CH177" s="58"/>
      <c r="CI177" s="58"/>
      <c r="CJ177" s="58"/>
      <c r="CK177" s="58"/>
      <c r="CL177" s="58"/>
      <c r="CM177" s="58"/>
      <c r="CN177" s="58"/>
      <c r="CO177" s="58"/>
      <c r="CP177" s="58"/>
      <c r="CQ177" s="58"/>
      <c r="CR177" s="44"/>
      <c r="CS177" s="44"/>
      <c r="CT177" s="44"/>
      <c r="CU177" s="48"/>
      <c r="CV177" s="142"/>
      <c r="CW177" s="44"/>
      <c r="CX177" s="83"/>
      <c r="CY177" s="83"/>
      <c r="CZ177" s="83"/>
      <c r="DA177" s="44"/>
      <c r="DB177" s="143"/>
      <c r="DC177" s="44"/>
      <c r="DD177" s="44"/>
      <c r="DE177" s="44"/>
      <c r="DF177" s="44"/>
      <c r="DG177" s="44"/>
      <c r="DH177" s="44"/>
      <c r="DI177" s="75"/>
      <c r="DM177" s="87"/>
      <c r="DN177" s="99"/>
      <c r="DQ177" s="87"/>
      <c r="DR177" s="99"/>
      <c r="DS177" s="44"/>
      <c r="DT177" s="83"/>
      <c r="DU177" s="83"/>
      <c r="DV177" s="83"/>
      <c r="DW177" s="44"/>
      <c r="DX177" s="144"/>
      <c r="DY177" s="144"/>
      <c r="DZ177" s="144"/>
      <c r="EA177" s="58"/>
      <c r="EB177" s="58"/>
      <c r="EC177" s="58"/>
      <c r="ED177" s="58"/>
      <c r="EE177" s="58"/>
      <c r="EF177" s="58"/>
      <c r="EG177" s="58"/>
      <c r="EH177" s="58"/>
      <c r="EI177" s="58"/>
      <c r="EJ177" s="58"/>
      <c r="EK177" s="58"/>
      <c r="EL177" s="58"/>
      <c r="EM177" s="58"/>
      <c r="EN177" s="58"/>
      <c r="EO177" s="58"/>
      <c r="EP177" s="58"/>
      <c r="EQ177" s="58"/>
      <c r="ER177" s="58"/>
      <c r="ES177" s="58"/>
      <c r="ET177" s="58"/>
      <c r="EU177" s="58"/>
      <c r="EV177" s="58"/>
      <c r="EW177" s="58"/>
      <c r="EX177" s="58"/>
      <c r="EY177" s="58"/>
      <c r="EZ177" s="58"/>
      <c r="FA177" s="58"/>
      <c r="FB177" s="58"/>
      <c r="FC177" s="58"/>
      <c r="FD177" s="58"/>
      <c r="FE177" s="58"/>
      <c r="FF177" s="58"/>
      <c r="FG177" s="58"/>
      <c r="FH177" s="58"/>
      <c r="FI177" s="58"/>
      <c r="FJ177" s="58"/>
      <c r="FK177" s="58"/>
      <c r="FL177" s="58"/>
      <c r="FM177" s="58"/>
      <c r="FN177" s="58"/>
      <c r="FO177" s="58"/>
      <c r="FP177" s="58"/>
      <c r="FQ177" s="58"/>
      <c r="FR177" s="58"/>
      <c r="FS177" s="58"/>
      <c r="FT177" s="58"/>
      <c r="FU177" s="58"/>
      <c r="FV177" s="58"/>
      <c r="FW177" s="58"/>
      <c r="FX177" s="58"/>
      <c r="FY177" s="58"/>
      <c r="FZ177" s="58"/>
      <c r="GA177" s="58"/>
      <c r="GB177" s="58"/>
      <c r="GC177" s="58"/>
      <c r="GD177" s="58"/>
      <c r="GE177" s="58"/>
      <c r="GF177" s="58"/>
      <c r="GG177" s="58"/>
      <c r="GH177" s="58"/>
      <c r="GI177" s="58"/>
      <c r="GJ177" s="58"/>
      <c r="GK177" s="58"/>
      <c r="GL177" s="58"/>
      <c r="GM177" s="58"/>
      <c r="GN177" s="58"/>
      <c r="GO177" s="58"/>
      <c r="GP177" s="58"/>
      <c r="GQ177" s="58"/>
      <c r="GR177" s="58"/>
      <c r="GS177" s="58"/>
      <c r="GT177" s="58"/>
      <c r="GU177" s="58"/>
      <c r="GV177" s="58"/>
      <c r="GW177" s="58"/>
      <c r="GX177" s="58"/>
      <c r="GY177" s="58"/>
      <c r="GZ177" s="58"/>
      <c r="HA177" s="58"/>
      <c r="HB177" s="58"/>
      <c r="HC177" s="58"/>
      <c r="HD177" s="58"/>
      <c r="HE177" s="58"/>
      <c r="HF177" s="58"/>
      <c r="HG177" s="58"/>
      <c r="HH177" s="58"/>
      <c r="HI177" s="58"/>
      <c r="HJ177" s="58"/>
      <c r="HK177" s="58"/>
      <c r="HL177" s="58"/>
      <c r="HM177" s="58"/>
      <c r="HN177" s="58"/>
      <c r="HO177" s="58"/>
      <c r="HP177" s="58"/>
      <c r="HQ177" s="58"/>
      <c r="HR177" s="58"/>
      <c r="HS177" s="58"/>
      <c r="HT177" s="58"/>
      <c r="HU177" s="58"/>
      <c r="HV177" s="58"/>
      <c r="HW177" s="58"/>
      <c r="HX177" s="58"/>
      <c r="HY177" s="58"/>
      <c r="HZ177" s="58"/>
      <c r="IA177" s="58"/>
      <c r="IB177" s="58"/>
      <c r="IC177" s="58"/>
      <c r="ID177" s="58"/>
      <c r="IE177" s="58"/>
      <c r="IF177" s="58"/>
      <c r="IG177" s="58"/>
      <c r="IH177" s="58"/>
      <c r="II177" s="58"/>
      <c r="IJ177" s="58"/>
      <c r="IK177" s="58"/>
      <c r="IL177" s="58"/>
      <c r="IM177" s="58"/>
      <c r="IN177" s="58"/>
      <c r="IO177" s="58"/>
      <c r="IP177" s="58"/>
      <c r="IQ177" s="58"/>
      <c r="IR177" s="58"/>
      <c r="IS177" s="58"/>
      <c r="IT177" s="58"/>
      <c r="IU177" s="58"/>
    </row>
    <row r="178" spans="13:255" s="57" customFormat="1" ht="13.65" customHeight="1" x14ac:dyDescent="0.3">
      <c r="M178" s="40"/>
      <c r="N178" s="40"/>
      <c r="O178" s="40"/>
      <c r="P178" s="41"/>
      <c r="Q178" s="41"/>
      <c r="R178" s="41"/>
      <c r="S178" s="41"/>
      <c r="T178" s="40"/>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c r="CH178" s="58"/>
      <c r="CI178" s="58"/>
      <c r="CJ178" s="58"/>
      <c r="CK178" s="58"/>
      <c r="CL178" s="58"/>
      <c r="CM178" s="58"/>
      <c r="CN178" s="58"/>
      <c r="CO178" s="58"/>
      <c r="CP178" s="58"/>
      <c r="CQ178" s="58"/>
      <c r="CR178" s="44"/>
      <c r="CS178" s="44"/>
      <c r="CT178" s="44"/>
      <c r="CU178" s="48"/>
      <c r="CV178" s="142"/>
      <c r="CW178" s="44"/>
      <c r="CX178" s="83"/>
      <c r="CY178" s="83"/>
      <c r="CZ178" s="83"/>
      <c r="DA178" s="44"/>
      <c r="DB178" s="143"/>
      <c r="DC178" s="44"/>
      <c r="DD178" s="44"/>
      <c r="DE178" s="44"/>
      <c r="DF178" s="44"/>
      <c r="DG178" s="44"/>
      <c r="DH178" s="44"/>
      <c r="DI178" s="75"/>
      <c r="DM178" s="87"/>
      <c r="DN178" s="99"/>
      <c r="DQ178" s="87"/>
      <c r="DR178" s="99"/>
      <c r="DS178" s="44"/>
      <c r="DT178" s="83"/>
      <c r="DU178" s="83"/>
      <c r="DV178" s="83"/>
      <c r="DW178" s="44"/>
      <c r="DX178" s="144"/>
      <c r="DY178" s="144"/>
      <c r="DZ178" s="144"/>
      <c r="EA178" s="58"/>
      <c r="EB178" s="58"/>
      <c r="EC178" s="58"/>
      <c r="ED178" s="58"/>
      <c r="EE178" s="58"/>
      <c r="EF178" s="58"/>
      <c r="EG178" s="58"/>
      <c r="EH178" s="58"/>
      <c r="EI178" s="58"/>
      <c r="EJ178" s="58"/>
      <c r="EK178" s="58"/>
      <c r="EL178" s="58"/>
      <c r="EM178" s="58"/>
      <c r="EN178" s="58"/>
      <c r="EO178" s="58"/>
      <c r="EP178" s="58"/>
      <c r="EQ178" s="58"/>
      <c r="ER178" s="58"/>
      <c r="ES178" s="58"/>
      <c r="ET178" s="58"/>
      <c r="EU178" s="58"/>
      <c r="EV178" s="58"/>
      <c r="EW178" s="58"/>
      <c r="EX178" s="58"/>
      <c r="EY178" s="58"/>
      <c r="EZ178" s="58"/>
      <c r="FA178" s="58"/>
      <c r="FB178" s="58"/>
      <c r="FC178" s="58"/>
      <c r="FD178" s="58"/>
      <c r="FE178" s="58"/>
      <c r="FF178" s="58"/>
      <c r="FG178" s="58"/>
      <c r="FH178" s="58"/>
      <c r="FI178" s="58"/>
      <c r="FJ178" s="58"/>
      <c r="FK178" s="58"/>
      <c r="FL178" s="58"/>
      <c r="FM178" s="58"/>
      <c r="FN178" s="58"/>
      <c r="FO178" s="58"/>
      <c r="FP178" s="58"/>
      <c r="FQ178" s="58"/>
      <c r="FR178" s="58"/>
      <c r="FS178" s="58"/>
      <c r="FT178" s="58"/>
      <c r="FU178" s="58"/>
      <c r="FV178" s="58"/>
      <c r="FW178" s="58"/>
      <c r="FX178" s="58"/>
      <c r="FY178" s="58"/>
      <c r="FZ178" s="58"/>
      <c r="GA178" s="58"/>
      <c r="GB178" s="58"/>
      <c r="GC178" s="58"/>
      <c r="GD178" s="58"/>
      <c r="GE178" s="58"/>
      <c r="GF178" s="58"/>
      <c r="GG178" s="58"/>
      <c r="GH178" s="58"/>
      <c r="GI178" s="58"/>
      <c r="GJ178" s="58"/>
      <c r="GK178" s="58"/>
      <c r="GL178" s="58"/>
      <c r="GM178" s="58"/>
      <c r="GN178" s="58"/>
      <c r="GO178" s="58"/>
      <c r="GP178" s="58"/>
      <c r="GQ178" s="58"/>
      <c r="GR178" s="58"/>
      <c r="GS178" s="58"/>
      <c r="GT178" s="58"/>
      <c r="GU178" s="58"/>
      <c r="GV178" s="58"/>
      <c r="GW178" s="58"/>
      <c r="GX178" s="58"/>
      <c r="GY178" s="58"/>
      <c r="GZ178" s="58"/>
      <c r="HA178" s="58"/>
      <c r="HB178" s="58"/>
      <c r="HC178" s="58"/>
      <c r="HD178" s="58"/>
      <c r="HE178" s="58"/>
      <c r="HF178" s="58"/>
      <c r="HG178" s="58"/>
      <c r="HH178" s="58"/>
      <c r="HI178" s="58"/>
      <c r="HJ178" s="58"/>
      <c r="HK178" s="58"/>
      <c r="HL178" s="58"/>
      <c r="HM178" s="58"/>
      <c r="HN178" s="58"/>
      <c r="HO178" s="58"/>
      <c r="HP178" s="58"/>
      <c r="HQ178" s="58"/>
      <c r="HR178" s="58"/>
      <c r="HS178" s="58"/>
      <c r="HT178" s="58"/>
      <c r="HU178" s="58"/>
      <c r="HV178" s="58"/>
      <c r="HW178" s="58"/>
      <c r="HX178" s="58"/>
      <c r="HY178" s="58"/>
      <c r="HZ178" s="58"/>
      <c r="IA178" s="58"/>
      <c r="IB178" s="58"/>
      <c r="IC178" s="58"/>
      <c r="ID178" s="58"/>
      <c r="IE178" s="58"/>
      <c r="IF178" s="58"/>
      <c r="IG178" s="58"/>
      <c r="IH178" s="58"/>
      <c r="II178" s="58"/>
      <c r="IJ178" s="58"/>
      <c r="IK178" s="58"/>
      <c r="IL178" s="58"/>
      <c r="IM178" s="58"/>
      <c r="IN178" s="58"/>
      <c r="IO178" s="58"/>
      <c r="IP178" s="58"/>
      <c r="IQ178" s="58"/>
      <c r="IR178" s="58"/>
      <c r="IS178" s="58"/>
      <c r="IT178" s="58"/>
      <c r="IU178" s="58"/>
    </row>
    <row r="179" spans="13:255" s="57" customFormat="1" ht="13.65" customHeight="1" x14ac:dyDescent="0.3">
      <c r="M179" s="40"/>
      <c r="N179" s="40"/>
      <c r="O179" s="40"/>
      <c r="P179" s="41"/>
      <c r="Q179" s="41"/>
      <c r="R179" s="41"/>
      <c r="S179" s="41"/>
      <c r="T179" s="40"/>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c r="CH179" s="58"/>
      <c r="CI179" s="58"/>
      <c r="CJ179" s="58"/>
      <c r="CK179" s="58"/>
      <c r="CL179" s="58"/>
      <c r="CM179" s="58"/>
      <c r="CN179" s="58"/>
      <c r="CO179" s="58"/>
      <c r="CP179" s="58"/>
      <c r="CQ179" s="58"/>
      <c r="CR179" s="44"/>
      <c r="CS179" s="44"/>
      <c r="CT179" s="44"/>
      <c r="CU179" s="48"/>
      <c r="CV179" s="142"/>
      <c r="CW179" s="44"/>
      <c r="CX179" s="83"/>
      <c r="CY179" s="83"/>
      <c r="CZ179" s="83"/>
      <c r="DA179" s="44"/>
      <c r="DB179" s="143"/>
      <c r="DC179" s="44"/>
      <c r="DD179" s="44"/>
      <c r="DE179" s="44"/>
      <c r="DF179" s="44"/>
      <c r="DG179" s="44"/>
      <c r="DH179" s="44"/>
      <c r="DI179" s="75"/>
      <c r="DM179" s="87"/>
      <c r="DN179" s="99"/>
      <c r="DQ179" s="87"/>
      <c r="DR179" s="99"/>
      <c r="DS179" s="44"/>
      <c r="DT179" s="83"/>
      <c r="DU179" s="83"/>
      <c r="DV179" s="83"/>
      <c r="DW179" s="44"/>
      <c r="DX179" s="144"/>
      <c r="DY179" s="144"/>
      <c r="DZ179" s="144"/>
      <c r="EA179" s="58"/>
      <c r="EB179" s="58"/>
      <c r="EC179" s="58"/>
      <c r="ED179" s="58"/>
      <c r="EE179" s="58"/>
      <c r="EF179" s="58"/>
      <c r="EG179" s="58"/>
      <c r="EH179" s="58"/>
      <c r="EI179" s="58"/>
      <c r="EJ179" s="58"/>
      <c r="EK179" s="58"/>
      <c r="EL179" s="58"/>
      <c r="EM179" s="58"/>
      <c r="EN179" s="58"/>
      <c r="EO179" s="58"/>
      <c r="EP179" s="58"/>
      <c r="EQ179" s="58"/>
      <c r="ER179" s="58"/>
      <c r="ES179" s="58"/>
      <c r="ET179" s="58"/>
      <c r="EU179" s="58"/>
      <c r="EV179" s="58"/>
      <c r="EW179" s="58"/>
      <c r="EX179" s="58"/>
      <c r="EY179" s="58"/>
      <c r="EZ179" s="58"/>
      <c r="FA179" s="58"/>
      <c r="FB179" s="58"/>
      <c r="FC179" s="58"/>
      <c r="FD179" s="58"/>
      <c r="FE179" s="58"/>
      <c r="FF179" s="58"/>
      <c r="FG179" s="58"/>
      <c r="FH179" s="58"/>
      <c r="FI179" s="58"/>
      <c r="FJ179" s="58"/>
      <c r="FK179" s="58"/>
      <c r="FL179" s="58"/>
      <c r="FM179" s="58"/>
      <c r="FN179" s="58"/>
      <c r="FO179" s="58"/>
      <c r="FP179" s="58"/>
      <c r="FQ179" s="58"/>
      <c r="FR179" s="58"/>
      <c r="FS179" s="58"/>
      <c r="FT179" s="58"/>
      <c r="FU179" s="58"/>
      <c r="FV179" s="58"/>
      <c r="FW179" s="58"/>
      <c r="FX179" s="58"/>
      <c r="FY179" s="58"/>
      <c r="FZ179" s="58"/>
      <c r="GA179" s="58"/>
      <c r="GB179" s="58"/>
      <c r="GC179" s="58"/>
      <c r="GD179" s="58"/>
      <c r="GE179" s="58"/>
      <c r="GF179" s="58"/>
      <c r="GG179" s="58"/>
      <c r="GH179" s="58"/>
      <c r="GI179" s="58"/>
      <c r="GJ179" s="58"/>
      <c r="GK179" s="58"/>
      <c r="GL179" s="58"/>
      <c r="GM179" s="58"/>
      <c r="GN179" s="58"/>
      <c r="GO179" s="58"/>
      <c r="GP179" s="58"/>
      <c r="GQ179" s="58"/>
      <c r="GR179" s="58"/>
      <c r="GS179" s="58"/>
      <c r="GT179" s="58"/>
      <c r="GU179" s="58"/>
      <c r="GV179" s="58"/>
      <c r="GW179" s="58"/>
      <c r="GX179" s="58"/>
      <c r="GY179" s="58"/>
      <c r="GZ179" s="58"/>
      <c r="HA179" s="58"/>
      <c r="HB179" s="58"/>
      <c r="HC179" s="58"/>
      <c r="HD179" s="58"/>
      <c r="HE179" s="58"/>
      <c r="HF179" s="58"/>
      <c r="HG179" s="58"/>
      <c r="HH179" s="58"/>
      <c r="HI179" s="58"/>
      <c r="HJ179" s="58"/>
      <c r="HK179" s="58"/>
      <c r="HL179" s="58"/>
      <c r="HM179" s="58"/>
      <c r="HN179" s="58"/>
      <c r="HO179" s="58"/>
      <c r="HP179" s="58"/>
      <c r="HQ179" s="58"/>
      <c r="HR179" s="58"/>
      <c r="HS179" s="58"/>
      <c r="HT179" s="58"/>
      <c r="HU179" s="58"/>
      <c r="HV179" s="58"/>
      <c r="HW179" s="58"/>
      <c r="HX179" s="58"/>
      <c r="HY179" s="58"/>
      <c r="HZ179" s="58"/>
      <c r="IA179" s="58"/>
      <c r="IB179" s="58"/>
      <c r="IC179" s="58"/>
      <c r="ID179" s="58"/>
      <c r="IE179" s="58"/>
      <c r="IF179" s="58"/>
      <c r="IG179" s="58"/>
      <c r="IH179" s="58"/>
      <c r="II179" s="58"/>
      <c r="IJ179" s="58"/>
      <c r="IK179" s="58"/>
      <c r="IL179" s="58"/>
      <c r="IM179" s="58"/>
      <c r="IN179" s="58"/>
      <c r="IO179" s="58"/>
      <c r="IP179" s="58"/>
      <c r="IQ179" s="58"/>
      <c r="IR179" s="58"/>
      <c r="IS179" s="58"/>
      <c r="IT179" s="58"/>
      <c r="IU179" s="58"/>
    </row>
    <row r="180" spans="13:255" s="57" customFormat="1" ht="13.65" customHeight="1" x14ac:dyDescent="0.3">
      <c r="M180" s="40"/>
      <c r="N180" s="40"/>
      <c r="O180" s="40"/>
      <c r="P180" s="41"/>
      <c r="Q180" s="41"/>
      <c r="R180" s="41"/>
      <c r="S180" s="41"/>
      <c r="T180" s="40"/>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c r="CA180" s="58"/>
      <c r="CB180" s="58"/>
      <c r="CC180" s="58"/>
      <c r="CD180" s="58"/>
      <c r="CE180" s="58"/>
      <c r="CF180" s="58"/>
      <c r="CG180" s="58"/>
      <c r="CH180" s="58"/>
      <c r="CI180" s="58"/>
      <c r="CJ180" s="58"/>
      <c r="CK180" s="58"/>
      <c r="CL180" s="58"/>
      <c r="CM180" s="58"/>
      <c r="CN180" s="58"/>
      <c r="CO180" s="58"/>
      <c r="CP180" s="58"/>
      <c r="CQ180" s="58"/>
      <c r="CR180" s="44"/>
      <c r="CS180" s="44"/>
      <c r="CT180" s="44"/>
      <c r="CU180" s="48"/>
      <c r="CV180" s="142"/>
      <c r="CW180" s="44"/>
      <c r="CX180" s="83"/>
      <c r="CY180" s="83"/>
      <c r="CZ180" s="83"/>
      <c r="DA180" s="44"/>
      <c r="DB180" s="143"/>
      <c r="DC180" s="44"/>
      <c r="DD180" s="44"/>
      <c r="DE180" s="44"/>
      <c r="DF180" s="44"/>
      <c r="DG180" s="44"/>
      <c r="DH180" s="44"/>
      <c r="DI180" s="75"/>
      <c r="DM180" s="87"/>
      <c r="DN180" s="99"/>
      <c r="DQ180" s="87"/>
      <c r="DR180" s="99"/>
      <c r="DS180" s="44"/>
      <c r="DT180" s="83"/>
      <c r="DU180" s="83"/>
      <c r="DV180" s="83"/>
      <c r="DW180" s="44"/>
      <c r="DX180" s="144"/>
      <c r="DY180" s="144"/>
      <c r="DZ180" s="144"/>
      <c r="EA180" s="58"/>
      <c r="EB180" s="58"/>
      <c r="EC180" s="58"/>
      <c r="ED180" s="58"/>
      <c r="EE180" s="58"/>
      <c r="EF180" s="58"/>
      <c r="EG180" s="58"/>
      <c r="EH180" s="58"/>
      <c r="EI180" s="58"/>
      <c r="EJ180" s="58"/>
      <c r="EK180" s="58"/>
      <c r="EL180" s="58"/>
      <c r="EM180" s="58"/>
      <c r="EN180" s="58"/>
      <c r="EO180" s="58"/>
      <c r="EP180" s="58"/>
      <c r="EQ180" s="58"/>
      <c r="ER180" s="58"/>
      <c r="ES180" s="58"/>
      <c r="ET180" s="58"/>
      <c r="EU180" s="58"/>
      <c r="EV180" s="58"/>
      <c r="EW180" s="58"/>
      <c r="EX180" s="58"/>
      <c r="EY180" s="58"/>
      <c r="EZ180" s="58"/>
      <c r="FA180" s="58"/>
      <c r="FB180" s="58"/>
      <c r="FC180" s="58"/>
      <c r="FD180" s="58"/>
      <c r="FE180" s="58"/>
      <c r="FF180" s="58"/>
      <c r="FG180" s="58"/>
      <c r="FH180" s="58"/>
      <c r="FI180" s="58"/>
      <c r="FJ180" s="58"/>
      <c r="FK180" s="58"/>
      <c r="FL180" s="58"/>
      <c r="FM180" s="58"/>
      <c r="FN180" s="58"/>
      <c r="FO180" s="58"/>
      <c r="FP180" s="58"/>
      <c r="FQ180" s="58"/>
      <c r="FR180" s="58"/>
      <c r="FS180" s="58"/>
      <c r="FT180" s="58"/>
      <c r="FU180" s="58"/>
      <c r="FV180" s="58"/>
      <c r="FW180" s="58"/>
      <c r="FX180" s="58"/>
      <c r="FY180" s="58"/>
      <c r="FZ180" s="58"/>
      <c r="GA180" s="58"/>
      <c r="GB180" s="58"/>
      <c r="GC180" s="58"/>
      <c r="GD180" s="58"/>
      <c r="GE180" s="58"/>
      <c r="GF180" s="58"/>
      <c r="GG180" s="58"/>
      <c r="GH180" s="58"/>
      <c r="GI180" s="58"/>
      <c r="GJ180" s="58"/>
      <c r="GK180" s="58"/>
      <c r="GL180" s="58"/>
      <c r="GM180" s="58"/>
      <c r="GN180" s="58"/>
      <c r="GO180" s="58"/>
      <c r="GP180" s="58"/>
      <c r="GQ180" s="58"/>
      <c r="GR180" s="58"/>
      <c r="GS180" s="58"/>
      <c r="GT180" s="58"/>
      <c r="GU180" s="58"/>
      <c r="GV180" s="58"/>
      <c r="GW180" s="58"/>
      <c r="GX180" s="58"/>
      <c r="GY180" s="58"/>
      <c r="GZ180" s="58"/>
      <c r="HA180" s="58"/>
      <c r="HB180" s="58"/>
      <c r="HC180" s="58"/>
      <c r="HD180" s="58"/>
      <c r="HE180" s="58"/>
      <c r="HF180" s="58"/>
      <c r="HG180" s="58"/>
      <c r="HH180" s="58"/>
      <c r="HI180" s="58"/>
      <c r="HJ180" s="58"/>
      <c r="HK180" s="58"/>
      <c r="HL180" s="58"/>
      <c r="HM180" s="58"/>
      <c r="HN180" s="58"/>
      <c r="HO180" s="58"/>
      <c r="HP180" s="58"/>
      <c r="HQ180" s="58"/>
      <c r="HR180" s="58"/>
      <c r="HS180" s="58"/>
      <c r="HT180" s="58"/>
      <c r="HU180" s="58"/>
      <c r="HV180" s="58"/>
      <c r="HW180" s="58"/>
      <c r="HX180" s="58"/>
      <c r="HY180" s="58"/>
      <c r="HZ180" s="58"/>
      <c r="IA180" s="58"/>
      <c r="IB180" s="58"/>
      <c r="IC180" s="58"/>
      <c r="ID180" s="58"/>
      <c r="IE180" s="58"/>
      <c r="IF180" s="58"/>
      <c r="IG180" s="58"/>
      <c r="IH180" s="58"/>
      <c r="II180" s="58"/>
      <c r="IJ180" s="58"/>
      <c r="IK180" s="58"/>
      <c r="IL180" s="58"/>
      <c r="IM180" s="58"/>
      <c r="IN180" s="58"/>
      <c r="IO180" s="58"/>
      <c r="IP180" s="58"/>
      <c r="IQ180" s="58"/>
      <c r="IR180" s="58"/>
      <c r="IS180" s="58"/>
      <c r="IT180" s="58"/>
      <c r="IU180" s="58"/>
    </row>
    <row r="181" spans="13:255" s="57" customFormat="1" ht="13.65" customHeight="1" x14ac:dyDescent="0.3">
      <c r="M181" s="40"/>
      <c r="N181" s="40"/>
      <c r="O181" s="40"/>
      <c r="P181" s="41"/>
      <c r="Q181" s="41"/>
      <c r="R181" s="41"/>
      <c r="S181" s="41"/>
      <c r="T181" s="40"/>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c r="CA181" s="58"/>
      <c r="CB181" s="58"/>
      <c r="CC181" s="58"/>
      <c r="CD181" s="58"/>
      <c r="CE181" s="58"/>
      <c r="CF181" s="58"/>
      <c r="CG181" s="58"/>
      <c r="CH181" s="58"/>
      <c r="CI181" s="58"/>
      <c r="CJ181" s="58"/>
      <c r="CK181" s="58"/>
      <c r="CL181" s="58"/>
      <c r="CM181" s="58"/>
      <c r="CN181" s="58"/>
      <c r="CO181" s="58"/>
      <c r="CP181" s="58"/>
      <c r="CQ181" s="58"/>
      <c r="CR181" s="44"/>
      <c r="CS181" s="44"/>
      <c r="CT181" s="44"/>
      <c r="CU181" s="48"/>
      <c r="CV181" s="142"/>
      <c r="CW181" s="44"/>
      <c r="CX181" s="83"/>
      <c r="CY181" s="83"/>
      <c r="CZ181" s="83"/>
      <c r="DA181" s="44"/>
      <c r="DB181" s="143"/>
      <c r="DC181" s="44"/>
      <c r="DD181" s="44"/>
      <c r="DE181" s="44"/>
      <c r="DF181" s="44"/>
      <c r="DG181" s="44"/>
      <c r="DH181" s="44"/>
      <c r="DI181" s="75"/>
      <c r="DM181" s="87"/>
      <c r="DN181" s="99"/>
      <c r="DQ181" s="87"/>
      <c r="DR181" s="99"/>
      <c r="DS181" s="44"/>
      <c r="DT181" s="83"/>
      <c r="DU181" s="83"/>
      <c r="DV181" s="83"/>
      <c r="DW181" s="44"/>
      <c r="DX181" s="144"/>
      <c r="DY181" s="144"/>
      <c r="DZ181" s="144"/>
      <c r="EA181" s="58"/>
      <c r="EB181" s="58"/>
      <c r="EC181" s="58"/>
      <c r="ED181" s="58"/>
      <c r="EE181" s="58"/>
      <c r="EF181" s="58"/>
      <c r="EG181" s="58"/>
      <c r="EH181" s="58"/>
      <c r="EI181" s="58"/>
      <c r="EJ181" s="58"/>
      <c r="EK181" s="58"/>
      <c r="EL181" s="58"/>
      <c r="EM181" s="58"/>
      <c r="EN181" s="58"/>
      <c r="EO181" s="58"/>
      <c r="EP181" s="58"/>
      <c r="EQ181" s="58"/>
      <c r="ER181" s="58"/>
      <c r="ES181" s="58"/>
      <c r="ET181" s="58"/>
      <c r="EU181" s="58"/>
      <c r="EV181" s="58"/>
      <c r="EW181" s="58"/>
      <c r="EX181" s="58"/>
      <c r="EY181" s="58"/>
      <c r="EZ181" s="58"/>
      <c r="FA181" s="58"/>
      <c r="FB181" s="58"/>
      <c r="FC181" s="58"/>
      <c r="FD181" s="58"/>
      <c r="FE181" s="58"/>
      <c r="FF181" s="58"/>
      <c r="FG181" s="58"/>
      <c r="FH181" s="58"/>
      <c r="FI181" s="58"/>
      <c r="FJ181" s="58"/>
      <c r="FK181" s="58"/>
      <c r="FL181" s="58"/>
      <c r="FM181" s="58"/>
      <c r="FN181" s="58"/>
      <c r="FO181" s="58"/>
      <c r="FP181" s="58"/>
      <c r="FQ181" s="58"/>
      <c r="FR181" s="58"/>
      <c r="FS181" s="58"/>
      <c r="FT181" s="58"/>
      <c r="FU181" s="58"/>
      <c r="FV181" s="58"/>
      <c r="FW181" s="58"/>
      <c r="FX181" s="58"/>
      <c r="FY181" s="58"/>
      <c r="FZ181" s="58"/>
      <c r="GA181" s="58"/>
      <c r="GB181" s="58"/>
      <c r="GC181" s="58"/>
      <c r="GD181" s="58"/>
      <c r="GE181" s="58"/>
      <c r="GF181" s="58"/>
      <c r="GG181" s="58"/>
      <c r="GH181" s="58"/>
      <c r="GI181" s="58"/>
      <c r="GJ181" s="58"/>
      <c r="GK181" s="58"/>
      <c r="GL181" s="58"/>
      <c r="GM181" s="58"/>
      <c r="GN181" s="58"/>
      <c r="GO181" s="58"/>
      <c r="GP181" s="58"/>
      <c r="GQ181" s="58"/>
      <c r="GR181" s="58"/>
      <c r="GS181" s="58"/>
      <c r="GT181" s="58"/>
      <c r="GU181" s="58"/>
      <c r="GV181" s="58"/>
      <c r="GW181" s="58"/>
      <c r="GX181" s="58"/>
      <c r="GY181" s="58"/>
      <c r="GZ181" s="58"/>
      <c r="HA181" s="58"/>
      <c r="HB181" s="58"/>
      <c r="HC181" s="58"/>
      <c r="HD181" s="58"/>
      <c r="HE181" s="58"/>
      <c r="HF181" s="58"/>
      <c r="HG181" s="58"/>
      <c r="HH181" s="58"/>
      <c r="HI181" s="58"/>
      <c r="HJ181" s="58"/>
      <c r="HK181" s="58"/>
      <c r="HL181" s="58"/>
      <c r="HM181" s="58"/>
      <c r="HN181" s="58"/>
      <c r="HO181" s="58"/>
      <c r="HP181" s="58"/>
      <c r="HQ181" s="58"/>
      <c r="HR181" s="58"/>
      <c r="HS181" s="58"/>
      <c r="HT181" s="58"/>
      <c r="HU181" s="58"/>
      <c r="HV181" s="58"/>
      <c r="HW181" s="58"/>
      <c r="HX181" s="58"/>
      <c r="HY181" s="58"/>
      <c r="HZ181" s="58"/>
      <c r="IA181" s="58"/>
      <c r="IB181" s="58"/>
      <c r="IC181" s="58"/>
      <c r="ID181" s="58"/>
      <c r="IE181" s="58"/>
      <c r="IF181" s="58"/>
      <c r="IG181" s="58"/>
      <c r="IH181" s="58"/>
      <c r="II181" s="58"/>
      <c r="IJ181" s="58"/>
      <c r="IK181" s="58"/>
      <c r="IL181" s="58"/>
      <c r="IM181" s="58"/>
      <c r="IN181" s="58"/>
      <c r="IO181" s="58"/>
      <c r="IP181" s="58"/>
      <c r="IQ181" s="58"/>
      <c r="IR181" s="58"/>
      <c r="IS181" s="58"/>
      <c r="IT181" s="58"/>
      <c r="IU181" s="58"/>
    </row>
    <row r="182" spans="13:255" s="57" customFormat="1" ht="13.65" customHeight="1" x14ac:dyDescent="0.3">
      <c r="M182" s="40"/>
      <c r="N182" s="40"/>
      <c r="O182" s="40"/>
      <c r="P182" s="41"/>
      <c r="Q182" s="41"/>
      <c r="R182" s="41"/>
      <c r="S182" s="41"/>
      <c r="T182" s="40"/>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c r="CA182" s="58"/>
      <c r="CB182" s="58"/>
      <c r="CC182" s="58"/>
      <c r="CD182" s="58"/>
      <c r="CE182" s="58"/>
      <c r="CF182" s="58"/>
      <c r="CG182" s="58"/>
      <c r="CH182" s="58"/>
      <c r="CI182" s="58"/>
      <c r="CJ182" s="58"/>
      <c r="CK182" s="58"/>
      <c r="CL182" s="58"/>
      <c r="CM182" s="58"/>
      <c r="CN182" s="58"/>
      <c r="CO182" s="58"/>
      <c r="CP182" s="58"/>
      <c r="CQ182" s="58"/>
      <c r="CR182" s="44"/>
      <c r="CS182" s="44"/>
      <c r="CT182" s="44"/>
      <c r="CU182" s="48"/>
      <c r="CV182" s="142"/>
      <c r="CW182" s="44"/>
      <c r="CX182" s="83"/>
      <c r="CY182" s="83"/>
      <c r="CZ182" s="83"/>
      <c r="DA182" s="44"/>
      <c r="DB182" s="143"/>
      <c r="DC182" s="44"/>
      <c r="DD182" s="44"/>
      <c r="DE182" s="44"/>
      <c r="DF182" s="44"/>
      <c r="DG182" s="44"/>
      <c r="DH182" s="44"/>
      <c r="DI182" s="75"/>
      <c r="DM182" s="87"/>
      <c r="DN182" s="99"/>
      <c r="DQ182" s="87"/>
      <c r="DR182" s="99"/>
      <c r="DS182" s="44"/>
      <c r="DT182" s="83"/>
      <c r="DU182" s="83"/>
      <c r="DV182" s="83"/>
      <c r="DW182" s="44"/>
      <c r="DX182" s="144"/>
      <c r="DY182" s="144"/>
      <c r="DZ182" s="144"/>
      <c r="EA182" s="58"/>
      <c r="EB182" s="58"/>
      <c r="EC182" s="58"/>
      <c r="ED182" s="58"/>
      <c r="EE182" s="58"/>
      <c r="EF182" s="58"/>
      <c r="EG182" s="58"/>
      <c r="EH182" s="58"/>
      <c r="EI182" s="58"/>
      <c r="EJ182" s="58"/>
      <c r="EK182" s="58"/>
      <c r="EL182" s="58"/>
      <c r="EM182" s="58"/>
      <c r="EN182" s="58"/>
      <c r="EO182" s="58"/>
      <c r="EP182" s="58"/>
      <c r="EQ182" s="58"/>
      <c r="ER182" s="58"/>
      <c r="ES182" s="58"/>
      <c r="ET182" s="58"/>
      <c r="EU182" s="58"/>
      <c r="EV182" s="58"/>
      <c r="EW182" s="58"/>
      <c r="EX182" s="58"/>
      <c r="EY182" s="58"/>
      <c r="EZ182" s="58"/>
      <c r="FA182" s="58"/>
      <c r="FB182" s="58"/>
      <c r="FC182" s="58"/>
      <c r="FD182" s="58"/>
      <c r="FE182" s="58"/>
      <c r="FF182" s="58"/>
      <c r="FG182" s="58"/>
      <c r="FH182" s="58"/>
      <c r="FI182" s="58"/>
      <c r="FJ182" s="58"/>
      <c r="FK182" s="58"/>
      <c r="FL182" s="58"/>
      <c r="FM182" s="58"/>
      <c r="FN182" s="58"/>
      <c r="FO182" s="58"/>
      <c r="FP182" s="58"/>
      <c r="FQ182" s="58"/>
      <c r="FR182" s="58"/>
      <c r="FS182" s="58"/>
      <c r="FT182" s="58"/>
      <c r="FU182" s="58"/>
      <c r="FV182" s="58"/>
      <c r="FW182" s="58"/>
      <c r="FX182" s="58"/>
      <c r="FY182" s="58"/>
      <c r="FZ182" s="58"/>
      <c r="GA182" s="58"/>
      <c r="GB182" s="58"/>
      <c r="GC182" s="58"/>
      <c r="GD182" s="58"/>
      <c r="GE182" s="58"/>
      <c r="GF182" s="58"/>
      <c r="GG182" s="58"/>
      <c r="GH182" s="58"/>
      <c r="GI182" s="58"/>
      <c r="GJ182" s="58"/>
      <c r="GK182" s="58"/>
      <c r="GL182" s="58"/>
      <c r="GM182" s="58"/>
      <c r="GN182" s="58"/>
      <c r="GO182" s="58"/>
      <c r="GP182" s="58"/>
      <c r="GQ182" s="58"/>
      <c r="GR182" s="58"/>
      <c r="GS182" s="58"/>
      <c r="GT182" s="58"/>
      <c r="GU182" s="58"/>
      <c r="GV182" s="58"/>
      <c r="GW182" s="58"/>
      <c r="GX182" s="58"/>
      <c r="GY182" s="58"/>
      <c r="GZ182" s="58"/>
      <c r="HA182" s="58"/>
      <c r="HB182" s="58"/>
      <c r="HC182" s="58"/>
      <c r="HD182" s="58"/>
      <c r="HE182" s="58"/>
      <c r="HF182" s="58"/>
      <c r="HG182" s="58"/>
      <c r="HH182" s="58"/>
      <c r="HI182" s="58"/>
      <c r="HJ182" s="58"/>
      <c r="HK182" s="58"/>
      <c r="HL182" s="58"/>
      <c r="HM182" s="58"/>
      <c r="HN182" s="58"/>
      <c r="HO182" s="58"/>
      <c r="HP182" s="58"/>
      <c r="HQ182" s="58"/>
      <c r="HR182" s="58"/>
      <c r="HS182" s="58"/>
      <c r="HT182" s="58"/>
      <c r="HU182" s="58"/>
      <c r="HV182" s="58"/>
      <c r="HW182" s="58"/>
      <c r="HX182" s="58"/>
      <c r="HY182" s="58"/>
      <c r="HZ182" s="58"/>
      <c r="IA182" s="58"/>
      <c r="IB182" s="58"/>
      <c r="IC182" s="58"/>
      <c r="ID182" s="58"/>
      <c r="IE182" s="58"/>
      <c r="IF182" s="58"/>
      <c r="IG182" s="58"/>
      <c r="IH182" s="58"/>
      <c r="II182" s="58"/>
      <c r="IJ182" s="58"/>
      <c r="IK182" s="58"/>
      <c r="IL182" s="58"/>
      <c r="IM182" s="58"/>
      <c r="IN182" s="58"/>
      <c r="IO182" s="58"/>
      <c r="IP182" s="58"/>
      <c r="IQ182" s="58"/>
      <c r="IR182" s="58"/>
      <c r="IS182" s="58"/>
      <c r="IT182" s="58"/>
      <c r="IU182" s="58"/>
    </row>
    <row r="183" spans="13:255" s="57" customFormat="1" ht="13.65" customHeight="1" x14ac:dyDescent="0.3">
      <c r="M183" s="40"/>
      <c r="N183" s="40"/>
      <c r="O183" s="40"/>
      <c r="P183" s="41"/>
      <c r="Q183" s="41"/>
      <c r="R183" s="41"/>
      <c r="S183" s="41"/>
      <c r="T183" s="40"/>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c r="CA183" s="58"/>
      <c r="CB183" s="58"/>
      <c r="CC183" s="58"/>
      <c r="CD183" s="58"/>
      <c r="CE183" s="58"/>
      <c r="CF183" s="58"/>
      <c r="CG183" s="58"/>
      <c r="CH183" s="58"/>
      <c r="CI183" s="58"/>
      <c r="CJ183" s="58"/>
      <c r="CK183" s="58"/>
      <c r="CL183" s="58"/>
      <c r="CM183" s="58"/>
      <c r="CN183" s="58"/>
      <c r="CO183" s="58"/>
      <c r="CP183" s="58"/>
      <c r="CQ183" s="58"/>
      <c r="CR183" s="44"/>
      <c r="CS183" s="44"/>
      <c r="CT183" s="44"/>
      <c r="CU183" s="48"/>
      <c r="CV183" s="142"/>
      <c r="CW183" s="44"/>
      <c r="CX183" s="83"/>
      <c r="CY183" s="83"/>
      <c r="CZ183" s="83"/>
      <c r="DA183" s="44"/>
      <c r="DB183" s="143"/>
      <c r="DC183" s="44"/>
      <c r="DD183" s="44"/>
      <c r="DE183" s="44"/>
      <c r="DF183" s="44"/>
      <c r="DG183" s="44"/>
      <c r="DH183" s="44"/>
      <c r="DI183" s="75"/>
      <c r="DM183" s="87"/>
      <c r="DN183" s="99"/>
      <c r="DQ183" s="87"/>
      <c r="DR183" s="99"/>
      <c r="DS183" s="44"/>
      <c r="DT183" s="83"/>
      <c r="DU183" s="83"/>
      <c r="DV183" s="83"/>
      <c r="DW183" s="44"/>
      <c r="DX183" s="144"/>
      <c r="DY183" s="144"/>
      <c r="DZ183" s="144"/>
      <c r="EA183" s="58"/>
      <c r="EB183" s="58"/>
      <c r="EC183" s="58"/>
      <c r="ED183" s="58"/>
      <c r="EE183" s="58"/>
      <c r="EF183" s="58"/>
      <c r="EG183" s="58"/>
      <c r="EH183" s="58"/>
      <c r="EI183" s="58"/>
      <c r="EJ183" s="58"/>
      <c r="EK183" s="58"/>
      <c r="EL183" s="58"/>
      <c r="EM183" s="58"/>
      <c r="EN183" s="58"/>
      <c r="EO183" s="58"/>
      <c r="EP183" s="58"/>
      <c r="EQ183" s="58"/>
      <c r="ER183" s="58"/>
      <c r="ES183" s="58"/>
      <c r="ET183" s="58"/>
      <c r="EU183" s="58"/>
      <c r="EV183" s="58"/>
      <c r="EW183" s="58"/>
      <c r="EX183" s="58"/>
      <c r="EY183" s="58"/>
      <c r="EZ183" s="58"/>
      <c r="FA183" s="58"/>
      <c r="FB183" s="58"/>
      <c r="FC183" s="58"/>
      <c r="FD183" s="58"/>
      <c r="FE183" s="58"/>
      <c r="FF183" s="58"/>
      <c r="FG183" s="58"/>
      <c r="FH183" s="58"/>
      <c r="FI183" s="58"/>
      <c r="FJ183" s="58"/>
      <c r="FK183" s="58"/>
      <c r="FL183" s="58"/>
      <c r="FM183" s="58"/>
      <c r="FN183" s="58"/>
      <c r="FO183" s="58"/>
      <c r="FP183" s="58"/>
      <c r="FQ183" s="58"/>
      <c r="FR183" s="58"/>
      <c r="FS183" s="58"/>
      <c r="FT183" s="58"/>
      <c r="FU183" s="58"/>
      <c r="FV183" s="58"/>
      <c r="FW183" s="58"/>
      <c r="FX183" s="58"/>
      <c r="FY183" s="58"/>
      <c r="FZ183" s="58"/>
      <c r="GA183" s="58"/>
      <c r="GB183" s="58"/>
      <c r="GC183" s="58"/>
      <c r="GD183" s="58"/>
      <c r="GE183" s="58"/>
      <c r="GF183" s="58"/>
      <c r="GG183" s="58"/>
      <c r="GH183" s="58"/>
      <c r="GI183" s="58"/>
      <c r="GJ183" s="58"/>
      <c r="GK183" s="58"/>
      <c r="GL183" s="58"/>
      <c r="GM183" s="58"/>
      <c r="GN183" s="58"/>
      <c r="GO183" s="58"/>
      <c r="GP183" s="58"/>
      <c r="GQ183" s="58"/>
      <c r="GR183" s="58"/>
      <c r="GS183" s="58"/>
      <c r="GT183" s="58"/>
      <c r="GU183" s="58"/>
      <c r="GV183" s="58"/>
      <c r="GW183" s="58"/>
      <c r="GX183" s="58"/>
      <c r="GY183" s="58"/>
      <c r="GZ183" s="58"/>
      <c r="HA183" s="58"/>
      <c r="HB183" s="58"/>
      <c r="HC183" s="58"/>
      <c r="HD183" s="58"/>
      <c r="HE183" s="58"/>
      <c r="HF183" s="58"/>
      <c r="HG183" s="58"/>
      <c r="HH183" s="58"/>
      <c r="HI183" s="58"/>
      <c r="HJ183" s="58"/>
      <c r="HK183" s="58"/>
      <c r="HL183" s="58"/>
      <c r="HM183" s="58"/>
      <c r="HN183" s="58"/>
      <c r="HO183" s="58"/>
      <c r="HP183" s="58"/>
      <c r="HQ183" s="58"/>
      <c r="HR183" s="58"/>
      <c r="HS183" s="58"/>
      <c r="HT183" s="58"/>
      <c r="HU183" s="58"/>
      <c r="HV183" s="58"/>
      <c r="HW183" s="58"/>
      <c r="HX183" s="58"/>
      <c r="HY183" s="58"/>
      <c r="HZ183" s="58"/>
      <c r="IA183" s="58"/>
      <c r="IB183" s="58"/>
      <c r="IC183" s="58"/>
      <c r="ID183" s="58"/>
      <c r="IE183" s="58"/>
      <c r="IF183" s="58"/>
      <c r="IG183" s="58"/>
      <c r="IH183" s="58"/>
      <c r="II183" s="58"/>
      <c r="IJ183" s="58"/>
      <c r="IK183" s="58"/>
      <c r="IL183" s="58"/>
      <c r="IM183" s="58"/>
      <c r="IN183" s="58"/>
      <c r="IO183" s="58"/>
      <c r="IP183" s="58"/>
      <c r="IQ183" s="58"/>
      <c r="IR183" s="58"/>
      <c r="IS183" s="58"/>
      <c r="IT183" s="58"/>
      <c r="IU183" s="58"/>
    </row>
    <row r="184" spans="13:255" s="57" customFormat="1" ht="13.65" customHeight="1" x14ac:dyDescent="0.3">
      <c r="M184" s="40"/>
      <c r="N184" s="40"/>
      <c r="O184" s="40"/>
      <c r="P184" s="41"/>
      <c r="Q184" s="41"/>
      <c r="R184" s="41"/>
      <c r="S184" s="41"/>
      <c r="T184" s="40"/>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c r="CH184" s="58"/>
      <c r="CI184" s="58"/>
      <c r="CJ184" s="58"/>
      <c r="CK184" s="58"/>
      <c r="CL184" s="58"/>
      <c r="CM184" s="58"/>
      <c r="CN184" s="58"/>
      <c r="CO184" s="58"/>
      <c r="CP184" s="58"/>
      <c r="CQ184" s="58"/>
      <c r="CR184" s="44"/>
      <c r="CS184" s="44"/>
      <c r="CT184" s="44"/>
      <c r="CU184" s="48"/>
      <c r="CV184" s="142"/>
      <c r="CW184" s="44"/>
      <c r="CX184" s="83"/>
      <c r="CY184" s="83"/>
      <c r="CZ184" s="83"/>
      <c r="DA184" s="44"/>
      <c r="DB184" s="143"/>
      <c r="DC184" s="44"/>
      <c r="DD184" s="44"/>
      <c r="DE184" s="44"/>
      <c r="DF184" s="44"/>
      <c r="DG184" s="44"/>
      <c r="DH184" s="44"/>
      <c r="DI184" s="75"/>
      <c r="DM184" s="87"/>
      <c r="DN184" s="99"/>
      <c r="DQ184" s="87"/>
      <c r="DR184" s="99"/>
      <c r="DS184" s="44"/>
      <c r="DT184" s="83"/>
      <c r="DU184" s="83"/>
      <c r="DV184" s="83"/>
      <c r="DW184" s="44"/>
      <c r="DX184" s="144"/>
      <c r="DY184" s="144"/>
      <c r="DZ184" s="144"/>
      <c r="EA184" s="58"/>
      <c r="EB184" s="58"/>
      <c r="EC184" s="58"/>
      <c r="ED184" s="58"/>
      <c r="EE184" s="58"/>
      <c r="EF184" s="58"/>
      <c r="EG184" s="58"/>
      <c r="EH184" s="58"/>
      <c r="EI184" s="58"/>
      <c r="EJ184" s="58"/>
      <c r="EK184" s="58"/>
      <c r="EL184" s="58"/>
      <c r="EM184" s="58"/>
      <c r="EN184" s="58"/>
      <c r="EO184" s="58"/>
      <c r="EP184" s="58"/>
      <c r="EQ184" s="58"/>
      <c r="ER184" s="58"/>
      <c r="ES184" s="58"/>
      <c r="ET184" s="58"/>
      <c r="EU184" s="58"/>
      <c r="EV184" s="58"/>
      <c r="EW184" s="58"/>
      <c r="EX184" s="58"/>
      <c r="EY184" s="58"/>
      <c r="EZ184" s="58"/>
      <c r="FA184" s="58"/>
      <c r="FB184" s="58"/>
      <c r="FC184" s="58"/>
      <c r="FD184" s="58"/>
      <c r="FE184" s="58"/>
      <c r="FF184" s="58"/>
      <c r="FG184" s="58"/>
      <c r="FH184" s="58"/>
      <c r="FI184" s="58"/>
      <c r="FJ184" s="58"/>
      <c r="FK184" s="58"/>
      <c r="FL184" s="58"/>
      <c r="FM184" s="58"/>
      <c r="FN184" s="58"/>
      <c r="FO184" s="58"/>
      <c r="FP184" s="58"/>
      <c r="FQ184" s="58"/>
      <c r="FR184" s="58"/>
      <c r="FS184" s="58"/>
      <c r="FT184" s="58"/>
      <c r="FU184" s="58"/>
      <c r="FV184" s="58"/>
      <c r="FW184" s="58"/>
      <c r="FX184" s="58"/>
      <c r="FY184" s="58"/>
      <c r="FZ184" s="58"/>
      <c r="GA184" s="58"/>
      <c r="GB184" s="58"/>
      <c r="GC184" s="58"/>
      <c r="GD184" s="58"/>
      <c r="GE184" s="58"/>
      <c r="GF184" s="58"/>
      <c r="GG184" s="58"/>
      <c r="GH184" s="58"/>
      <c r="GI184" s="58"/>
      <c r="GJ184" s="58"/>
      <c r="GK184" s="58"/>
      <c r="GL184" s="58"/>
      <c r="GM184" s="58"/>
      <c r="GN184" s="58"/>
      <c r="GO184" s="58"/>
      <c r="GP184" s="58"/>
      <c r="GQ184" s="58"/>
      <c r="GR184" s="58"/>
      <c r="GS184" s="58"/>
      <c r="GT184" s="58"/>
      <c r="GU184" s="58"/>
      <c r="GV184" s="58"/>
      <c r="GW184" s="58"/>
      <c r="GX184" s="58"/>
      <c r="GY184" s="58"/>
      <c r="GZ184" s="58"/>
      <c r="HA184" s="58"/>
      <c r="HB184" s="58"/>
      <c r="HC184" s="58"/>
      <c r="HD184" s="58"/>
      <c r="HE184" s="58"/>
      <c r="HF184" s="58"/>
      <c r="HG184" s="58"/>
      <c r="HH184" s="58"/>
      <c r="HI184" s="58"/>
      <c r="HJ184" s="58"/>
      <c r="HK184" s="58"/>
      <c r="HL184" s="58"/>
      <c r="HM184" s="58"/>
      <c r="HN184" s="58"/>
      <c r="HO184" s="58"/>
      <c r="HP184" s="58"/>
      <c r="HQ184" s="58"/>
      <c r="HR184" s="58"/>
      <c r="HS184" s="58"/>
      <c r="HT184" s="58"/>
      <c r="HU184" s="58"/>
      <c r="HV184" s="58"/>
      <c r="HW184" s="58"/>
      <c r="HX184" s="58"/>
      <c r="HY184" s="58"/>
      <c r="HZ184" s="58"/>
      <c r="IA184" s="58"/>
      <c r="IB184" s="58"/>
      <c r="IC184" s="58"/>
      <c r="ID184" s="58"/>
      <c r="IE184" s="58"/>
      <c r="IF184" s="58"/>
      <c r="IG184" s="58"/>
      <c r="IH184" s="58"/>
      <c r="II184" s="58"/>
      <c r="IJ184" s="58"/>
      <c r="IK184" s="58"/>
      <c r="IL184" s="58"/>
      <c r="IM184" s="58"/>
      <c r="IN184" s="58"/>
      <c r="IO184" s="58"/>
      <c r="IP184" s="58"/>
      <c r="IQ184" s="58"/>
      <c r="IR184" s="58"/>
      <c r="IS184" s="58"/>
      <c r="IT184" s="58"/>
      <c r="IU184" s="58"/>
    </row>
    <row r="185" spans="13:255" s="57" customFormat="1" ht="13.65" customHeight="1" x14ac:dyDescent="0.3">
      <c r="M185" s="40"/>
      <c r="N185" s="40"/>
      <c r="O185" s="40"/>
      <c r="P185" s="41"/>
      <c r="Q185" s="41"/>
      <c r="R185" s="41"/>
      <c r="S185" s="41"/>
      <c r="T185" s="40"/>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c r="CH185" s="58"/>
      <c r="CI185" s="58"/>
      <c r="CJ185" s="58"/>
      <c r="CK185" s="58"/>
      <c r="CL185" s="58"/>
      <c r="CM185" s="58"/>
      <c r="CN185" s="58"/>
      <c r="CO185" s="58"/>
      <c r="CP185" s="58"/>
      <c r="CQ185" s="58"/>
      <c r="CR185" s="44"/>
      <c r="CS185" s="44"/>
      <c r="CT185" s="44"/>
      <c r="CU185" s="48"/>
      <c r="CV185" s="142"/>
      <c r="CW185" s="44"/>
      <c r="CX185" s="83"/>
      <c r="CY185" s="83"/>
      <c r="CZ185" s="83"/>
      <c r="DA185" s="44"/>
      <c r="DB185" s="143"/>
      <c r="DC185" s="44"/>
      <c r="DD185" s="44"/>
      <c r="DE185" s="44"/>
      <c r="DF185" s="44"/>
      <c r="DG185" s="44"/>
      <c r="DH185" s="44"/>
      <c r="DI185" s="75"/>
      <c r="DM185" s="87"/>
      <c r="DN185" s="99"/>
      <c r="DQ185" s="87"/>
      <c r="DR185" s="99"/>
      <c r="DS185" s="44"/>
      <c r="DT185" s="83"/>
      <c r="DU185" s="83"/>
      <c r="DV185" s="83"/>
      <c r="DW185" s="44"/>
      <c r="DX185" s="144"/>
      <c r="DY185" s="144"/>
      <c r="DZ185" s="144"/>
      <c r="EA185" s="58"/>
      <c r="EB185" s="58"/>
      <c r="EC185" s="58"/>
      <c r="ED185" s="58"/>
      <c r="EE185" s="58"/>
      <c r="EF185" s="58"/>
      <c r="EG185" s="58"/>
      <c r="EH185" s="58"/>
      <c r="EI185" s="58"/>
      <c r="EJ185" s="58"/>
      <c r="EK185" s="58"/>
      <c r="EL185" s="58"/>
      <c r="EM185" s="58"/>
      <c r="EN185" s="58"/>
      <c r="EO185" s="58"/>
      <c r="EP185" s="58"/>
      <c r="EQ185" s="58"/>
      <c r="ER185" s="58"/>
      <c r="ES185" s="58"/>
      <c r="ET185" s="58"/>
      <c r="EU185" s="58"/>
      <c r="EV185" s="58"/>
      <c r="EW185" s="58"/>
      <c r="EX185" s="58"/>
      <c r="EY185" s="58"/>
      <c r="EZ185" s="58"/>
      <c r="FA185" s="58"/>
      <c r="FB185" s="58"/>
      <c r="FC185" s="58"/>
      <c r="FD185" s="58"/>
      <c r="FE185" s="58"/>
      <c r="FF185" s="58"/>
      <c r="FG185" s="58"/>
      <c r="FH185" s="58"/>
      <c r="FI185" s="58"/>
      <c r="FJ185" s="58"/>
      <c r="FK185" s="58"/>
      <c r="FL185" s="58"/>
      <c r="FM185" s="58"/>
      <c r="FN185" s="58"/>
      <c r="FO185" s="58"/>
      <c r="FP185" s="58"/>
      <c r="FQ185" s="58"/>
      <c r="FR185" s="58"/>
      <c r="FS185" s="58"/>
      <c r="FT185" s="58"/>
      <c r="FU185" s="58"/>
      <c r="FV185" s="58"/>
      <c r="FW185" s="58"/>
      <c r="FX185" s="58"/>
      <c r="FY185" s="58"/>
      <c r="FZ185" s="58"/>
      <c r="GA185" s="58"/>
      <c r="GB185" s="58"/>
      <c r="GC185" s="58"/>
      <c r="GD185" s="58"/>
      <c r="GE185" s="58"/>
      <c r="GF185" s="58"/>
      <c r="GG185" s="58"/>
      <c r="GH185" s="58"/>
      <c r="GI185" s="58"/>
      <c r="GJ185" s="58"/>
      <c r="GK185" s="58"/>
      <c r="GL185" s="58"/>
      <c r="GM185" s="58"/>
      <c r="GN185" s="58"/>
      <c r="GO185" s="58"/>
      <c r="GP185" s="58"/>
      <c r="GQ185" s="58"/>
      <c r="GR185" s="58"/>
      <c r="GS185" s="58"/>
      <c r="GT185" s="58"/>
      <c r="GU185" s="58"/>
      <c r="GV185" s="58"/>
      <c r="GW185" s="58"/>
      <c r="GX185" s="58"/>
      <c r="GY185" s="58"/>
      <c r="GZ185" s="58"/>
      <c r="HA185" s="58"/>
      <c r="HB185" s="58"/>
      <c r="HC185" s="58"/>
      <c r="HD185" s="58"/>
      <c r="HE185" s="58"/>
      <c r="HF185" s="58"/>
      <c r="HG185" s="58"/>
      <c r="HH185" s="58"/>
      <c r="HI185" s="58"/>
      <c r="HJ185" s="58"/>
      <c r="HK185" s="58"/>
      <c r="HL185" s="58"/>
      <c r="HM185" s="58"/>
      <c r="HN185" s="58"/>
      <c r="HO185" s="58"/>
      <c r="HP185" s="58"/>
      <c r="HQ185" s="58"/>
      <c r="HR185" s="58"/>
      <c r="HS185" s="58"/>
      <c r="HT185" s="58"/>
      <c r="HU185" s="58"/>
      <c r="HV185" s="58"/>
      <c r="HW185" s="58"/>
      <c r="HX185" s="58"/>
      <c r="HY185" s="58"/>
      <c r="HZ185" s="58"/>
      <c r="IA185" s="58"/>
      <c r="IB185" s="58"/>
      <c r="IC185" s="58"/>
      <c r="ID185" s="58"/>
      <c r="IE185" s="58"/>
      <c r="IF185" s="58"/>
      <c r="IG185" s="58"/>
      <c r="IH185" s="58"/>
      <c r="II185" s="58"/>
      <c r="IJ185" s="58"/>
      <c r="IK185" s="58"/>
      <c r="IL185" s="58"/>
      <c r="IM185" s="58"/>
      <c r="IN185" s="58"/>
      <c r="IO185" s="58"/>
      <c r="IP185" s="58"/>
      <c r="IQ185" s="58"/>
      <c r="IR185" s="58"/>
      <c r="IS185" s="58"/>
      <c r="IT185" s="58"/>
      <c r="IU185" s="58"/>
    </row>
    <row r="186" spans="13:255" s="57" customFormat="1" ht="13.65" customHeight="1" x14ac:dyDescent="0.3">
      <c r="M186" s="40"/>
      <c r="N186" s="40"/>
      <c r="O186" s="40"/>
      <c r="P186" s="41"/>
      <c r="Q186" s="41"/>
      <c r="R186" s="41"/>
      <c r="S186" s="41"/>
      <c r="T186" s="40"/>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c r="CH186" s="58"/>
      <c r="CI186" s="58"/>
      <c r="CJ186" s="58"/>
      <c r="CK186" s="58"/>
      <c r="CL186" s="58"/>
      <c r="CM186" s="58"/>
      <c r="CN186" s="58"/>
      <c r="CO186" s="58"/>
      <c r="CP186" s="58"/>
      <c r="CQ186" s="58"/>
      <c r="CR186" s="44"/>
      <c r="CS186" s="44"/>
      <c r="CT186" s="44"/>
      <c r="CU186" s="48"/>
      <c r="CV186" s="142"/>
      <c r="CW186" s="44"/>
      <c r="CX186" s="83"/>
      <c r="CY186" s="83"/>
      <c r="CZ186" s="83"/>
      <c r="DA186" s="44"/>
      <c r="DB186" s="143"/>
      <c r="DC186" s="44"/>
      <c r="DD186" s="44"/>
      <c r="DE186" s="44"/>
      <c r="DF186" s="44"/>
      <c r="DG186" s="44"/>
      <c r="DH186" s="44"/>
      <c r="DI186" s="75"/>
      <c r="DM186" s="87"/>
      <c r="DN186" s="99"/>
      <c r="DQ186" s="87"/>
      <c r="DR186" s="99"/>
      <c r="DS186" s="44"/>
      <c r="DT186" s="83"/>
      <c r="DU186" s="83"/>
      <c r="DV186" s="83"/>
      <c r="DW186" s="44"/>
      <c r="DX186" s="144"/>
      <c r="DY186" s="144"/>
      <c r="DZ186" s="144"/>
      <c r="EA186" s="58"/>
      <c r="EB186" s="58"/>
      <c r="EC186" s="58"/>
      <c r="ED186" s="58"/>
      <c r="EE186" s="58"/>
      <c r="EF186" s="58"/>
      <c r="EG186" s="58"/>
      <c r="EH186" s="58"/>
      <c r="EI186" s="58"/>
      <c r="EJ186" s="58"/>
      <c r="EK186" s="58"/>
      <c r="EL186" s="58"/>
      <c r="EM186" s="58"/>
      <c r="EN186" s="58"/>
      <c r="EO186" s="58"/>
      <c r="EP186" s="58"/>
      <c r="EQ186" s="58"/>
      <c r="ER186" s="58"/>
      <c r="ES186" s="58"/>
      <c r="ET186" s="58"/>
      <c r="EU186" s="58"/>
      <c r="EV186" s="58"/>
      <c r="EW186" s="58"/>
      <c r="EX186" s="58"/>
      <c r="EY186" s="58"/>
      <c r="EZ186" s="58"/>
      <c r="FA186" s="58"/>
      <c r="FB186" s="58"/>
      <c r="FC186" s="58"/>
      <c r="FD186" s="58"/>
      <c r="FE186" s="58"/>
      <c r="FF186" s="58"/>
      <c r="FG186" s="58"/>
      <c r="FH186" s="58"/>
      <c r="FI186" s="58"/>
      <c r="FJ186" s="58"/>
      <c r="FK186" s="58"/>
      <c r="FL186" s="58"/>
      <c r="FM186" s="58"/>
      <c r="FN186" s="58"/>
      <c r="FO186" s="58"/>
      <c r="FP186" s="58"/>
      <c r="FQ186" s="58"/>
      <c r="FR186" s="58"/>
      <c r="FS186" s="58"/>
      <c r="FT186" s="58"/>
      <c r="FU186" s="58"/>
      <c r="FV186" s="58"/>
      <c r="FW186" s="58"/>
      <c r="FX186" s="58"/>
      <c r="FY186" s="58"/>
      <c r="FZ186" s="58"/>
      <c r="GA186" s="58"/>
      <c r="GB186" s="58"/>
      <c r="GC186" s="58"/>
      <c r="GD186" s="58"/>
      <c r="GE186" s="58"/>
      <c r="GF186" s="58"/>
      <c r="GG186" s="58"/>
      <c r="GH186" s="58"/>
      <c r="GI186" s="58"/>
      <c r="GJ186" s="58"/>
      <c r="GK186" s="58"/>
      <c r="GL186" s="58"/>
      <c r="GM186" s="58"/>
      <c r="GN186" s="58"/>
      <c r="GO186" s="58"/>
      <c r="GP186" s="58"/>
      <c r="GQ186" s="58"/>
      <c r="GR186" s="58"/>
      <c r="GS186" s="58"/>
      <c r="GT186" s="58"/>
      <c r="GU186" s="58"/>
      <c r="GV186" s="58"/>
      <c r="GW186" s="58"/>
      <c r="GX186" s="58"/>
      <c r="GY186" s="58"/>
      <c r="GZ186" s="58"/>
      <c r="HA186" s="58"/>
      <c r="HB186" s="58"/>
      <c r="HC186" s="58"/>
      <c r="HD186" s="58"/>
      <c r="HE186" s="58"/>
      <c r="HF186" s="58"/>
      <c r="HG186" s="58"/>
      <c r="HH186" s="58"/>
      <c r="HI186" s="58"/>
      <c r="HJ186" s="58"/>
      <c r="HK186" s="58"/>
      <c r="HL186" s="58"/>
      <c r="HM186" s="58"/>
      <c r="HN186" s="58"/>
      <c r="HO186" s="58"/>
      <c r="HP186" s="58"/>
      <c r="HQ186" s="58"/>
      <c r="HR186" s="58"/>
      <c r="HS186" s="58"/>
      <c r="HT186" s="58"/>
      <c r="HU186" s="58"/>
      <c r="HV186" s="58"/>
      <c r="HW186" s="58"/>
      <c r="HX186" s="58"/>
      <c r="HY186" s="58"/>
      <c r="HZ186" s="58"/>
      <c r="IA186" s="58"/>
      <c r="IB186" s="58"/>
      <c r="IC186" s="58"/>
      <c r="ID186" s="58"/>
      <c r="IE186" s="58"/>
      <c r="IF186" s="58"/>
      <c r="IG186" s="58"/>
      <c r="IH186" s="58"/>
      <c r="II186" s="58"/>
      <c r="IJ186" s="58"/>
      <c r="IK186" s="58"/>
      <c r="IL186" s="58"/>
      <c r="IM186" s="58"/>
      <c r="IN186" s="58"/>
      <c r="IO186" s="58"/>
      <c r="IP186" s="58"/>
      <c r="IQ186" s="58"/>
      <c r="IR186" s="58"/>
      <c r="IS186" s="58"/>
      <c r="IT186" s="58"/>
      <c r="IU186" s="58"/>
    </row>
    <row r="187" spans="13:255" s="57" customFormat="1" ht="13.65" customHeight="1" x14ac:dyDescent="0.3">
      <c r="M187" s="40"/>
      <c r="N187" s="40"/>
      <c r="O187" s="40"/>
      <c r="P187" s="41"/>
      <c r="Q187" s="41"/>
      <c r="R187" s="41"/>
      <c r="S187" s="41"/>
      <c r="T187" s="40"/>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c r="CH187" s="58"/>
      <c r="CI187" s="58"/>
      <c r="CJ187" s="58"/>
      <c r="CK187" s="58"/>
      <c r="CL187" s="58"/>
      <c r="CM187" s="58"/>
      <c r="CN187" s="58"/>
      <c r="CO187" s="58"/>
      <c r="CP187" s="58"/>
      <c r="CQ187" s="58"/>
      <c r="CR187" s="44"/>
      <c r="CS187" s="44"/>
      <c r="CT187" s="44"/>
      <c r="CU187" s="48"/>
      <c r="CV187" s="142"/>
      <c r="CW187" s="44"/>
      <c r="CX187" s="83"/>
      <c r="CY187" s="83"/>
      <c r="CZ187" s="83"/>
      <c r="DA187" s="44"/>
      <c r="DB187" s="143"/>
      <c r="DC187" s="44"/>
      <c r="DD187" s="44"/>
      <c r="DE187" s="44"/>
      <c r="DF187" s="44"/>
      <c r="DG187" s="44"/>
      <c r="DH187" s="44"/>
      <c r="DI187" s="75"/>
      <c r="DM187" s="87"/>
      <c r="DN187" s="99"/>
      <c r="DQ187" s="87"/>
      <c r="DR187" s="99"/>
      <c r="DS187" s="44"/>
      <c r="DT187" s="83"/>
      <c r="DU187" s="83"/>
      <c r="DV187" s="83"/>
      <c r="DW187" s="44"/>
      <c r="DX187" s="144"/>
      <c r="DY187" s="144"/>
      <c r="DZ187" s="144"/>
      <c r="EA187" s="58"/>
      <c r="EB187" s="58"/>
      <c r="EC187" s="58"/>
      <c r="ED187" s="58"/>
      <c r="EE187" s="58"/>
      <c r="EF187" s="58"/>
      <c r="EG187" s="58"/>
      <c r="EH187" s="58"/>
      <c r="EI187" s="58"/>
      <c r="EJ187" s="58"/>
      <c r="EK187" s="58"/>
      <c r="EL187" s="58"/>
      <c r="EM187" s="58"/>
      <c r="EN187" s="58"/>
      <c r="EO187" s="58"/>
      <c r="EP187" s="58"/>
      <c r="EQ187" s="58"/>
      <c r="ER187" s="58"/>
      <c r="ES187" s="58"/>
      <c r="ET187" s="58"/>
      <c r="EU187" s="58"/>
      <c r="EV187" s="58"/>
      <c r="EW187" s="58"/>
      <c r="EX187" s="58"/>
      <c r="EY187" s="58"/>
      <c r="EZ187" s="58"/>
      <c r="FA187" s="58"/>
      <c r="FB187" s="58"/>
      <c r="FC187" s="58"/>
      <c r="FD187" s="58"/>
      <c r="FE187" s="58"/>
      <c r="FF187" s="58"/>
      <c r="FG187" s="58"/>
      <c r="FH187" s="58"/>
      <c r="FI187" s="58"/>
      <c r="FJ187" s="58"/>
      <c r="FK187" s="58"/>
      <c r="FL187" s="58"/>
      <c r="FM187" s="58"/>
      <c r="FN187" s="58"/>
      <c r="FO187" s="58"/>
      <c r="FP187" s="58"/>
      <c r="FQ187" s="58"/>
      <c r="FR187" s="58"/>
      <c r="FS187" s="58"/>
      <c r="FT187" s="58"/>
      <c r="FU187" s="58"/>
      <c r="FV187" s="58"/>
      <c r="FW187" s="58"/>
      <c r="FX187" s="58"/>
      <c r="FY187" s="58"/>
      <c r="FZ187" s="58"/>
      <c r="GA187" s="58"/>
      <c r="GB187" s="58"/>
      <c r="GC187" s="58"/>
      <c r="GD187" s="58"/>
      <c r="GE187" s="58"/>
      <c r="GF187" s="58"/>
      <c r="GG187" s="58"/>
      <c r="GH187" s="58"/>
      <c r="GI187" s="58"/>
      <c r="GJ187" s="58"/>
      <c r="GK187" s="58"/>
      <c r="GL187" s="58"/>
      <c r="GM187" s="58"/>
      <c r="GN187" s="58"/>
      <c r="GO187" s="58"/>
      <c r="GP187" s="58"/>
      <c r="GQ187" s="58"/>
      <c r="GR187" s="58"/>
      <c r="GS187" s="58"/>
      <c r="GT187" s="58"/>
      <c r="GU187" s="58"/>
      <c r="GV187" s="58"/>
      <c r="GW187" s="58"/>
      <c r="GX187" s="58"/>
      <c r="GY187" s="58"/>
      <c r="GZ187" s="58"/>
      <c r="HA187" s="58"/>
      <c r="HB187" s="58"/>
      <c r="HC187" s="58"/>
      <c r="HD187" s="58"/>
      <c r="HE187" s="58"/>
      <c r="HF187" s="58"/>
      <c r="HG187" s="58"/>
      <c r="HH187" s="58"/>
      <c r="HI187" s="58"/>
      <c r="HJ187" s="58"/>
      <c r="HK187" s="58"/>
      <c r="HL187" s="58"/>
      <c r="HM187" s="58"/>
      <c r="HN187" s="58"/>
      <c r="HO187" s="58"/>
      <c r="HP187" s="58"/>
      <c r="HQ187" s="58"/>
      <c r="HR187" s="58"/>
      <c r="HS187" s="58"/>
      <c r="HT187" s="58"/>
      <c r="HU187" s="58"/>
      <c r="HV187" s="58"/>
      <c r="HW187" s="58"/>
      <c r="HX187" s="58"/>
      <c r="HY187" s="58"/>
      <c r="HZ187" s="58"/>
      <c r="IA187" s="58"/>
      <c r="IB187" s="58"/>
      <c r="IC187" s="58"/>
      <c r="ID187" s="58"/>
      <c r="IE187" s="58"/>
      <c r="IF187" s="58"/>
      <c r="IG187" s="58"/>
      <c r="IH187" s="58"/>
      <c r="II187" s="58"/>
      <c r="IJ187" s="58"/>
      <c r="IK187" s="58"/>
      <c r="IL187" s="58"/>
      <c r="IM187" s="58"/>
      <c r="IN187" s="58"/>
      <c r="IO187" s="58"/>
      <c r="IP187" s="58"/>
      <c r="IQ187" s="58"/>
      <c r="IR187" s="58"/>
      <c r="IS187" s="58"/>
      <c r="IT187" s="58"/>
      <c r="IU187" s="58"/>
    </row>
    <row r="188" spans="13:255" s="57" customFormat="1" ht="13.65" customHeight="1" x14ac:dyDescent="0.3">
      <c r="M188" s="40"/>
      <c r="N188" s="40"/>
      <c r="O188" s="40"/>
      <c r="P188" s="41"/>
      <c r="Q188" s="41"/>
      <c r="R188" s="41"/>
      <c r="S188" s="41"/>
      <c r="T188" s="40"/>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c r="CA188" s="58"/>
      <c r="CB188" s="58"/>
      <c r="CC188" s="58"/>
      <c r="CD188" s="58"/>
      <c r="CE188" s="58"/>
      <c r="CF188" s="58"/>
      <c r="CG188" s="58"/>
      <c r="CH188" s="58"/>
      <c r="CI188" s="58"/>
      <c r="CJ188" s="58"/>
      <c r="CK188" s="58"/>
      <c r="CL188" s="58"/>
      <c r="CM188" s="58"/>
      <c r="CN188" s="58"/>
      <c r="CO188" s="58"/>
      <c r="CP188" s="58"/>
      <c r="CQ188" s="58"/>
      <c r="CR188" s="44"/>
      <c r="CS188" s="44"/>
      <c r="CT188" s="44"/>
      <c r="CU188" s="48"/>
      <c r="CV188" s="142"/>
      <c r="CW188" s="44"/>
      <c r="CX188" s="83"/>
      <c r="CY188" s="83"/>
      <c r="CZ188" s="83"/>
      <c r="DA188" s="44"/>
      <c r="DB188" s="143"/>
      <c r="DC188" s="44"/>
      <c r="DD188" s="44"/>
      <c r="DE188" s="44"/>
      <c r="DF188" s="44"/>
      <c r="DG188" s="44"/>
      <c r="DH188" s="44"/>
      <c r="DI188" s="75"/>
      <c r="DM188" s="87"/>
      <c r="DN188" s="99"/>
      <c r="DQ188" s="87"/>
      <c r="DR188" s="99"/>
      <c r="DS188" s="44"/>
      <c r="DT188" s="83"/>
      <c r="DU188" s="83"/>
      <c r="DV188" s="83"/>
      <c r="DW188" s="44"/>
      <c r="DX188" s="144"/>
      <c r="DY188" s="144"/>
      <c r="DZ188" s="144"/>
      <c r="EA188" s="58"/>
      <c r="EB188" s="58"/>
      <c r="EC188" s="58"/>
      <c r="ED188" s="58"/>
      <c r="EE188" s="58"/>
      <c r="EF188" s="58"/>
      <c r="EG188" s="58"/>
      <c r="EH188" s="58"/>
      <c r="EI188" s="58"/>
      <c r="EJ188" s="58"/>
      <c r="EK188" s="58"/>
      <c r="EL188" s="58"/>
      <c r="EM188" s="58"/>
      <c r="EN188" s="58"/>
      <c r="EO188" s="58"/>
      <c r="EP188" s="58"/>
      <c r="EQ188" s="58"/>
      <c r="ER188" s="58"/>
      <c r="ES188" s="58"/>
      <c r="ET188" s="58"/>
      <c r="EU188" s="58"/>
      <c r="EV188" s="58"/>
      <c r="EW188" s="58"/>
      <c r="EX188" s="58"/>
      <c r="EY188" s="58"/>
      <c r="EZ188" s="58"/>
      <c r="FA188" s="58"/>
      <c r="FB188" s="58"/>
      <c r="FC188" s="58"/>
      <c r="FD188" s="58"/>
      <c r="FE188" s="58"/>
      <c r="FF188" s="58"/>
      <c r="FG188" s="58"/>
      <c r="FH188" s="58"/>
      <c r="FI188" s="58"/>
      <c r="FJ188" s="58"/>
      <c r="FK188" s="58"/>
      <c r="FL188" s="58"/>
      <c r="FM188" s="58"/>
      <c r="FN188" s="58"/>
      <c r="FO188" s="58"/>
      <c r="FP188" s="58"/>
      <c r="FQ188" s="58"/>
      <c r="FR188" s="58"/>
      <c r="FS188" s="58"/>
      <c r="FT188" s="58"/>
      <c r="FU188" s="58"/>
      <c r="FV188" s="58"/>
      <c r="FW188" s="58"/>
      <c r="FX188" s="58"/>
      <c r="FY188" s="58"/>
      <c r="FZ188" s="58"/>
      <c r="GA188" s="58"/>
      <c r="GB188" s="58"/>
      <c r="GC188" s="58"/>
      <c r="GD188" s="58"/>
      <c r="GE188" s="58"/>
      <c r="GF188" s="58"/>
      <c r="GG188" s="58"/>
      <c r="GH188" s="58"/>
      <c r="GI188" s="58"/>
      <c r="GJ188" s="58"/>
      <c r="GK188" s="58"/>
      <c r="GL188" s="58"/>
      <c r="GM188" s="58"/>
      <c r="GN188" s="58"/>
      <c r="GO188" s="58"/>
      <c r="GP188" s="58"/>
      <c r="GQ188" s="58"/>
      <c r="GR188" s="58"/>
      <c r="GS188" s="58"/>
      <c r="GT188" s="58"/>
      <c r="GU188" s="58"/>
      <c r="GV188" s="58"/>
      <c r="GW188" s="58"/>
      <c r="GX188" s="58"/>
      <c r="GY188" s="58"/>
      <c r="GZ188" s="58"/>
      <c r="HA188" s="58"/>
      <c r="HB188" s="58"/>
      <c r="HC188" s="58"/>
      <c r="HD188" s="58"/>
      <c r="HE188" s="58"/>
      <c r="HF188" s="58"/>
      <c r="HG188" s="58"/>
      <c r="HH188" s="58"/>
      <c r="HI188" s="58"/>
      <c r="HJ188" s="58"/>
      <c r="HK188" s="58"/>
      <c r="HL188" s="58"/>
      <c r="HM188" s="58"/>
      <c r="HN188" s="58"/>
      <c r="HO188" s="58"/>
      <c r="HP188" s="58"/>
      <c r="HQ188" s="58"/>
      <c r="HR188" s="58"/>
      <c r="HS188" s="58"/>
      <c r="HT188" s="58"/>
      <c r="HU188" s="58"/>
      <c r="HV188" s="58"/>
      <c r="HW188" s="58"/>
      <c r="HX188" s="58"/>
      <c r="HY188" s="58"/>
      <c r="HZ188" s="58"/>
      <c r="IA188" s="58"/>
      <c r="IB188" s="58"/>
      <c r="IC188" s="58"/>
      <c r="ID188" s="58"/>
      <c r="IE188" s="58"/>
      <c r="IF188" s="58"/>
      <c r="IG188" s="58"/>
      <c r="IH188" s="58"/>
      <c r="II188" s="58"/>
      <c r="IJ188" s="58"/>
      <c r="IK188" s="58"/>
      <c r="IL188" s="58"/>
      <c r="IM188" s="58"/>
      <c r="IN188" s="58"/>
      <c r="IO188" s="58"/>
      <c r="IP188" s="58"/>
      <c r="IQ188" s="58"/>
      <c r="IR188" s="58"/>
      <c r="IS188" s="58"/>
      <c r="IT188" s="58"/>
      <c r="IU188" s="58"/>
    </row>
    <row r="189" spans="13:255" s="57" customFormat="1" ht="13.65" customHeight="1" x14ac:dyDescent="0.3">
      <c r="M189" s="40"/>
      <c r="N189" s="40"/>
      <c r="O189" s="40"/>
      <c r="P189" s="41"/>
      <c r="Q189" s="41"/>
      <c r="R189" s="41"/>
      <c r="S189" s="41"/>
      <c r="T189" s="40"/>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c r="CA189" s="58"/>
      <c r="CB189" s="58"/>
      <c r="CC189" s="58"/>
      <c r="CD189" s="58"/>
      <c r="CE189" s="58"/>
      <c r="CF189" s="58"/>
      <c r="CG189" s="58"/>
      <c r="CH189" s="58"/>
      <c r="CI189" s="58"/>
      <c r="CJ189" s="58"/>
      <c r="CK189" s="58"/>
      <c r="CL189" s="58"/>
      <c r="CM189" s="58"/>
      <c r="CN189" s="58"/>
      <c r="CO189" s="58"/>
      <c r="CP189" s="58"/>
      <c r="CQ189" s="58"/>
      <c r="CR189" s="44"/>
      <c r="CS189" s="44"/>
      <c r="CT189" s="44"/>
      <c r="CU189" s="48"/>
      <c r="CV189" s="142"/>
      <c r="CW189" s="44"/>
      <c r="CX189" s="83"/>
      <c r="CY189" s="83"/>
      <c r="CZ189" s="83"/>
      <c r="DA189" s="44"/>
      <c r="DB189" s="143"/>
      <c r="DC189" s="44"/>
      <c r="DD189" s="44"/>
      <c r="DE189" s="44"/>
      <c r="DF189" s="44"/>
      <c r="DG189" s="44"/>
      <c r="DH189" s="44"/>
      <c r="DI189" s="75"/>
      <c r="DM189" s="87"/>
      <c r="DN189" s="99"/>
      <c r="DQ189" s="87"/>
      <c r="DR189" s="99"/>
      <c r="DS189" s="44"/>
      <c r="DT189" s="83"/>
      <c r="DU189" s="83"/>
      <c r="DV189" s="83"/>
      <c r="DW189" s="44"/>
      <c r="DX189" s="144"/>
      <c r="DY189" s="144"/>
      <c r="DZ189" s="144"/>
      <c r="EA189" s="58"/>
      <c r="EB189" s="58"/>
      <c r="EC189" s="58"/>
      <c r="ED189" s="58"/>
      <c r="EE189" s="58"/>
      <c r="EF189" s="58"/>
      <c r="EG189" s="58"/>
      <c r="EH189" s="58"/>
      <c r="EI189" s="58"/>
      <c r="EJ189" s="58"/>
      <c r="EK189" s="58"/>
      <c r="EL189" s="58"/>
      <c r="EM189" s="58"/>
      <c r="EN189" s="58"/>
      <c r="EO189" s="58"/>
      <c r="EP189" s="58"/>
      <c r="EQ189" s="58"/>
      <c r="ER189" s="58"/>
      <c r="ES189" s="58"/>
      <c r="ET189" s="58"/>
      <c r="EU189" s="58"/>
      <c r="EV189" s="58"/>
      <c r="EW189" s="58"/>
      <c r="EX189" s="58"/>
      <c r="EY189" s="58"/>
      <c r="EZ189" s="58"/>
      <c r="FA189" s="58"/>
      <c r="FB189" s="58"/>
      <c r="FC189" s="58"/>
      <c r="FD189" s="58"/>
      <c r="FE189" s="58"/>
      <c r="FF189" s="58"/>
      <c r="FG189" s="58"/>
      <c r="FH189" s="58"/>
      <c r="FI189" s="58"/>
      <c r="FJ189" s="58"/>
      <c r="FK189" s="58"/>
      <c r="FL189" s="58"/>
      <c r="FM189" s="58"/>
      <c r="FN189" s="58"/>
      <c r="FO189" s="58"/>
      <c r="FP189" s="58"/>
      <c r="FQ189" s="58"/>
      <c r="FR189" s="58"/>
      <c r="FS189" s="58"/>
      <c r="FT189" s="58"/>
      <c r="FU189" s="58"/>
      <c r="FV189" s="58"/>
      <c r="FW189" s="58"/>
      <c r="FX189" s="58"/>
      <c r="FY189" s="58"/>
      <c r="FZ189" s="58"/>
      <c r="GA189" s="58"/>
      <c r="GB189" s="58"/>
      <c r="GC189" s="58"/>
      <c r="GD189" s="58"/>
      <c r="GE189" s="58"/>
      <c r="GF189" s="58"/>
      <c r="GG189" s="58"/>
      <c r="GH189" s="58"/>
      <c r="GI189" s="58"/>
      <c r="GJ189" s="58"/>
      <c r="GK189" s="58"/>
      <c r="GL189" s="58"/>
      <c r="GM189" s="58"/>
      <c r="GN189" s="58"/>
      <c r="GO189" s="58"/>
      <c r="GP189" s="58"/>
      <c r="GQ189" s="58"/>
      <c r="GR189" s="58"/>
      <c r="GS189" s="58"/>
      <c r="GT189" s="58"/>
      <c r="GU189" s="58"/>
      <c r="GV189" s="58"/>
      <c r="GW189" s="58"/>
      <c r="GX189" s="58"/>
      <c r="GY189" s="58"/>
      <c r="GZ189" s="58"/>
      <c r="HA189" s="58"/>
      <c r="HB189" s="58"/>
      <c r="HC189" s="58"/>
      <c r="HD189" s="58"/>
      <c r="HE189" s="58"/>
      <c r="HF189" s="58"/>
      <c r="HG189" s="58"/>
      <c r="HH189" s="58"/>
      <c r="HI189" s="58"/>
      <c r="HJ189" s="58"/>
      <c r="HK189" s="58"/>
      <c r="HL189" s="58"/>
      <c r="HM189" s="58"/>
      <c r="HN189" s="58"/>
      <c r="HO189" s="58"/>
      <c r="HP189" s="58"/>
      <c r="HQ189" s="58"/>
      <c r="HR189" s="58"/>
      <c r="HS189" s="58"/>
      <c r="HT189" s="58"/>
      <c r="HU189" s="58"/>
      <c r="HV189" s="58"/>
      <c r="HW189" s="58"/>
      <c r="HX189" s="58"/>
      <c r="HY189" s="58"/>
      <c r="HZ189" s="58"/>
      <c r="IA189" s="58"/>
      <c r="IB189" s="58"/>
      <c r="IC189" s="58"/>
      <c r="ID189" s="58"/>
      <c r="IE189" s="58"/>
      <c r="IF189" s="58"/>
      <c r="IG189" s="58"/>
      <c r="IH189" s="58"/>
      <c r="II189" s="58"/>
      <c r="IJ189" s="58"/>
      <c r="IK189" s="58"/>
      <c r="IL189" s="58"/>
      <c r="IM189" s="58"/>
      <c r="IN189" s="58"/>
      <c r="IO189" s="58"/>
      <c r="IP189" s="58"/>
      <c r="IQ189" s="58"/>
      <c r="IR189" s="58"/>
      <c r="IS189" s="58"/>
      <c r="IT189" s="58"/>
      <c r="IU189" s="58"/>
    </row>
    <row r="190" spans="13:255" s="57" customFormat="1" ht="13.65" customHeight="1" x14ac:dyDescent="0.3">
      <c r="M190" s="40"/>
      <c r="N190" s="40"/>
      <c r="O190" s="40"/>
      <c r="P190" s="41"/>
      <c r="Q190" s="41"/>
      <c r="R190" s="41"/>
      <c r="S190" s="41"/>
      <c r="T190" s="40"/>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c r="CH190" s="58"/>
      <c r="CI190" s="58"/>
      <c r="CJ190" s="58"/>
      <c r="CK190" s="58"/>
      <c r="CL190" s="58"/>
      <c r="CM190" s="58"/>
      <c r="CN190" s="58"/>
      <c r="CO190" s="58"/>
      <c r="CP190" s="58"/>
      <c r="CQ190" s="58"/>
      <c r="CR190" s="44"/>
      <c r="CS190" s="44"/>
      <c r="CT190" s="44"/>
      <c r="CU190" s="48"/>
      <c r="CV190" s="142"/>
      <c r="CW190" s="44"/>
      <c r="CX190" s="83"/>
      <c r="CY190" s="83"/>
      <c r="CZ190" s="83"/>
      <c r="DA190" s="44"/>
      <c r="DB190" s="143"/>
      <c r="DC190" s="44"/>
      <c r="DD190" s="44"/>
      <c r="DE190" s="44"/>
      <c r="DF190" s="44"/>
      <c r="DG190" s="44"/>
      <c r="DH190" s="44"/>
      <c r="DI190" s="75"/>
      <c r="DM190" s="87"/>
      <c r="DN190" s="99"/>
      <c r="DQ190" s="87"/>
      <c r="DR190" s="99"/>
      <c r="DS190" s="44"/>
      <c r="DT190" s="83"/>
      <c r="DU190" s="83"/>
      <c r="DV190" s="83"/>
      <c r="DW190" s="44"/>
      <c r="DX190" s="144"/>
      <c r="DY190" s="144"/>
      <c r="DZ190" s="144"/>
      <c r="EA190" s="58"/>
      <c r="EB190" s="58"/>
      <c r="EC190" s="58"/>
      <c r="ED190" s="58"/>
      <c r="EE190" s="58"/>
      <c r="EF190" s="58"/>
      <c r="EG190" s="58"/>
      <c r="EH190" s="58"/>
      <c r="EI190" s="58"/>
      <c r="EJ190" s="58"/>
      <c r="EK190" s="58"/>
      <c r="EL190" s="58"/>
      <c r="EM190" s="58"/>
      <c r="EN190" s="58"/>
      <c r="EO190" s="58"/>
      <c r="EP190" s="58"/>
      <c r="EQ190" s="58"/>
      <c r="ER190" s="58"/>
      <c r="ES190" s="58"/>
      <c r="ET190" s="58"/>
      <c r="EU190" s="58"/>
      <c r="EV190" s="58"/>
      <c r="EW190" s="58"/>
      <c r="EX190" s="58"/>
      <c r="EY190" s="58"/>
      <c r="EZ190" s="58"/>
      <c r="FA190" s="58"/>
      <c r="FB190" s="58"/>
      <c r="FC190" s="58"/>
      <c r="FD190" s="58"/>
      <c r="FE190" s="58"/>
      <c r="FF190" s="58"/>
      <c r="FG190" s="58"/>
      <c r="FH190" s="58"/>
      <c r="FI190" s="58"/>
      <c r="FJ190" s="58"/>
      <c r="FK190" s="58"/>
      <c r="FL190" s="58"/>
      <c r="FM190" s="58"/>
      <c r="FN190" s="58"/>
      <c r="FO190" s="58"/>
      <c r="FP190" s="58"/>
      <c r="FQ190" s="58"/>
      <c r="FR190" s="58"/>
      <c r="FS190" s="58"/>
      <c r="FT190" s="58"/>
      <c r="FU190" s="58"/>
      <c r="FV190" s="58"/>
      <c r="FW190" s="58"/>
      <c r="FX190" s="58"/>
      <c r="FY190" s="58"/>
      <c r="FZ190" s="58"/>
      <c r="GA190" s="58"/>
      <c r="GB190" s="58"/>
      <c r="GC190" s="58"/>
      <c r="GD190" s="58"/>
      <c r="GE190" s="58"/>
      <c r="GF190" s="58"/>
      <c r="GG190" s="58"/>
      <c r="GH190" s="58"/>
      <c r="GI190" s="58"/>
      <c r="GJ190" s="58"/>
      <c r="GK190" s="58"/>
      <c r="GL190" s="58"/>
      <c r="GM190" s="58"/>
      <c r="GN190" s="58"/>
      <c r="GO190" s="58"/>
      <c r="GP190" s="58"/>
      <c r="GQ190" s="58"/>
      <c r="GR190" s="58"/>
      <c r="GS190" s="58"/>
      <c r="GT190" s="58"/>
      <c r="GU190" s="58"/>
      <c r="GV190" s="58"/>
      <c r="GW190" s="58"/>
      <c r="GX190" s="58"/>
      <c r="GY190" s="58"/>
      <c r="GZ190" s="58"/>
      <c r="HA190" s="58"/>
      <c r="HB190" s="58"/>
      <c r="HC190" s="58"/>
      <c r="HD190" s="58"/>
      <c r="HE190" s="58"/>
      <c r="HF190" s="58"/>
      <c r="HG190" s="58"/>
      <c r="HH190" s="58"/>
      <c r="HI190" s="58"/>
      <c r="HJ190" s="58"/>
      <c r="HK190" s="58"/>
      <c r="HL190" s="58"/>
      <c r="HM190" s="58"/>
      <c r="HN190" s="58"/>
      <c r="HO190" s="58"/>
      <c r="HP190" s="58"/>
      <c r="HQ190" s="58"/>
      <c r="HR190" s="58"/>
      <c r="HS190" s="58"/>
      <c r="HT190" s="58"/>
      <c r="HU190" s="58"/>
      <c r="HV190" s="58"/>
      <c r="HW190" s="58"/>
      <c r="HX190" s="58"/>
      <c r="HY190" s="58"/>
      <c r="HZ190" s="58"/>
      <c r="IA190" s="58"/>
      <c r="IB190" s="58"/>
      <c r="IC190" s="58"/>
      <c r="ID190" s="58"/>
      <c r="IE190" s="58"/>
      <c r="IF190" s="58"/>
      <c r="IG190" s="58"/>
      <c r="IH190" s="58"/>
      <c r="II190" s="58"/>
      <c r="IJ190" s="58"/>
      <c r="IK190" s="58"/>
      <c r="IL190" s="58"/>
      <c r="IM190" s="58"/>
      <c r="IN190" s="58"/>
      <c r="IO190" s="58"/>
      <c r="IP190" s="58"/>
      <c r="IQ190" s="58"/>
      <c r="IR190" s="58"/>
      <c r="IS190" s="58"/>
      <c r="IT190" s="58"/>
      <c r="IU190" s="58"/>
    </row>
    <row r="191" spans="13:255" s="57" customFormat="1" ht="13.65" customHeight="1" x14ac:dyDescent="0.3">
      <c r="M191" s="40"/>
      <c r="N191" s="40"/>
      <c r="O191" s="40"/>
      <c r="P191" s="41"/>
      <c r="Q191" s="41"/>
      <c r="R191" s="41"/>
      <c r="S191" s="41"/>
      <c r="T191" s="40"/>
      <c r="AC191" s="84">
        <f ca="1">FJ89</f>
        <v>20</v>
      </c>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c r="CA191" s="58"/>
      <c r="CB191" s="58"/>
      <c r="CC191" s="58"/>
      <c r="CD191" s="58"/>
      <c r="CE191" s="58"/>
      <c r="CF191" s="58"/>
      <c r="CG191" s="58"/>
      <c r="CH191" s="58"/>
      <c r="CI191" s="58"/>
      <c r="CJ191" s="58"/>
      <c r="CK191" s="58"/>
      <c r="CL191" s="58"/>
      <c r="CM191" s="58"/>
      <c r="CN191" s="58"/>
      <c r="CO191" s="58"/>
      <c r="CP191" s="58"/>
      <c r="CQ191" s="58"/>
      <c r="CR191" s="44"/>
      <c r="CS191" s="44"/>
      <c r="CT191" s="44"/>
      <c r="CU191" s="48"/>
      <c r="CV191" s="142"/>
      <c r="CW191" s="44"/>
      <c r="CX191" s="83"/>
      <c r="CY191" s="83"/>
      <c r="CZ191" s="83"/>
      <c r="DA191" s="44"/>
      <c r="DB191" s="143"/>
      <c r="DC191" s="44"/>
      <c r="DD191" s="44"/>
      <c r="DE191" s="44"/>
      <c r="DF191" s="44"/>
      <c r="DG191" s="44"/>
      <c r="DH191" s="44"/>
      <c r="DI191" s="75"/>
      <c r="DM191" s="87"/>
      <c r="DN191" s="99"/>
      <c r="DQ191" s="87"/>
      <c r="DR191" s="99"/>
      <c r="DS191" s="44"/>
      <c r="DT191" s="83"/>
      <c r="DU191" s="83"/>
      <c r="DV191" s="83"/>
      <c r="DW191" s="44"/>
      <c r="DX191" s="144"/>
      <c r="DY191" s="144"/>
      <c r="DZ191" s="144"/>
      <c r="EA191" s="58"/>
      <c r="EB191" s="58"/>
      <c r="EC191" s="58"/>
      <c r="ED191" s="58"/>
      <c r="EE191" s="58"/>
      <c r="EF191" s="58"/>
      <c r="EG191" s="58"/>
      <c r="EH191" s="58"/>
      <c r="EI191" s="58"/>
      <c r="EJ191" s="58"/>
      <c r="EK191" s="58"/>
      <c r="EL191" s="58"/>
      <c r="EM191" s="58"/>
      <c r="EN191" s="58"/>
      <c r="EO191" s="58"/>
      <c r="EP191" s="58"/>
      <c r="EQ191" s="58"/>
      <c r="ER191" s="58"/>
      <c r="ES191" s="58"/>
      <c r="ET191" s="58"/>
      <c r="EU191" s="58"/>
      <c r="EV191" s="58"/>
      <c r="EW191" s="58"/>
      <c r="EX191" s="58"/>
      <c r="EY191" s="58"/>
      <c r="EZ191" s="58"/>
      <c r="FA191" s="58"/>
      <c r="FB191" s="58"/>
      <c r="FC191" s="58"/>
      <c r="FD191" s="58"/>
      <c r="FE191" s="58"/>
      <c r="FF191" s="58"/>
      <c r="FG191" s="58"/>
      <c r="FH191" s="58"/>
      <c r="FI191" s="58"/>
      <c r="FJ191" s="58"/>
      <c r="FK191" s="58"/>
      <c r="FL191" s="58"/>
      <c r="FM191" s="58"/>
      <c r="FN191" s="58"/>
      <c r="FO191" s="58"/>
      <c r="FP191" s="58"/>
      <c r="FQ191" s="58"/>
      <c r="FR191" s="58"/>
      <c r="FS191" s="58"/>
      <c r="FT191" s="58"/>
      <c r="FU191" s="58"/>
      <c r="FV191" s="58"/>
      <c r="FW191" s="58"/>
      <c r="FX191" s="58"/>
      <c r="FY191" s="58"/>
      <c r="FZ191" s="58"/>
      <c r="GA191" s="58"/>
      <c r="GB191" s="58"/>
      <c r="GC191" s="58"/>
      <c r="GD191" s="58"/>
      <c r="GE191" s="58"/>
      <c r="GF191" s="58"/>
      <c r="GG191" s="58"/>
      <c r="GH191" s="58"/>
      <c r="GI191" s="58"/>
      <c r="GJ191" s="58"/>
      <c r="GK191" s="58"/>
      <c r="GL191" s="58"/>
      <c r="GM191" s="58"/>
      <c r="GN191" s="58"/>
      <c r="GO191" s="58"/>
      <c r="GP191" s="58"/>
      <c r="GQ191" s="58"/>
      <c r="GR191" s="58"/>
      <c r="GS191" s="58"/>
      <c r="GT191" s="58"/>
      <c r="GU191" s="58"/>
      <c r="GV191" s="58"/>
      <c r="GW191" s="58"/>
      <c r="GX191" s="58"/>
      <c r="GY191" s="58"/>
      <c r="GZ191" s="58"/>
      <c r="HA191" s="58"/>
      <c r="HB191" s="58"/>
      <c r="HC191" s="58"/>
      <c r="HD191" s="58"/>
      <c r="HE191" s="58"/>
      <c r="HF191" s="58"/>
      <c r="HG191" s="58"/>
      <c r="HH191" s="58"/>
      <c r="HI191" s="58"/>
      <c r="HJ191" s="58"/>
      <c r="HK191" s="58"/>
      <c r="HL191" s="58"/>
      <c r="HM191" s="58"/>
      <c r="HN191" s="58"/>
      <c r="HO191" s="58"/>
      <c r="HP191" s="58"/>
      <c r="HQ191" s="58"/>
      <c r="HR191" s="58"/>
      <c r="HS191" s="58"/>
      <c r="HT191" s="58"/>
      <c r="HU191" s="58"/>
      <c r="HV191" s="58"/>
      <c r="HW191" s="58"/>
      <c r="HX191" s="58"/>
      <c r="HY191" s="58"/>
      <c r="HZ191" s="58"/>
      <c r="IA191" s="58"/>
      <c r="IB191" s="58"/>
      <c r="IC191" s="58"/>
      <c r="ID191" s="58"/>
      <c r="IE191" s="58"/>
      <c r="IF191" s="58"/>
      <c r="IG191" s="58"/>
      <c r="IH191" s="58"/>
      <c r="II191" s="58"/>
      <c r="IJ191" s="58"/>
      <c r="IK191" s="58"/>
      <c r="IL191" s="58"/>
      <c r="IM191" s="58"/>
      <c r="IN191" s="58"/>
      <c r="IO191" s="58"/>
      <c r="IP191" s="58"/>
      <c r="IQ191" s="58"/>
      <c r="IR191" s="58"/>
      <c r="IS191" s="58"/>
      <c r="IT191" s="58"/>
      <c r="IU191" s="58"/>
    </row>
    <row r="192" spans="13:255" s="57" customFormat="1" ht="13.65" customHeight="1" x14ac:dyDescent="0.3">
      <c r="M192" s="40"/>
      <c r="N192" s="40"/>
      <c r="O192" s="40"/>
      <c r="P192" s="41"/>
      <c r="Q192" s="41"/>
      <c r="R192" s="41"/>
      <c r="S192" s="41"/>
      <c r="T192" s="40"/>
      <c r="AC192" s="84">
        <f ca="1">FK89</f>
        <v>20</v>
      </c>
      <c r="AV192" s="58"/>
      <c r="AW192" s="58"/>
      <c r="AX192" s="58"/>
      <c r="AY192" s="58"/>
      <c r="AZ192" s="58"/>
      <c r="BA192" s="58"/>
      <c r="BB192" s="58"/>
      <c r="BC192" s="58"/>
      <c r="BD192" s="58"/>
      <c r="BE192" s="58"/>
      <c r="BF192" s="58"/>
      <c r="BG192" s="58"/>
      <c r="BH192" s="58"/>
      <c r="BI192" s="58"/>
      <c r="BJ192" s="58"/>
      <c r="BK192" s="58"/>
      <c r="BL192" s="58"/>
      <c r="BM192" s="58"/>
      <c r="BN192" s="58"/>
      <c r="BO192" s="58"/>
      <c r="BP192" s="58"/>
      <c r="BQ192" s="58"/>
      <c r="BR192" s="58"/>
      <c r="BS192" s="58"/>
      <c r="BT192" s="58"/>
      <c r="BU192" s="58"/>
      <c r="BV192" s="58"/>
      <c r="BW192" s="58"/>
      <c r="BX192" s="58"/>
      <c r="BY192" s="58"/>
      <c r="BZ192" s="58"/>
      <c r="CA192" s="58"/>
      <c r="CB192" s="58"/>
      <c r="CC192" s="58"/>
      <c r="CD192" s="58"/>
      <c r="CE192" s="58"/>
      <c r="CF192" s="58"/>
      <c r="CG192" s="58"/>
      <c r="CH192" s="58"/>
      <c r="CI192" s="58"/>
      <c r="CJ192" s="58"/>
      <c r="CK192" s="58"/>
      <c r="CL192" s="58"/>
      <c r="CM192" s="58"/>
      <c r="CN192" s="58"/>
      <c r="CO192" s="58"/>
      <c r="CP192" s="58"/>
      <c r="CQ192" s="58"/>
      <c r="CR192" s="44"/>
      <c r="CS192" s="44"/>
      <c r="CT192" s="44"/>
      <c r="CU192" s="48"/>
      <c r="CV192" s="142"/>
      <c r="CW192" s="44"/>
      <c r="CX192" s="83"/>
      <c r="CY192" s="83"/>
      <c r="CZ192" s="83"/>
      <c r="DA192" s="44"/>
      <c r="DB192" s="143"/>
      <c r="DC192" s="44"/>
      <c r="DD192" s="44"/>
      <c r="DE192" s="44"/>
      <c r="DF192" s="44"/>
      <c r="DG192" s="44"/>
      <c r="DH192" s="44"/>
      <c r="DI192" s="75"/>
      <c r="DM192" s="87"/>
      <c r="DN192" s="99"/>
      <c r="DQ192" s="87"/>
      <c r="DR192" s="99"/>
      <c r="DS192" s="44"/>
      <c r="DT192" s="83"/>
      <c r="DU192" s="83"/>
      <c r="DV192" s="83"/>
      <c r="DW192" s="44"/>
      <c r="DX192" s="144"/>
      <c r="DY192" s="144"/>
      <c r="DZ192" s="144"/>
      <c r="EA192" s="58"/>
      <c r="EB192" s="58"/>
      <c r="EC192" s="58"/>
      <c r="ED192" s="58"/>
      <c r="EE192" s="58"/>
      <c r="EF192" s="58"/>
      <c r="EG192" s="58"/>
      <c r="EH192" s="58"/>
      <c r="EI192" s="58"/>
      <c r="EJ192" s="58"/>
      <c r="EK192" s="58"/>
      <c r="EL192" s="58"/>
      <c r="EM192" s="58"/>
      <c r="EN192" s="58"/>
      <c r="EO192" s="58"/>
      <c r="EP192" s="58"/>
      <c r="EQ192" s="58"/>
      <c r="ER192" s="58"/>
      <c r="ES192" s="58"/>
      <c r="ET192" s="58"/>
      <c r="EU192" s="58"/>
      <c r="EV192" s="58"/>
      <c r="EW192" s="58"/>
      <c r="EX192" s="58"/>
      <c r="EY192" s="58"/>
      <c r="EZ192" s="58"/>
      <c r="FA192" s="58"/>
      <c r="FB192" s="58"/>
      <c r="FC192" s="58"/>
      <c r="FD192" s="58"/>
      <c r="FE192" s="58"/>
      <c r="FF192" s="58"/>
      <c r="FG192" s="58"/>
      <c r="FH192" s="58"/>
      <c r="FI192" s="58"/>
      <c r="FJ192" s="58"/>
      <c r="FK192" s="58"/>
      <c r="FL192" s="58"/>
      <c r="FM192" s="58"/>
      <c r="FN192" s="58"/>
      <c r="FO192" s="58"/>
      <c r="FP192" s="58"/>
      <c r="FQ192" s="58"/>
      <c r="FR192" s="58"/>
      <c r="FS192" s="58"/>
      <c r="FT192" s="58"/>
      <c r="FU192" s="58"/>
      <c r="FV192" s="58"/>
      <c r="FW192" s="58"/>
      <c r="FX192" s="58"/>
      <c r="FY192" s="58"/>
      <c r="FZ192" s="58"/>
      <c r="GA192" s="58"/>
      <c r="GB192" s="58"/>
      <c r="GC192" s="58"/>
      <c r="GD192" s="58"/>
      <c r="GE192" s="58"/>
      <c r="GF192" s="58"/>
      <c r="GG192" s="58"/>
      <c r="GH192" s="58"/>
      <c r="GI192" s="58"/>
      <c r="GJ192" s="58"/>
      <c r="GK192" s="58"/>
      <c r="GL192" s="58"/>
      <c r="GM192" s="58"/>
      <c r="GN192" s="58"/>
      <c r="GO192" s="58"/>
      <c r="GP192" s="58"/>
      <c r="GQ192" s="58"/>
      <c r="GR192" s="58"/>
      <c r="GS192" s="58"/>
      <c r="GT192" s="58"/>
      <c r="GU192" s="58"/>
      <c r="GV192" s="58"/>
      <c r="GW192" s="58"/>
      <c r="GX192" s="58"/>
      <c r="GY192" s="58"/>
      <c r="GZ192" s="58"/>
      <c r="HA192" s="58"/>
      <c r="HB192" s="58"/>
      <c r="HC192" s="58"/>
      <c r="HD192" s="58"/>
      <c r="HE192" s="58"/>
      <c r="HF192" s="58"/>
      <c r="HG192" s="58"/>
      <c r="HH192" s="58"/>
      <c r="HI192" s="58"/>
      <c r="HJ192" s="58"/>
      <c r="HK192" s="58"/>
      <c r="HL192" s="58"/>
      <c r="HM192" s="58"/>
      <c r="HN192" s="58"/>
      <c r="HO192" s="58"/>
      <c r="HP192" s="58"/>
      <c r="HQ192" s="58"/>
      <c r="HR192" s="58"/>
      <c r="HS192" s="58"/>
      <c r="HT192" s="58"/>
      <c r="HU192" s="58"/>
      <c r="HV192" s="58"/>
      <c r="HW192" s="58"/>
      <c r="HX192" s="58"/>
      <c r="HY192" s="58"/>
      <c r="HZ192" s="58"/>
      <c r="IA192" s="58"/>
      <c r="IB192" s="58"/>
      <c r="IC192" s="58"/>
      <c r="ID192" s="58"/>
      <c r="IE192" s="58"/>
      <c r="IF192" s="58"/>
      <c r="IG192" s="58"/>
      <c r="IH192" s="58"/>
      <c r="II192" s="58"/>
      <c r="IJ192" s="58"/>
      <c r="IK192" s="58"/>
      <c r="IL192" s="58"/>
      <c r="IM192" s="58"/>
      <c r="IN192" s="58"/>
      <c r="IO192" s="58"/>
      <c r="IP192" s="58"/>
      <c r="IQ192" s="58"/>
      <c r="IR192" s="58"/>
      <c r="IS192" s="58"/>
      <c r="IT192" s="58"/>
      <c r="IU192" s="58"/>
    </row>
    <row r="193" spans="1:255" s="57" customFormat="1" ht="13.65" customHeight="1" x14ac:dyDescent="0.3">
      <c r="M193" s="40"/>
      <c r="N193" s="40"/>
      <c r="O193" s="40"/>
      <c r="P193" s="41"/>
      <c r="Q193" s="41"/>
      <c r="R193" s="41"/>
      <c r="S193" s="41"/>
      <c r="T193" s="40"/>
      <c r="AC193" s="84">
        <f ca="1">FL89</f>
        <v>1</v>
      </c>
      <c r="AV193" s="58"/>
      <c r="AW193" s="58"/>
      <c r="AX193" s="58"/>
      <c r="AY193" s="58"/>
      <c r="AZ193" s="58"/>
      <c r="BA193" s="58"/>
      <c r="BB193" s="58"/>
      <c r="BC193" s="58"/>
      <c r="BD193" s="58"/>
      <c r="BE193" s="58"/>
      <c r="BF193" s="58"/>
      <c r="BG193" s="58"/>
      <c r="BH193" s="58"/>
      <c r="BI193" s="58"/>
      <c r="BJ193" s="58"/>
      <c r="BK193" s="58"/>
      <c r="BL193" s="58"/>
      <c r="BM193" s="58"/>
      <c r="BN193" s="58"/>
      <c r="BO193" s="58"/>
      <c r="BP193" s="58"/>
      <c r="BQ193" s="58"/>
      <c r="BR193" s="58"/>
      <c r="BS193" s="58"/>
      <c r="BT193" s="58"/>
      <c r="BU193" s="58"/>
      <c r="BV193" s="58"/>
      <c r="BW193" s="58"/>
      <c r="BX193" s="58"/>
      <c r="BY193" s="58"/>
      <c r="BZ193" s="58"/>
      <c r="CA193" s="58"/>
      <c r="CB193" s="58"/>
      <c r="CC193" s="58"/>
      <c r="CD193" s="58"/>
      <c r="CE193" s="58"/>
      <c r="CF193" s="58"/>
      <c r="CG193" s="58"/>
      <c r="CH193" s="58"/>
      <c r="CI193" s="58"/>
      <c r="CJ193" s="58"/>
      <c r="CK193" s="58"/>
      <c r="CL193" s="58"/>
      <c r="CM193" s="58"/>
      <c r="CN193" s="58"/>
      <c r="CO193" s="58"/>
      <c r="CP193" s="58"/>
      <c r="CQ193" s="58"/>
      <c r="CR193" s="44"/>
      <c r="CS193" s="44"/>
      <c r="CT193" s="44"/>
      <c r="CU193" s="48"/>
      <c r="CV193" s="142"/>
      <c r="CW193" s="44"/>
      <c r="CX193" s="83"/>
      <c r="CY193" s="83"/>
      <c r="CZ193" s="83"/>
      <c r="DA193" s="44"/>
      <c r="DB193" s="143"/>
      <c r="DC193" s="44"/>
      <c r="DD193" s="44"/>
      <c r="DE193" s="44"/>
      <c r="DF193" s="44"/>
      <c r="DG193" s="44"/>
      <c r="DH193" s="44"/>
      <c r="DI193" s="75"/>
      <c r="DM193" s="87"/>
      <c r="DN193" s="99"/>
      <c r="DQ193" s="87"/>
      <c r="DR193" s="99"/>
      <c r="DS193" s="44"/>
      <c r="DT193" s="83"/>
      <c r="DU193" s="83"/>
      <c r="DV193" s="83"/>
      <c r="DW193" s="44"/>
      <c r="DX193" s="144"/>
      <c r="DY193" s="144"/>
      <c r="DZ193" s="144"/>
      <c r="EA193" s="58"/>
      <c r="EB193" s="58"/>
      <c r="EC193" s="58"/>
      <c r="ED193" s="58"/>
      <c r="EE193" s="58"/>
      <c r="EF193" s="58"/>
      <c r="EG193" s="58"/>
      <c r="EH193" s="58"/>
      <c r="EI193" s="58"/>
      <c r="EJ193" s="58"/>
      <c r="EK193" s="58"/>
      <c r="EL193" s="58"/>
      <c r="EM193" s="58"/>
      <c r="EN193" s="58"/>
      <c r="EO193" s="58"/>
      <c r="EP193" s="58"/>
      <c r="EQ193" s="58"/>
      <c r="ER193" s="58"/>
      <c r="ES193" s="58"/>
      <c r="ET193" s="58"/>
      <c r="EU193" s="58"/>
      <c r="EV193" s="58"/>
      <c r="EW193" s="58"/>
      <c r="EX193" s="58"/>
      <c r="EY193" s="58"/>
      <c r="EZ193" s="58"/>
      <c r="FA193" s="58"/>
      <c r="FB193" s="58"/>
      <c r="FC193" s="58"/>
      <c r="FD193" s="58"/>
      <c r="FE193" s="58"/>
      <c r="FF193" s="58"/>
      <c r="FG193" s="58"/>
      <c r="FH193" s="58"/>
      <c r="FI193" s="58"/>
      <c r="FJ193" s="58"/>
      <c r="FK193" s="58"/>
      <c r="FL193" s="58"/>
      <c r="FM193" s="58"/>
      <c r="FN193" s="58"/>
      <c r="FO193" s="58"/>
      <c r="FP193" s="58"/>
      <c r="FQ193" s="58"/>
      <c r="FR193" s="58"/>
      <c r="FS193" s="58"/>
      <c r="FT193" s="58"/>
      <c r="FU193" s="58"/>
      <c r="FV193" s="58"/>
      <c r="FW193" s="58"/>
      <c r="FX193" s="58"/>
      <c r="FY193" s="58"/>
      <c r="FZ193" s="58"/>
      <c r="GA193" s="58"/>
      <c r="GB193" s="58"/>
      <c r="GC193" s="58"/>
      <c r="GD193" s="58"/>
      <c r="GE193" s="58"/>
      <c r="GF193" s="58"/>
      <c r="GG193" s="58"/>
      <c r="GH193" s="58"/>
      <c r="GI193" s="58"/>
      <c r="GJ193" s="58"/>
      <c r="GK193" s="58"/>
      <c r="GL193" s="58"/>
      <c r="GM193" s="58"/>
      <c r="GN193" s="58"/>
      <c r="GO193" s="58"/>
      <c r="GP193" s="58"/>
      <c r="GQ193" s="58"/>
      <c r="GR193" s="58"/>
      <c r="GS193" s="58"/>
      <c r="GT193" s="58"/>
      <c r="GU193" s="58"/>
      <c r="GV193" s="58"/>
      <c r="GW193" s="58"/>
      <c r="GX193" s="58"/>
      <c r="GY193" s="58"/>
      <c r="GZ193" s="58"/>
      <c r="HA193" s="58"/>
      <c r="HB193" s="58"/>
      <c r="HC193" s="58"/>
      <c r="HD193" s="58"/>
      <c r="HE193" s="58"/>
      <c r="HF193" s="58"/>
      <c r="HG193" s="58"/>
      <c r="HH193" s="58"/>
      <c r="HI193" s="58"/>
      <c r="HJ193" s="58"/>
      <c r="HK193" s="58"/>
      <c r="HL193" s="58"/>
      <c r="HM193" s="58"/>
      <c r="HN193" s="58"/>
      <c r="HO193" s="58"/>
      <c r="HP193" s="58"/>
      <c r="HQ193" s="58"/>
      <c r="HR193" s="58"/>
      <c r="HS193" s="58"/>
      <c r="HT193" s="58"/>
      <c r="HU193" s="58"/>
      <c r="HV193" s="58"/>
      <c r="HW193" s="58"/>
      <c r="HX193" s="58"/>
      <c r="HY193" s="58"/>
      <c r="HZ193" s="58"/>
      <c r="IA193" s="58"/>
      <c r="IB193" s="58"/>
      <c r="IC193" s="58"/>
      <c r="ID193" s="58"/>
      <c r="IE193" s="58"/>
      <c r="IF193" s="58"/>
      <c r="IG193" s="58"/>
      <c r="IH193" s="58"/>
      <c r="II193" s="58"/>
      <c r="IJ193" s="58"/>
      <c r="IK193" s="58"/>
      <c r="IL193" s="58"/>
      <c r="IM193" s="58"/>
      <c r="IN193" s="58"/>
      <c r="IO193" s="58"/>
      <c r="IP193" s="58"/>
      <c r="IQ193" s="58"/>
      <c r="IR193" s="58"/>
      <c r="IS193" s="58"/>
      <c r="IT193" s="58"/>
      <c r="IU193" s="58"/>
    </row>
    <row r="194" spans="1:255" s="57" customFormat="1" ht="13.65" customHeight="1" x14ac:dyDescent="0.3">
      <c r="M194" s="40"/>
      <c r="N194" s="40"/>
      <c r="O194" s="40"/>
      <c r="P194" s="41"/>
      <c r="Q194" s="41"/>
      <c r="R194" s="41"/>
      <c r="S194" s="41"/>
      <c r="T194" s="40"/>
      <c r="AC194" s="84">
        <f ca="1">FM89</f>
        <v>1</v>
      </c>
      <c r="AV194" s="58"/>
      <c r="AW194" s="58"/>
      <c r="AX194" s="58"/>
      <c r="AY194" s="58"/>
      <c r="AZ194" s="58"/>
      <c r="BA194" s="58"/>
      <c r="BB194" s="58"/>
      <c r="BC194" s="58"/>
      <c r="BD194" s="58"/>
      <c r="BE194" s="58"/>
      <c r="BF194" s="58"/>
      <c r="BG194" s="58"/>
      <c r="BH194" s="58"/>
      <c r="BI194" s="58"/>
      <c r="BJ194" s="58"/>
      <c r="BK194" s="58"/>
      <c r="BL194" s="58"/>
      <c r="BM194" s="58"/>
      <c r="BN194" s="58"/>
      <c r="BO194" s="58"/>
      <c r="BP194" s="58"/>
      <c r="BQ194" s="58"/>
      <c r="BR194" s="58"/>
      <c r="BS194" s="58"/>
      <c r="BT194" s="58"/>
      <c r="BU194" s="58"/>
      <c r="BV194" s="58"/>
      <c r="BW194" s="58"/>
      <c r="BX194" s="58"/>
      <c r="BY194" s="58"/>
      <c r="BZ194" s="58"/>
      <c r="CA194" s="58"/>
      <c r="CB194" s="58"/>
      <c r="CC194" s="58"/>
      <c r="CD194" s="58"/>
      <c r="CE194" s="58"/>
      <c r="CF194" s="58"/>
      <c r="CG194" s="58"/>
      <c r="CH194" s="58"/>
      <c r="CI194" s="58"/>
      <c r="CJ194" s="58"/>
      <c r="CK194" s="58"/>
      <c r="CL194" s="58"/>
      <c r="CM194" s="58"/>
      <c r="CN194" s="58"/>
      <c r="CO194" s="58"/>
      <c r="CP194" s="58"/>
      <c r="CQ194" s="58"/>
      <c r="CR194" s="44"/>
      <c r="CS194" s="44"/>
      <c r="CT194" s="44"/>
      <c r="CU194" s="48"/>
      <c r="CV194" s="142"/>
      <c r="CW194" s="44"/>
      <c r="CX194" s="83"/>
      <c r="CY194" s="83"/>
      <c r="CZ194" s="83"/>
      <c r="DA194" s="44"/>
      <c r="DB194" s="143"/>
      <c r="DC194" s="44"/>
      <c r="DD194" s="44"/>
      <c r="DE194" s="44"/>
      <c r="DF194" s="44"/>
      <c r="DG194" s="44"/>
      <c r="DH194" s="44"/>
      <c r="DI194" s="75"/>
      <c r="DM194" s="87"/>
      <c r="DN194" s="99"/>
      <c r="DQ194" s="87"/>
      <c r="DR194" s="99"/>
      <c r="DS194" s="44"/>
      <c r="DT194" s="83"/>
      <c r="DU194" s="83"/>
      <c r="DV194" s="83"/>
      <c r="DW194" s="44"/>
      <c r="DX194" s="144"/>
      <c r="DY194" s="144"/>
      <c r="DZ194" s="144"/>
      <c r="EA194" s="58"/>
      <c r="EB194" s="58"/>
      <c r="EC194" s="58"/>
      <c r="ED194" s="58"/>
      <c r="EE194" s="58"/>
      <c r="EF194" s="58"/>
      <c r="EG194" s="58"/>
      <c r="EH194" s="58"/>
      <c r="EI194" s="58"/>
      <c r="EJ194" s="58"/>
      <c r="EK194" s="58"/>
      <c r="EL194" s="58"/>
      <c r="EM194" s="58"/>
      <c r="EN194" s="58"/>
      <c r="EO194" s="58"/>
      <c r="EP194" s="58"/>
      <c r="EQ194" s="58"/>
      <c r="ER194" s="58"/>
      <c r="ES194" s="58"/>
      <c r="ET194" s="58"/>
      <c r="EU194" s="58"/>
      <c r="EV194" s="58"/>
      <c r="EW194" s="58"/>
      <c r="EX194" s="58"/>
      <c r="EY194" s="58"/>
      <c r="EZ194" s="58"/>
      <c r="FA194" s="58"/>
      <c r="FB194" s="58"/>
      <c r="FC194" s="58"/>
      <c r="FD194" s="58"/>
      <c r="FE194" s="58"/>
      <c r="FF194" s="58"/>
      <c r="FG194" s="58"/>
      <c r="FH194" s="58"/>
      <c r="FI194" s="58"/>
      <c r="FJ194" s="58"/>
      <c r="FK194" s="58"/>
      <c r="FL194" s="58"/>
      <c r="FM194" s="58"/>
      <c r="FN194" s="58"/>
      <c r="FO194" s="58"/>
      <c r="FP194" s="58"/>
      <c r="FQ194" s="58"/>
      <c r="FR194" s="58"/>
      <c r="FS194" s="58"/>
      <c r="FT194" s="58"/>
      <c r="FU194" s="58"/>
      <c r="FV194" s="58"/>
      <c r="FW194" s="58"/>
      <c r="FX194" s="58"/>
      <c r="FY194" s="58"/>
      <c r="FZ194" s="58"/>
      <c r="GA194" s="58"/>
      <c r="GB194" s="58"/>
      <c r="GC194" s="58"/>
      <c r="GD194" s="58"/>
      <c r="GE194" s="58"/>
      <c r="GF194" s="58"/>
      <c r="GG194" s="58"/>
      <c r="GH194" s="58"/>
      <c r="GI194" s="58"/>
      <c r="GJ194" s="58"/>
      <c r="GK194" s="58"/>
      <c r="GL194" s="58"/>
      <c r="GM194" s="58"/>
      <c r="GN194" s="58"/>
      <c r="GO194" s="58"/>
      <c r="GP194" s="58"/>
      <c r="GQ194" s="58"/>
      <c r="GR194" s="58"/>
      <c r="GS194" s="58"/>
      <c r="GT194" s="58"/>
      <c r="GU194" s="58"/>
      <c r="GV194" s="58"/>
      <c r="GW194" s="58"/>
      <c r="GX194" s="58"/>
      <c r="GY194" s="58"/>
      <c r="GZ194" s="58"/>
      <c r="HA194" s="58"/>
      <c r="HB194" s="58"/>
      <c r="HC194" s="58"/>
      <c r="HD194" s="58"/>
      <c r="HE194" s="58"/>
      <c r="HF194" s="58"/>
      <c r="HG194" s="58"/>
      <c r="HH194" s="58"/>
      <c r="HI194" s="58"/>
      <c r="HJ194" s="58"/>
      <c r="HK194" s="58"/>
      <c r="HL194" s="58"/>
      <c r="HM194" s="58"/>
      <c r="HN194" s="58"/>
      <c r="HO194" s="58"/>
      <c r="HP194" s="58"/>
      <c r="HQ194" s="58"/>
      <c r="HR194" s="58"/>
      <c r="HS194" s="58"/>
      <c r="HT194" s="58"/>
      <c r="HU194" s="58"/>
      <c r="HV194" s="58"/>
      <c r="HW194" s="58"/>
      <c r="HX194" s="58"/>
      <c r="HY194" s="58"/>
      <c r="HZ194" s="58"/>
      <c r="IA194" s="58"/>
      <c r="IB194" s="58"/>
      <c r="IC194" s="58"/>
      <c r="ID194" s="58"/>
      <c r="IE194" s="58"/>
      <c r="IF194" s="58"/>
      <c r="IG194" s="58"/>
      <c r="IH194" s="58"/>
      <c r="II194" s="58"/>
      <c r="IJ194" s="58"/>
      <c r="IK194" s="58"/>
      <c r="IL194" s="58"/>
      <c r="IM194" s="58"/>
      <c r="IN194" s="58"/>
      <c r="IO194" s="58"/>
      <c r="IP194" s="58"/>
      <c r="IQ194" s="58"/>
      <c r="IR194" s="58"/>
      <c r="IS194" s="58"/>
      <c r="IT194" s="58"/>
      <c r="IU194" s="58"/>
    </row>
    <row r="195" spans="1:255" s="57" customFormat="1" ht="13.65" customHeight="1" x14ac:dyDescent="0.3">
      <c r="M195" s="40"/>
      <c r="N195" s="40"/>
      <c r="O195" s="40"/>
      <c r="P195" s="41"/>
      <c r="Q195" s="41"/>
      <c r="R195" s="41"/>
      <c r="S195" s="41"/>
      <c r="T195" s="40"/>
      <c r="AV195" s="58"/>
      <c r="AW195" s="58"/>
      <c r="AX195" s="58"/>
      <c r="AY195" s="58"/>
      <c r="AZ195" s="58"/>
      <c r="BA195" s="58"/>
      <c r="BB195" s="58"/>
      <c r="BC195" s="58"/>
      <c r="BD195" s="58"/>
      <c r="BE195" s="58"/>
      <c r="BF195" s="58"/>
      <c r="BG195" s="58"/>
      <c r="BH195" s="58"/>
      <c r="BI195" s="58"/>
      <c r="BJ195" s="58"/>
      <c r="BK195" s="58"/>
      <c r="BL195" s="58"/>
      <c r="BM195" s="58"/>
      <c r="BN195" s="58"/>
      <c r="BO195" s="58"/>
      <c r="BP195" s="58"/>
      <c r="BQ195" s="58"/>
      <c r="BR195" s="58"/>
      <c r="BS195" s="58"/>
      <c r="BT195" s="58"/>
      <c r="BU195" s="58"/>
      <c r="BV195" s="58"/>
      <c r="BW195" s="58"/>
      <c r="BX195" s="58"/>
      <c r="BY195" s="58"/>
      <c r="BZ195" s="58"/>
      <c r="CA195" s="58"/>
      <c r="CB195" s="58"/>
      <c r="CC195" s="58"/>
      <c r="CD195" s="58"/>
      <c r="CE195" s="58"/>
      <c r="CF195" s="58"/>
      <c r="CG195" s="58"/>
      <c r="CH195" s="58"/>
      <c r="CI195" s="58"/>
      <c r="CJ195" s="58"/>
      <c r="CK195" s="58"/>
      <c r="CL195" s="58"/>
      <c r="CM195" s="58"/>
      <c r="CN195" s="58"/>
      <c r="CO195" s="58"/>
      <c r="CP195" s="58"/>
      <c r="CQ195" s="58"/>
      <c r="CR195" s="44"/>
      <c r="CS195" s="44"/>
      <c r="CT195" s="44"/>
      <c r="CU195" s="48"/>
      <c r="CV195" s="142"/>
      <c r="CW195" s="44"/>
      <c r="CX195" s="83"/>
      <c r="CY195" s="83"/>
      <c r="CZ195" s="83"/>
      <c r="DA195" s="44"/>
      <c r="DB195" s="143"/>
      <c r="DC195" s="44"/>
      <c r="DD195" s="44"/>
      <c r="DE195" s="44"/>
      <c r="DF195" s="44"/>
      <c r="DG195" s="44"/>
      <c r="DH195" s="44"/>
      <c r="DI195" s="75"/>
      <c r="DM195" s="87"/>
      <c r="DN195" s="99"/>
      <c r="DQ195" s="87"/>
      <c r="DR195" s="99"/>
      <c r="DS195" s="44"/>
      <c r="DT195" s="83"/>
      <c r="DU195" s="83"/>
      <c r="DV195" s="83"/>
      <c r="DW195" s="44"/>
      <c r="DX195" s="144"/>
      <c r="DY195" s="144"/>
      <c r="DZ195" s="144"/>
      <c r="EA195" s="58"/>
      <c r="EB195" s="58"/>
      <c r="EC195" s="58"/>
      <c r="ED195" s="58"/>
      <c r="EE195" s="58"/>
      <c r="EF195" s="58"/>
      <c r="EG195" s="58"/>
      <c r="EH195" s="58"/>
      <c r="EI195" s="58"/>
      <c r="EJ195" s="58"/>
      <c r="EK195" s="58"/>
      <c r="EL195" s="58"/>
      <c r="EM195" s="58"/>
      <c r="EN195" s="58"/>
      <c r="EO195" s="58"/>
      <c r="EP195" s="58"/>
      <c r="EQ195" s="58"/>
      <c r="ER195" s="58"/>
      <c r="ES195" s="58"/>
      <c r="ET195" s="58"/>
      <c r="EU195" s="58"/>
      <c r="EV195" s="58"/>
      <c r="EW195" s="58"/>
      <c r="EX195" s="58"/>
      <c r="EY195" s="58"/>
      <c r="EZ195" s="58"/>
      <c r="FA195" s="58"/>
      <c r="FB195" s="58"/>
      <c r="FC195" s="58"/>
      <c r="FD195" s="58"/>
      <c r="FE195" s="58"/>
      <c r="FF195" s="58"/>
      <c r="FG195" s="58"/>
      <c r="FH195" s="58"/>
      <c r="FI195" s="58"/>
      <c r="FJ195" s="58"/>
      <c r="FK195" s="58"/>
      <c r="FL195" s="58"/>
      <c r="FM195" s="58"/>
      <c r="FN195" s="58"/>
      <c r="FO195" s="58"/>
      <c r="FP195" s="58"/>
      <c r="FQ195" s="58"/>
      <c r="FR195" s="58"/>
      <c r="FS195" s="58"/>
      <c r="FT195" s="58"/>
      <c r="FU195" s="58"/>
      <c r="FV195" s="58"/>
      <c r="FW195" s="58"/>
      <c r="FX195" s="58"/>
      <c r="FY195" s="58"/>
      <c r="FZ195" s="58"/>
      <c r="GA195" s="58"/>
      <c r="GB195" s="58"/>
      <c r="GC195" s="58"/>
      <c r="GD195" s="58"/>
      <c r="GE195" s="58"/>
      <c r="GF195" s="58"/>
      <c r="GG195" s="58"/>
      <c r="GH195" s="58"/>
      <c r="GI195" s="58"/>
      <c r="GJ195" s="58"/>
      <c r="GK195" s="58"/>
      <c r="GL195" s="58"/>
      <c r="GM195" s="58"/>
      <c r="GN195" s="58"/>
      <c r="GO195" s="58"/>
      <c r="GP195" s="58"/>
      <c r="GQ195" s="58"/>
      <c r="GR195" s="58"/>
      <c r="GS195" s="58"/>
      <c r="GT195" s="58"/>
      <c r="GU195" s="58"/>
      <c r="GV195" s="58"/>
      <c r="GW195" s="58"/>
      <c r="GX195" s="58"/>
      <c r="GY195" s="58"/>
      <c r="GZ195" s="58"/>
      <c r="HA195" s="58"/>
      <c r="HB195" s="58"/>
      <c r="HC195" s="58"/>
      <c r="HD195" s="58"/>
      <c r="HE195" s="58"/>
      <c r="HF195" s="58"/>
      <c r="HG195" s="58"/>
      <c r="HH195" s="58"/>
      <c r="HI195" s="58"/>
      <c r="HJ195" s="58"/>
      <c r="HK195" s="58"/>
      <c r="HL195" s="58"/>
      <c r="HM195" s="58"/>
      <c r="HN195" s="58"/>
      <c r="HO195" s="58"/>
      <c r="HP195" s="58"/>
      <c r="HQ195" s="58"/>
      <c r="HR195" s="58"/>
      <c r="HS195" s="58"/>
      <c r="HT195" s="58"/>
      <c r="HU195" s="58"/>
      <c r="HV195" s="58"/>
      <c r="HW195" s="58"/>
      <c r="HX195" s="58"/>
      <c r="HY195" s="58"/>
      <c r="HZ195" s="58"/>
      <c r="IA195" s="58"/>
      <c r="IB195" s="58"/>
      <c r="IC195" s="58"/>
      <c r="ID195" s="58"/>
      <c r="IE195" s="58"/>
      <c r="IF195" s="58"/>
      <c r="IG195" s="58"/>
      <c r="IH195" s="58"/>
      <c r="II195" s="58"/>
      <c r="IJ195" s="58"/>
      <c r="IK195" s="58"/>
      <c r="IL195" s="58"/>
      <c r="IM195" s="58"/>
      <c r="IN195" s="58"/>
      <c r="IO195" s="58"/>
      <c r="IP195" s="58"/>
      <c r="IQ195" s="58"/>
      <c r="IR195" s="58"/>
      <c r="IS195" s="58"/>
      <c r="IT195" s="58"/>
      <c r="IU195" s="58"/>
    </row>
    <row r="196" spans="1:255" s="57" customFormat="1" ht="13.65" customHeight="1" x14ac:dyDescent="0.3">
      <c r="M196" s="40"/>
      <c r="N196" s="40"/>
      <c r="O196" s="40"/>
      <c r="P196" s="41"/>
      <c r="Q196" s="41"/>
      <c r="R196" s="41"/>
      <c r="S196" s="41"/>
      <c r="T196" s="40"/>
      <c r="AC196" s="57" t="str">
        <f ca="1">INDEX(I72:I75,MATCH(J77,J72:J75,0))</f>
        <v>Hoffman Criteria</v>
      </c>
      <c r="AV196" s="58"/>
      <c r="AW196" s="58"/>
      <c r="AX196" s="58"/>
      <c r="AY196" s="58"/>
      <c r="AZ196" s="58"/>
      <c r="BA196" s="58"/>
      <c r="BB196" s="58"/>
      <c r="BC196" s="58"/>
      <c r="BD196" s="58"/>
      <c r="BE196" s="58"/>
      <c r="BF196" s="58"/>
      <c r="BG196" s="58"/>
      <c r="BH196" s="58"/>
      <c r="BI196" s="58"/>
      <c r="BJ196" s="58"/>
      <c r="BK196" s="58"/>
      <c r="BL196" s="58"/>
      <c r="BM196" s="58"/>
      <c r="BN196" s="58"/>
      <c r="BO196" s="58"/>
      <c r="BP196" s="58"/>
      <c r="BQ196" s="58"/>
      <c r="BR196" s="58"/>
      <c r="BS196" s="58"/>
      <c r="BT196" s="58"/>
      <c r="BU196" s="58"/>
      <c r="BV196" s="58"/>
      <c r="BW196" s="58"/>
      <c r="BX196" s="58"/>
      <c r="BY196" s="58"/>
      <c r="BZ196" s="58"/>
      <c r="CA196" s="58"/>
      <c r="CB196" s="58"/>
      <c r="CC196" s="58"/>
      <c r="CD196" s="58"/>
      <c r="CE196" s="58"/>
      <c r="CF196" s="58"/>
      <c r="CG196" s="58"/>
      <c r="CH196" s="58"/>
      <c r="CI196" s="58"/>
      <c r="CJ196" s="58"/>
      <c r="CK196" s="58"/>
      <c r="CL196" s="58"/>
      <c r="CM196" s="58"/>
      <c r="CN196" s="58"/>
      <c r="CO196" s="58"/>
      <c r="CP196" s="58"/>
      <c r="CQ196" s="58"/>
      <c r="CR196" s="44"/>
      <c r="CS196" s="44"/>
      <c r="CT196" s="44"/>
      <c r="CU196" s="48"/>
      <c r="CV196" s="142"/>
      <c r="CW196" s="44"/>
      <c r="CX196" s="83"/>
      <c r="CY196" s="83"/>
      <c r="CZ196" s="83"/>
      <c r="DA196" s="44"/>
      <c r="DB196" s="143"/>
      <c r="DC196" s="44"/>
      <c r="DD196" s="44"/>
      <c r="DE196" s="44"/>
      <c r="DF196" s="44"/>
      <c r="DG196" s="44"/>
      <c r="DH196" s="44"/>
      <c r="DI196" s="75"/>
      <c r="DM196" s="87"/>
      <c r="DN196" s="99"/>
      <c r="DQ196" s="87"/>
      <c r="DR196" s="99"/>
      <c r="DS196" s="44"/>
      <c r="DT196" s="83"/>
      <c r="DU196" s="83"/>
      <c r="DV196" s="83"/>
      <c r="DW196" s="44"/>
      <c r="DX196" s="144"/>
      <c r="DY196" s="144"/>
      <c r="DZ196" s="144"/>
      <c r="EA196" s="58"/>
      <c r="EB196" s="58"/>
      <c r="EC196" s="58"/>
      <c r="ED196" s="58"/>
      <c r="EE196" s="58"/>
      <c r="EF196" s="58"/>
      <c r="EG196" s="58"/>
      <c r="EH196" s="58"/>
      <c r="EI196" s="58"/>
      <c r="EJ196" s="58"/>
      <c r="EK196" s="58"/>
      <c r="EL196" s="58"/>
      <c r="EM196" s="58"/>
      <c r="EN196" s="58"/>
      <c r="EO196" s="58"/>
      <c r="EP196" s="58"/>
      <c r="EQ196" s="58"/>
      <c r="ER196" s="58"/>
      <c r="ES196" s="58"/>
      <c r="ET196" s="58"/>
      <c r="EU196" s="58"/>
      <c r="EV196" s="58"/>
      <c r="EW196" s="58"/>
      <c r="EX196" s="58"/>
      <c r="EY196" s="58"/>
      <c r="EZ196" s="58"/>
      <c r="FA196" s="58"/>
      <c r="FB196" s="58"/>
      <c r="FC196" s="58"/>
      <c r="FD196" s="58"/>
      <c r="FE196" s="58"/>
      <c r="FF196" s="58"/>
      <c r="FG196" s="58"/>
      <c r="FH196" s="58"/>
      <c r="FI196" s="58"/>
      <c r="FJ196" s="58"/>
      <c r="FK196" s="58"/>
      <c r="FL196" s="58"/>
      <c r="FM196" s="58"/>
      <c r="FN196" s="58"/>
      <c r="FO196" s="58"/>
      <c r="FP196" s="58"/>
      <c r="FQ196" s="58"/>
      <c r="FR196" s="58"/>
      <c r="FS196" s="58"/>
      <c r="FT196" s="58"/>
      <c r="FU196" s="58"/>
      <c r="FV196" s="58"/>
      <c r="FW196" s="58"/>
      <c r="FX196" s="58"/>
      <c r="FY196" s="58"/>
      <c r="FZ196" s="58"/>
      <c r="GA196" s="58"/>
      <c r="GB196" s="58"/>
      <c r="GC196" s="58"/>
      <c r="GD196" s="58"/>
      <c r="GE196" s="58"/>
      <c r="GF196" s="58"/>
      <c r="GG196" s="58"/>
      <c r="GH196" s="58"/>
      <c r="GI196" s="58"/>
      <c r="GJ196" s="58"/>
      <c r="GK196" s="58"/>
      <c r="GL196" s="58"/>
      <c r="GM196" s="58"/>
      <c r="GN196" s="58"/>
      <c r="GO196" s="58"/>
      <c r="GP196" s="58"/>
      <c r="GQ196" s="58"/>
      <c r="GR196" s="58"/>
      <c r="GS196" s="58"/>
      <c r="GT196" s="58"/>
      <c r="GU196" s="58"/>
      <c r="GV196" s="58"/>
      <c r="GW196" s="58"/>
      <c r="GX196" s="58"/>
      <c r="GY196" s="58"/>
      <c r="GZ196" s="58"/>
      <c r="HA196" s="58"/>
      <c r="HB196" s="58"/>
      <c r="HC196" s="58"/>
      <c r="HD196" s="58"/>
      <c r="HE196" s="58"/>
      <c r="HF196" s="58"/>
      <c r="HG196" s="58"/>
      <c r="HH196" s="58"/>
      <c r="HI196" s="58"/>
      <c r="HJ196" s="58"/>
      <c r="HK196" s="58"/>
      <c r="HL196" s="58"/>
      <c r="HM196" s="58"/>
      <c r="HN196" s="58"/>
      <c r="HO196" s="58"/>
      <c r="HP196" s="58"/>
      <c r="HQ196" s="58"/>
      <c r="HR196" s="58"/>
      <c r="HS196" s="58"/>
      <c r="HT196" s="58"/>
      <c r="HU196" s="58"/>
      <c r="HV196" s="58"/>
      <c r="HW196" s="58"/>
      <c r="HX196" s="58"/>
      <c r="HY196" s="58"/>
      <c r="HZ196" s="58"/>
      <c r="IA196" s="58"/>
      <c r="IB196" s="58"/>
      <c r="IC196" s="58"/>
      <c r="ID196" s="58"/>
      <c r="IE196" s="58"/>
      <c r="IF196" s="58"/>
      <c r="IG196" s="58"/>
      <c r="IH196" s="58"/>
      <c r="II196" s="58"/>
      <c r="IJ196" s="58"/>
      <c r="IK196" s="58"/>
      <c r="IL196" s="58"/>
      <c r="IM196" s="58"/>
      <c r="IN196" s="58"/>
      <c r="IO196" s="58"/>
      <c r="IP196" s="58"/>
      <c r="IQ196" s="58"/>
      <c r="IR196" s="58"/>
      <c r="IS196" s="58"/>
      <c r="IT196" s="58"/>
      <c r="IU196" s="58"/>
    </row>
    <row r="197" spans="1:255" s="57" customFormat="1" ht="13.65" customHeight="1" x14ac:dyDescent="0.3">
      <c r="M197" s="40"/>
      <c r="N197" s="40"/>
      <c r="O197" s="40"/>
      <c r="P197" s="41"/>
      <c r="Q197" s="41"/>
      <c r="R197" s="41"/>
      <c r="S197" s="41"/>
      <c r="T197" s="40"/>
      <c r="AV197" s="58"/>
      <c r="AW197" s="58"/>
      <c r="AX197" s="58"/>
      <c r="AY197" s="58"/>
      <c r="AZ197" s="58"/>
      <c r="BA197" s="58"/>
      <c r="BB197" s="58"/>
      <c r="BC197" s="58"/>
      <c r="BD197" s="58"/>
      <c r="BE197" s="58"/>
      <c r="BF197" s="58"/>
      <c r="BG197" s="58"/>
      <c r="BH197" s="58"/>
      <c r="BI197" s="58"/>
      <c r="BJ197" s="58"/>
      <c r="BK197" s="58"/>
      <c r="BL197" s="58"/>
      <c r="BM197" s="58"/>
      <c r="BN197" s="58"/>
      <c r="BO197" s="58"/>
      <c r="BP197" s="58"/>
      <c r="BQ197" s="58"/>
      <c r="BR197" s="58"/>
      <c r="BS197" s="58"/>
      <c r="BT197" s="58"/>
      <c r="BU197" s="58"/>
      <c r="BV197" s="58"/>
      <c r="BW197" s="58"/>
      <c r="BX197" s="58"/>
      <c r="BY197" s="58"/>
      <c r="BZ197" s="58"/>
      <c r="CA197" s="58"/>
      <c r="CB197" s="58"/>
      <c r="CC197" s="58"/>
      <c r="CD197" s="58"/>
      <c r="CE197" s="58"/>
      <c r="CF197" s="58"/>
      <c r="CG197" s="58"/>
      <c r="CH197" s="58"/>
      <c r="CI197" s="58"/>
      <c r="CJ197" s="58"/>
      <c r="CK197" s="58"/>
      <c r="CL197" s="58"/>
      <c r="CM197" s="58"/>
      <c r="CN197" s="58"/>
      <c r="CO197" s="58"/>
      <c r="CP197" s="58"/>
      <c r="CQ197" s="58"/>
      <c r="CR197" s="44"/>
      <c r="CS197" s="44"/>
      <c r="CT197" s="44"/>
      <c r="CU197" s="48"/>
      <c r="CV197" s="142"/>
      <c r="CW197" s="44"/>
      <c r="CX197" s="83"/>
      <c r="CY197" s="83"/>
      <c r="CZ197" s="83"/>
      <c r="DA197" s="44"/>
      <c r="DB197" s="143"/>
      <c r="DC197" s="44"/>
      <c r="DD197" s="44"/>
      <c r="DE197" s="44"/>
      <c r="DF197" s="44"/>
      <c r="DG197" s="44"/>
      <c r="DH197" s="44"/>
      <c r="DI197" s="75"/>
      <c r="DM197" s="87"/>
      <c r="DN197" s="99"/>
      <c r="DQ197" s="87"/>
      <c r="DR197" s="99"/>
      <c r="DS197" s="44"/>
      <c r="DT197" s="83"/>
      <c r="DU197" s="83"/>
      <c r="DV197" s="83"/>
      <c r="DW197" s="44"/>
      <c r="DX197" s="144"/>
      <c r="DY197" s="144"/>
      <c r="DZ197" s="144"/>
      <c r="EA197" s="58"/>
      <c r="EB197" s="58"/>
      <c r="EC197" s="58"/>
      <c r="ED197" s="58"/>
      <c r="EE197" s="58"/>
      <c r="EF197" s="58"/>
      <c r="EG197" s="58"/>
      <c r="EH197" s="58"/>
      <c r="EI197" s="58"/>
      <c r="EJ197" s="58"/>
      <c r="EK197" s="58"/>
      <c r="EL197" s="58"/>
      <c r="EM197" s="58"/>
      <c r="EN197" s="58"/>
      <c r="EO197" s="58"/>
      <c r="EP197" s="58"/>
      <c r="EQ197" s="58"/>
      <c r="ER197" s="58"/>
      <c r="ES197" s="58"/>
      <c r="ET197" s="58"/>
      <c r="EU197" s="58"/>
      <c r="EV197" s="58"/>
      <c r="EW197" s="58"/>
      <c r="EX197" s="58"/>
      <c r="EY197" s="58"/>
      <c r="EZ197" s="58"/>
      <c r="FA197" s="58"/>
      <c r="FB197" s="58"/>
      <c r="FC197" s="58"/>
      <c r="FD197" s="58"/>
      <c r="FE197" s="58"/>
      <c r="FF197" s="58"/>
      <c r="FG197" s="58"/>
      <c r="FH197" s="58"/>
      <c r="FI197" s="58"/>
      <c r="FJ197" s="58"/>
      <c r="FK197" s="58"/>
      <c r="FL197" s="58"/>
      <c r="FM197" s="58"/>
      <c r="FN197" s="58"/>
      <c r="FO197" s="58"/>
      <c r="FP197" s="58"/>
      <c r="FQ197" s="58"/>
      <c r="FR197" s="58"/>
      <c r="FS197" s="58"/>
      <c r="FT197" s="58"/>
      <c r="FU197" s="58"/>
      <c r="FV197" s="58"/>
      <c r="FW197" s="58"/>
      <c r="FX197" s="58"/>
      <c r="FY197" s="58"/>
      <c r="FZ197" s="58"/>
      <c r="GA197" s="58"/>
      <c r="GB197" s="58"/>
      <c r="GC197" s="58"/>
      <c r="GD197" s="58"/>
      <c r="GE197" s="58"/>
      <c r="GF197" s="58"/>
      <c r="GG197" s="58"/>
      <c r="GH197" s="58"/>
      <c r="GI197" s="58"/>
      <c r="GJ197" s="58"/>
      <c r="GK197" s="58"/>
      <c r="GL197" s="58"/>
      <c r="GM197" s="58"/>
      <c r="GN197" s="58"/>
      <c r="GO197" s="58"/>
      <c r="GP197" s="58"/>
      <c r="GQ197" s="58"/>
      <c r="GR197" s="58"/>
      <c r="GS197" s="58"/>
      <c r="GT197" s="58"/>
      <c r="GU197" s="58"/>
      <c r="GV197" s="58"/>
      <c r="GW197" s="58"/>
      <c r="GX197" s="58"/>
      <c r="GY197" s="58"/>
      <c r="GZ197" s="58"/>
      <c r="HA197" s="58"/>
      <c r="HB197" s="58"/>
      <c r="HC197" s="58"/>
      <c r="HD197" s="58"/>
      <c r="HE197" s="58"/>
      <c r="HF197" s="58"/>
      <c r="HG197" s="58"/>
      <c r="HH197" s="58"/>
      <c r="HI197" s="58"/>
      <c r="HJ197" s="58"/>
      <c r="HK197" s="58"/>
      <c r="HL197" s="58"/>
      <c r="HM197" s="58"/>
      <c r="HN197" s="58"/>
      <c r="HO197" s="58"/>
      <c r="HP197" s="58"/>
      <c r="HQ197" s="58"/>
      <c r="HR197" s="58"/>
      <c r="HS197" s="58"/>
      <c r="HT197" s="58"/>
      <c r="HU197" s="58"/>
      <c r="HV197" s="58"/>
      <c r="HW197" s="58"/>
      <c r="HX197" s="58"/>
      <c r="HY197" s="58"/>
      <c r="HZ197" s="58"/>
      <c r="IA197" s="58"/>
      <c r="IB197" s="58"/>
      <c r="IC197" s="58"/>
      <c r="ID197" s="58"/>
      <c r="IE197" s="58"/>
      <c r="IF197" s="58"/>
      <c r="IG197" s="58"/>
      <c r="IH197" s="58"/>
      <c r="II197" s="58"/>
      <c r="IJ197" s="58"/>
      <c r="IK197" s="58"/>
      <c r="IL197" s="58"/>
      <c r="IM197" s="58"/>
      <c r="IN197" s="58"/>
      <c r="IO197" s="58"/>
      <c r="IP197" s="58"/>
      <c r="IQ197" s="58"/>
      <c r="IR197" s="58"/>
      <c r="IS197" s="58"/>
      <c r="IT197" s="58"/>
      <c r="IU197" s="58"/>
    </row>
    <row r="198" spans="1:255" s="57" customFormat="1" ht="13.65" customHeight="1" x14ac:dyDescent="0.3">
      <c r="M198" s="40"/>
      <c r="N198" s="40"/>
      <c r="O198" s="40"/>
      <c r="P198" s="41"/>
      <c r="Q198" s="41"/>
      <c r="R198" s="41"/>
      <c r="S198" s="41"/>
      <c r="T198" s="40"/>
      <c r="AI198" s="89"/>
      <c r="AJ198" s="89"/>
      <c r="AK198" s="89"/>
      <c r="AL198" s="89"/>
      <c r="AM198" s="83"/>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c r="CH198" s="58"/>
      <c r="CI198" s="58"/>
      <c r="CJ198" s="58"/>
      <c r="CK198" s="58"/>
      <c r="CL198" s="58"/>
      <c r="CM198" s="58"/>
      <c r="CN198" s="58"/>
      <c r="CO198" s="58"/>
      <c r="CP198" s="58"/>
      <c r="CQ198" s="58"/>
      <c r="CR198" s="44"/>
      <c r="CS198" s="44"/>
      <c r="CT198" s="44"/>
      <c r="CU198" s="48"/>
      <c r="CV198" s="142"/>
      <c r="CW198" s="44"/>
      <c r="CX198" s="83"/>
      <c r="CY198" s="83"/>
      <c r="CZ198" s="83"/>
      <c r="DA198" s="44"/>
      <c r="DB198" s="143"/>
      <c r="DC198" s="44"/>
      <c r="DD198" s="44"/>
      <c r="DE198" s="44"/>
      <c r="DF198" s="44"/>
      <c r="DG198" s="44"/>
      <c r="DH198" s="44"/>
      <c r="DI198" s="75"/>
      <c r="DM198" s="87"/>
      <c r="DN198" s="99"/>
      <c r="DQ198" s="87"/>
      <c r="DR198" s="99"/>
      <c r="DS198" s="44"/>
      <c r="DT198" s="83"/>
      <c r="DU198" s="83"/>
      <c r="DV198" s="83"/>
      <c r="DW198" s="44"/>
      <c r="DX198" s="144"/>
      <c r="DY198" s="144"/>
      <c r="DZ198" s="144"/>
      <c r="EA198" s="58"/>
      <c r="EB198" s="58"/>
      <c r="EC198" s="58"/>
      <c r="ED198" s="58"/>
      <c r="EE198" s="58"/>
      <c r="EF198" s="58"/>
      <c r="EG198" s="58"/>
      <c r="EH198" s="58"/>
      <c r="EI198" s="58"/>
      <c r="EJ198" s="58"/>
      <c r="EK198" s="58"/>
      <c r="EL198" s="58"/>
      <c r="EM198" s="58"/>
      <c r="EN198" s="58"/>
      <c r="EO198" s="58"/>
      <c r="EP198" s="58"/>
      <c r="EQ198" s="58"/>
      <c r="ER198" s="58"/>
      <c r="ES198" s="58"/>
      <c r="ET198" s="58"/>
      <c r="EU198" s="58"/>
      <c r="EV198" s="58"/>
      <c r="EW198" s="58"/>
      <c r="EX198" s="58"/>
      <c r="EY198" s="58"/>
      <c r="EZ198" s="58"/>
      <c r="FA198" s="58"/>
      <c r="FB198" s="58"/>
      <c r="FC198" s="58"/>
      <c r="FD198" s="58"/>
      <c r="FE198" s="58"/>
      <c r="FF198" s="58"/>
      <c r="FG198" s="58"/>
      <c r="FH198" s="58"/>
      <c r="FI198" s="58"/>
      <c r="FJ198" s="58"/>
      <c r="FK198" s="58"/>
      <c r="FL198" s="58"/>
      <c r="FM198" s="58"/>
      <c r="FN198" s="58"/>
      <c r="FO198" s="58"/>
      <c r="FP198" s="58"/>
      <c r="FQ198" s="58"/>
      <c r="FR198" s="58"/>
      <c r="FS198" s="58"/>
      <c r="FT198" s="58"/>
      <c r="FU198" s="58"/>
      <c r="FV198" s="58"/>
      <c r="FW198" s="58"/>
      <c r="FX198" s="58"/>
      <c r="FY198" s="58"/>
      <c r="FZ198" s="58"/>
      <c r="GA198" s="58"/>
      <c r="GB198" s="58"/>
      <c r="GC198" s="58"/>
      <c r="GD198" s="58"/>
      <c r="GE198" s="58"/>
      <c r="GF198" s="58"/>
      <c r="GG198" s="58"/>
      <c r="GH198" s="58"/>
      <c r="GI198" s="58"/>
      <c r="GJ198" s="58"/>
      <c r="GK198" s="58"/>
      <c r="GL198" s="58"/>
      <c r="GM198" s="58"/>
      <c r="GN198" s="58"/>
      <c r="GO198" s="58"/>
      <c r="GP198" s="58"/>
      <c r="GQ198" s="58"/>
      <c r="GR198" s="58"/>
      <c r="GS198" s="58"/>
      <c r="GT198" s="58"/>
      <c r="GU198" s="58"/>
      <c r="GV198" s="58"/>
      <c r="GW198" s="58"/>
      <c r="GX198" s="58"/>
      <c r="GY198" s="58"/>
      <c r="GZ198" s="58"/>
      <c r="HA198" s="58"/>
      <c r="HB198" s="58"/>
      <c r="HC198" s="58"/>
      <c r="HD198" s="58"/>
      <c r="HE198" s="58"/>
      <c r="HF198" s="58"/>
      <c r="HG198" s="58"/>
      <c r="HH198" s="58"/>
      <c r="HI198" s="58"/>
      <c r="HJ198" s="58"/>
      <c r="HK198" s="58"/>
      <c r="HL198" s="58"/>
      <c r="HM198" s="58"/>
      <c r="HN198" s="58"/>
      <c r="HO198" s="58"/>
      <c r="HP198" s="58"/>
      <c r="HQ198" s="58"/>
      <c r="HR198" s="58"/>
      <c r="HS198" s="58"/>
      <c r="HT198" s="58"/>
      <c r="HU198" s="58"/>
      <c r="HV198" s="58"/>
      <c r="HW198" s="58"/>
      <c r="HX198" s="58"/>
      <c r="HY198" s="58"/>
      <c r="HZ198" s="58"/>
      <c r="IA198" s="58"/>
      <c r="IB198" s="58"/>
      <c r="IC198" s="58"/>
      <c r="ID198" s="58"/>
      <c r="IE198" s="58"/>
      <c r="IF198" s="58"/>
      <c r="IG198" s="58"/>
      <c r="IH198" s="58"/>
      <c r="II198" s="58"/>
      <c r="IJ198" s="58"/>
      <c r="IK198" s="58"/>
      <c r="IL198" s="58"/>
      <c r="IM198" s="58"/>
      <c r="IN198" s="58"/>
      <c r="IO198" s="58"/>
      <c r="IP198" s="58"/>
      <c r="IQ198" s="58"/>
      <c r="IR198" s="58"/>
      <c r="IS198" s="58"/>
      <c r="IT198" s="58"/>
      <c r="IU198" s="58"/>
    </row>
    <row r="199" spans="1:255" s="57" customFormat="1" ht="13.65" customHeight="1" x14ac:dyDescent="0.3">
      <c r="M199" s="40"/>
      <c r="N199" s="40"/>
      <c r="O199" s="40"/>
      <c r="P199" s="41"/>
      <c r="Q199" s="41"/>
      <c r="R199" s="41"/>
      <c r="S199" s="41"/>
      <c r="T199" s="40"/>
      <c r="AI199" s="89"/>
      <c r="AJ199" s="89"/>
      <c r="AK199" s="89"/>
      <c r="AL199" s="89"/>
      <c r="AM199" s="83"/>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c r="CH199" s="58"/>
      <c r="CI199" s="58"/>
      <c r="CJ199" s="58"/>
      <c r="CK199" s="58"/>
      <c r="CL199" s="58"/>
      <c r="CM199" s="58"/>
      <c r="CN199" s="58"/>
      <c r="CO199" s="58"/>
      <c r="CP199" s="58"/>
      <c r="CQ199" s="58"/>
      <c r="CR199" s="44"/>
      <c r="CS199" s="44"/>
      <c r="CT199" s="44"/>
      <c r="CU199" s="48"/>
      <c r="CV199" s="142"/>
      <c r="CW199" s="44"/>
      <c r="CX199" s="83"/>
      <c r="CY199" s="83"/>
      <c r="CZ199" s="83"/>
      <c r="DA199" s="44"/>
      <c r="DB199" s="143"/>
      <c r="DC199" s="44"/>
      <c r="DD199" s="44"/>
      <c r="DE199" s="44"/>
      <c r="DF199" s="44"/>
      <c r="DG199" s="44"/>
      <c r="DH199" s="44"/>
      <c r="DI199" s="75"/>
      <c r="DM199" s="87"/>
      <c r="DN199" s="99"/>
      <c r="DQ199" s="87"/>
      <c r="DR199" s="99"/>
      <c r="DS199" s="44"/>
      <c r="DT199" s="83"/>
      <c r="DU199" s="83"/>
      <c r="DV199" s="83"/>
      <c r="DW199" s="44"/>
      <c r="DX199" s="144"/>
      <c r="DY199" s="144"/>
      <c r="DZ199" s="144"/>
      <c r="EA199" s="58"/>
      <c r="EB199" s="58"/>
      <c r="EC199" s="58"/>
      <c r="ED199" s="58"/>
      <c r="EE199" s="58"/>
      <c r="EF199" s="58"/>
      <c r="EG199" s="58"/>
      <c r="EH199" s="58"/>
      <c r="EI199" s="58"/>
      <c r="EJ199" s="58"/>
      <c r="EK199" s="58"/>
      <c r="EL199" s="58"/>
      <c r="EM199" s="58"/>
      <c r="EN199" s="58"/>
      <c r="EO199" s="58"/>
      <c r="EP199" s="58"/>
      <c r="EQ199" s="58"/>
      <c r="ER199" s="58"/>
      <c r="ES199" s="58"/>
      <c r="ET199" s="58"/>
      <c r="EU199" s="58"/>
      <c r="EV199" s="58"/>
      <c r="EW199" s="58"/>
      <c r="EX199" s="58"/>
      <c r="EY199" s="58"/>
      <c r="EZ199" s="58"/>
      <c r="FA199" s="58"/>
      <c r="FB199" s="58"/>
      <c r="FC199" s="58"/>
      <c r="FD199" s="58"/>
      <c r="FE199" s="58"/>
      <c r="FF199" s="58"/>
      <c r="FG199" s="58"/>
      <c r="FH199" s="58"/>
      <c r="FI199" s="58"/>
      <c r="FJ199" s="58"/>
      <c r="FK199" s="58"/>
      <c r="FL199" s="58"/>
      <c r="FM199" s="58"/>
      <c r="FN199" s="58"/>
      <c r="FO199" s="58"/>
      <c r="FP199" s="58"/>
      <c r="FQ199" s="58"/>
      <c r="FR199" s="58"/>
      <c r="FS199" s="58"/>
      <c r="FT199" s="58"/>
      <c r="FU199" s="58"/>
      <c r="FV199" s="58"/>
      <c r="FW199" s="58"/>
      <c r="FX199" s="58"/>
      <c r="FY199" s="58"/>
      <c r="FZ199" s="58"/>
      <c r="GA199" s="58"/>
      <c r="GB199" s="58"/>
      <c r="GC199" s="58"/>
      <c r="GD199" s="58"/>
      <c r="GE199" s="58"/>
      <c r="GF199" s="58"/>
      <c r="GG199" s="58"/>
      <c r="GH199" s="58"/>
      <c r="GI199" s="58"/>
      <c r="GJ199" s="58"/>
      <c r="GK199" s="58"/>
      <c r="GL199" s="58"/>
      <c r="GM199" s="58"/>
      <c r="GN199" s="58"/>
      <c r="GO199" s="58"/>
      <c r="GP199" s="58"/>
      <c r="GQ199" s="58"/>
      <c r="GR199" s="58"/>
      <c r="GS199" s="58"/>
      <c r="GT199" s="58"/>
      <c r="GU199" s="58"/>
      <c r="GV199" s="58"/>
      <c r="GW199" s="58"/>
      <c r="GX199" s="58"/>
      <c r="GY199" s="58"/>
      <c r="GZ199" s="58"/>
      <c r="HA199" s="58"/>
      <c r="HB199" s="58"/>
      <c r="HC199" s="58"/>
      <c r="HD199" s="58"/>
      <c r="HE199" s="58"/>
      <c r="HF199" s="58"/>
      <c r="HG199" s="58"/>
      <c r="HH199" s="58"/>
      <c r="HI199" s="58"/>
      <c r="HJ199" s="58"/>
      <c r="HK199" s="58"/>
      <c r="HL199" s="58"/>
      <c r="HM199" s="58"/>
      <c r="HN199" s="58"/>
      <c r="HO199" s="58"/>
      <c r="HP199" s="58"/>
      <c r="HQ199" s="58"/>
      <c r="HR199" s="58"/>
      <c r="HS199" s="58"/>
      <c r="HT199" s="58"/>
      <c r="HU199" s="58"/>
      <c r="HV199" s="58"/>
      <c r="HW199" s="58"/>
      <c r="HX199" s="58"/>
      <c r="HY199" s="58"/>
      <c r="HZ199" s="58"/>
      <c r="IA199" s="58"/>
      <c r="IB199" s="58"/>
      <c r="IC199" s="58"/>
      <c r="ID199" s="58"/>
      <c r="IE199" s="58"/>
      <c r="IF199" s="58"/>
      <c r="IG199" s="58"/>
      <c r="IH199" s="58"/>
      <c r="II199" s="58"/>
      <c r="IJ199" s="58"/>
      <c r="IK199" s="58"/>
      <c r="IL199" s="58"/>
      <c r="IM199" s="58"/>
      <c r="IN199" s="58"/>
      <c r="IO199" s="58"/>
      <c r="IP199" s="58"/>
      <c r="IQ199" s="58"/>
      <c r="IR199" s="58"/>
      <c r="IS199" s="58"/>
      <c r="IT199" s="58"/>
      <c r="IU199" s="58"/>
    </row>
    <row r="200" spans="1:255" s="57" customFormat="1" ht="13.65" customHeight="1" x14ac:dyDescent="0.3">
      <c r="M200" s="40"/>
      <c r="N200" s="40"/>
      <c r="O200" s="40"/>
      <c r="P200" s="41"/>
      <c r="Q200" s="41"/>
      <c r="R200" s="41"/>
      <c r="S200" s="41"/>
      <c r="T200" s="40"/>
      <c r="AH200" s="89"/>
      <c r="AI200" s="89"/>
      <c r="AJ200" s="89"/>
      <c r="AK200" s="89"/>
      <c r="AL200" s="89"/>
      <c r="AM200" s="83"/>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c r="CH200" s="58"/>
      <c r="CI200" s="58"/>
      <c r="CJ200" s="58"/>
      <c r="CK200" s="58"/>
      <c r="CL200" s="58"/>
      <c r="CM200" s="58"/>
      <c r="CN200" s="58"/>
      <c r="CO200" s="58"/>
      <c r="CP200" s="58"/>
      <c r="CQ200" s="58"/>
      <c r="CR200" s="44"/>
      <c r="CS200" s="44"/>
      <c r="CT200" s="44"/>
      <c r="CU200" s="48"/>
      <c r="CV200" s="142"/>
      <c r="CW200" s="44"/>
      <c r="CX200" s="83"/>
      <c r="CY200" s="83"/>
      <c r="CZ200" s="83"/>
      <c r="DA200" s="44"/>
      <c r="DB200" s="143"/>
      <c r="DC200" s="44"/>
      <c r="DD200" s="44"/>
      <c r="DE200" s="44"/>
      <c r="DF200" s="44"/>
      <c r="DG200" s="44"/>
      <c r="DH200" s="44"/>
      <c r="DI200" s="75"/>
      <c r="DM200" s="87"/>
      <c r="DN200" s="99"/>
      <c r="DQ200" s="87"/>
      <c r="DR200" s="99"/>
      <c r="DS200" s="44"/>
      <c r="DT200" s="83"/>
      <c r="DU200" s="83"/>
      <c r="DV200" s="83"/>
      <c r="DW200" s="44"/>
      <c r="DX200" s="144"/>
      <c r="DY200" s="144"/>
      <c r="DZ200" s="144"/>
      <c r="EA200" s="58"/>
      <c r="EB200" s="58"/>
      <c r="EC200" s="58"/>
      <c r="ED200" s="58"/>
      <c r="EE200" s="58"/>
      <c r="EF200" s="58"/>
      <c r="EG200" s="58"/>
      <c r="EH200" s="58"/>
      <c r="EI200" s="58"/>
      <c r="EJ200" s="58"/>
      <c r="EK200" s="58"/>
      <c r="EL200" s="58"/>
      <c r="EM200" s="58"/>
      <c r="EN200" s="58"/>
      <c r="EO200" s="58"/>
      <c r="EP200" s="58"/>
      <c r="EQ200" s="58"/>
      <c r="ER200" s="58"/>
      <c r="ES200" s="58"/>
      <c r="ET200" s="58"/>
      <c r="EU200" s="58"/>
      <c r="EV200" s="58"/>
      <c r="EW200" s="58"/>
      <c r="EX200" s="58"/>
      <c r="EY200" s="58"/>
      <c r="EZ200" s="58"/>
      <c r="FA200" s="58"/>
      <c r="FB200" s="58"/>
      <c r="FC200" s="58"/>
      <c r="FD200" s="58"/>
      <c r="FE200" s="58"/>
      <c r="FF200" s="58"/>
      <c r="FG200" s="58"/>
      <c r="FH200" s="58"/>
      <c r="FI200" s="58"/>
      <c r="FJ200" s="58"/>
      <c r="FK200" s="58"/>
      <c r="FL200" s="58"/>
      <c r="FM200" s="58"/>
      <c r="FN200" s="58"/>
      <c r="FO200" s="58"/>
      <c r="FP200" s="58"/>
      <c r="FQ200" s="58"/>
      <c r="FR200" s="58"/>
      <c r="FS200" s="58"/>
      <c r="FT200" s="58"/>
      <c r="FU200" s="58"/>
      <c r="FV200" s="58"/>
      <c r="FW200" s="58"/>
      <c r="FX200" s="58"/>
      <c r="FY200" s="58"/>
      <c r="FZ200" s="58"/>
      <c r="GA200" s="58"/>
      <c r="GB200" s="58"/>
      <c r="GC200" s="58"/>
      <c r="GD200" s="58"/>
      <c r="GE200" s="58"/>
      <c r="GF200" s="58"/>
      <c r="GG200" s="58"/>
      <c r="GH200" s="58"/>
      <c r="GI200" s="58"/>
      <c r="GJ200" s="58"/>
      <c r="GK200" s="58"/>
      <c r="GL200" s="58"/>
      <c r="GM200" s="58"/>
      <c r="GN200" s="58"/>
      <c r="GO200" s="58"/>
      <c r="GP200" s="58"/>
      <c r="GQ200" s="58"/>
      <c r="GR200" s="58"/>
      <c r="GS200" s="58"/>
      <c r="GT200" s="58"/>
      <c r="GU200" s="58"/>
      <c r="GV200" s="58"/>
      <c r="GW200" s="58"/>
      <c r="GX200" s="58"/>
      <c r="GY200" s="58"/>
      <c r="GZ200" s="58"/>
      <c r="HA200" s="58"/>
      <c r="HB200" s="58"/>
      <c r="HC200" s="58"/>
      <c r="HD200" s="58"/>
      <c r="HE200" s="58"/>
      <c r="HF200" s="58"/>
      <c r="HG200" s="58"/>
      <c r="HH200" s="58"/>
      <c r="HI200" s="58"/>
      <c r="HJ200" s="58"/>
      <c r="HK200" s="58"/>
      <c r="HL200" s="58"/>
      <c r="HM200" s="58"/>
      <c r="HN200" s="58"/>
      <c r="HO200" s="58"/>
      <c r="HP200" s="58"/>
      <c r="HQ200" s="58"/>
      <c r="HR200" s="58"/>
      <c r="HS200" s="58"/>
      <c r="HT200" s="58"/>
      <c r="HU200" s="58"/>
      <c r="HV200" s="58"/>
      <c r="HW200" s="58"/>
      <c r="HX200" s="58"/>
      <c r="HY200" s="58"/>
      <c r="HZ200" s="58"/>
      <c r="IA200" s="58"/>
      <c r="IB200" s="58"/>
      <c r="IC200" s="58"/>
      <c r="ID200" s="58"/>
      <c r="IE200" s="58"/>
      <c r="IF200" s="58"/>
      <c r="IG200" s="58"/>
      <c r="IH200" s="58"/>
      <c r="II200" s="58"/>
      <c r="IJ200" s="58"/>
      <c r="IK200" s="58"/>
      <c r="IL200" s="58"/>
      <c r="IM200" s="58"/>
      <c r="IN200" s="58"/>
      <c r="IO200" s="58"/>
      <c r="IP200" s="58"/>
      <c r="IQ200" s="58"/>
      <c r="IR200" s="58"/>
      <c r="IS200" s="58"/>
      <c r="IT200" s="58"/>
      <c r="IU200" s="58"/>
    </row>
    <row r="201" spans="1:255" s="57" customFormat="1" ht="13.65" customHeight="1" x14ac:dyDescent="0.3">
      <c r="M201" s="40"/>
      <c r="N201" s="40"/>
      <c r="O201" s="40"/>
      <c r="P201" s="41"/>
      <c r="Q201" s="41"/>
      <c r="R201" s="41"/>
      <c r="S201" s="41"/>
      <c r="T201" s="40"/>
      <c r="AH201" s="89"/>
      <c r="AI201" s="89"/>
      <c r="AJ201" s="89"/>
      <c r="AK201" s="89"/>
      <c r="AL201" s="89"/>
      <c r="AM201" s="83"/>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c r="CH201" s="58"/>
      <c r="CI201" s="58"/>
      <c r="CJ201" s="58"/>
      <c r="CK201" s="58"/>
      <c r="CL201" s="58"/>
      <c r="CM201" s="58"/>
      <c r="CN201" s="58"/>
      <c r="CO201" s="58"/>
      <c r="CP201" s="58"/>
      <c r="CQ201" s="58"/>
      <c r="CR201" s="44"/>
      <c r="CS201" s="44"/>
      <c r="CT201" s="44"/>
      <c r="CU201" s="48"/>
      <c r="CV201" s="142"/>
      <c r="CW201" s="44"/>
      <c r="CX201" s="83"/>
      <c r="CY201" s="83"/>
      <c r="CZ201" s="83"/>
      <c r="DA201" s="44"/>
      <c r="DB201" s="143"/>
      <c r="DC201" s="44"/>
      <c r="DD201" s="44"/>
      <c r="DE201" s="44"/>
      <c r="DF201" s="44"/>
      <c r="DG201" s="44"/>
      <c r="DH201" s="44"/>
      <c r="DI201" s="75"/>
      <c r="DM201" s="87"/>
      <c r="DN201" s="99"/>
      <c r="DQ201" s="87"/>
      <c r="DR201" s="99"/>
      <c r="DS201" s="44"/>
      <c r="DT201" s="83"/>
      <c r="DU201" s="83"/>
      <c r="DV201" s="83"/>
      <c r="DW201" s="44"/>
      <c r="DX201" s="144"/>
      <c r="DY201" s="144"/>
      <c r="DZ201" s="144"/>
      <c r="EA201" s="58"/>
      <c r="EB201" s="58"/>
      <c r="EC201" s="58"/>
      <c r="ED201" s="58"/>
      <c r="EE201" s="58"/>
      <c r="EF201" s="58"/>
      <c r="EG201" s="58"/>
      <c r="EH201" s="58"/>
      <c r="EI201" s="58"/>
      <c r="EJ201" s="58"/>
      <c r="EK201" s="58"/>
      <c r="EL201" s="58"/>
      <c r="EM201" s="58"/>
      <c r="EN201" s="58"/>
      <c r="EO201" s="58"/>
      <c r="EP201" s="58"/>
      <c r="EQ201" s="58"/>
      <c r="ER201" s="58"/>
      <c r="ES201" s="58"/>
      <c r="ET201" s="58"/>
      <c r="EU201" s="58"/>
      <c r="EV201" s="58"/>
      <c r="EW201" s="58"/>
      <c r="EX201" s="58"/>
      <c r="EY201" s="58"/>
      <c r="EZ201" s="58"/>
      <c r="FA201" s="58"/>
      <c r="FB201" s="58"/>
      <c r="FC201" s="58"/>
      <c r="FD201" s="58"/>
      <c r="FE201" s="58"/>
      <c r="FF201" s="58"/>
      <c r="FG201" s="58"/>
      <c r="FH201" s="58"/>
      <c r="FI201" s="58"/>
      <c r="FJ201" s="58"/>
      <c r="FK201" s="58"/>
      <c r="FL201" s="58"/>
      <c r="FM201" s="58"/>
      <c r="FN201" s="58"/>
      <c r="FO201" s="58"/>
      <c r="FP201" s="58"/>
      <c r="FQ201" s="58"/>
      <c r="FR201" s="58"/>
      <c r="FS201" s="58"/>
      <c r="FT201" s="58"/>
      <c r="FU201" s="58"/>
      <c r="FV201" s="58"/>
      <c r="FW201" s="58"/>
      <c r="FX201" s="58"/>
      <c r="FY201" s="58"/>
      <c r="FZ201" s="58"/>
      <c r="GA201" s="58"/>
      <c r="GB201" s="58"/>
      <c r="GC201" s="58"/>
      <c r="GD201" s="58"/>
      <c r="GE201" s="58"/>
      <c r="GF201" s="58"/>
      <c r="GG201" s="58"/>
      <c r="GH201" s="58"/>
      <c r="GI201" s="58"/>
      <c r="GJ201" s="58"/>
      <c r="GK201" s="58"/>
      <c r="GL201" s="58"/>
      <c r="GM201" s="58"/>
      <c r="GN201" s="58"/>
      <c r="GO201" s="58"/>
      <c r="GP201" s="58"/>
      <c r="GQ201" s="58"/>
      <c r="GR201" s="58"/>
      <c r="GS201" s="58"/>
      <c r="GT201" s="58"/>
      <c r="GU201" s="58"/>
      <c r="GV201" s="58"/>
      <c r="GW201" s="58"/>
      <c r="GX201" s="58"/>
      <c r="GY201" s="58"/>
      <c r="GZ201" s="58"/>
      <c r="HA201" s="58"/>
      <c r="HB201" s="58"/>
      <c r="HC201" s="58"/>
      <c r="HD201" s="58"/>
      <c r="HE201" s="58"/>
      <c r="HF201" s="58"/>
      <c r="HG201" s="58"/>
      <c r="HH201" s="58"/>
      <c r="HI201" s="58"/>
      <c r="HJ201" s="58"/>
      <c r="HK201" s="58"/>
      <c r="HL201" s="58"/>
      <c r="HM201" s="58"/>
      <c r="HN201" s="58"/>
      <c r="HO201" s="58"/>
      <c r="HP201" s="58"/>
      <c r="HQ201" s="58"/>
      <c r="HR201" s="58"/>
      <c r="HS201" s="58"/>
      <c r="HT201" s="58"/>
      <c r="HU201" s="58"/>
      <c r="HV201" s="58"/>
      <c r="HW201" s="58"/>
      <c r="HX201" s="58"/>
      <c r="HY201" s="58"/>
      <c r="HZ201" s="58"/>
      <c r="IA201" s="58"/>
      <c r="IB201" s="58"/>
      <c r="IC201" s="58"/>
      <c r="ID201" s="58"/>
      <c r="IE201" s="58"/>
      <c r="IF201" s="58"/>
      <c r="IG201" s="58"/>
      <c r="IH201" s="58"/>
      <c r="II201" s="58"/>
      <c r="IJ201" s="58"/>
      <c r="IK201" s="58"/>
      <c r="IL201" s="58"/>
      <c r="IM201" s="58"/>
      <c r="IN201" s="58"/>
      <c r="IO201" s="58"/>
      <c r="IP201" s="58"/>
      <c r="IQ201" s="58"/>
      <c r="IR201" s="58"/>
      <c r="IS201" s="58"/>
      <c r="IT201" s="58"/>
      <c r="IU201" s="58"/>
    </row>
    <row r="202" spans="1:255" s="57" customFormat="1" ht="13.5" customHeight="1" x14ac:dyDescent="0.3">
      <c r="A202" s="86"/>
      <c r="B202" s="86"/>
      <c r="C202" s="86"/>
      <c r="D202" s="86"/>
      <c r="E202" s="86"/>
      <c r="F202" s="86"/>
      <c r="G202" s="86"/>
      <c r="H202" s="86"/>
      <c r="I202" s="86"/>
      <c r="J202" s="86"/>
      <c r="K202" s="86"/>
      <c r="M202" s="40"/>
      <c r="N202" s="40"/>
      <c r="O202" s="40"/>
      <c r="P202" s="41"/>
      <c r="Q202" s="41"/>
      <c r="R202" s="41"/>
      <c r="S202" s="41"/>
      <c r="T202" s="40"/>
      <c r="AH202" s="89"/>
      <c r="AI202" s="89"/>
      <c r="AJ202" s="89"/>
      <c r="AK202" s="89"/>
      <c r="AL202" s="89"/>
      <c r="AM202" s="83"/>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c r="CH202" s="58"/>
      <c r="CI202" s="58"/>
      <c r="CJ202" s="58"/>
      <c r="CK202" s="58"/>
      <c r="CL202" s="58"/>
      <c r="CM202" s="58"/>
      <c r="CN202" s="58"/>
      <c r="CO202" s="58"/>
      <c r="CP202" s="58"/>
      <c r="CQ202" s="58"/>
      <c r="CR202" s="44"/>
      <c r="CS202" s="44"/>
      <c r="CT202" s="44"/>
      <c r="CU202" s="48"/>
      <c r="CV202" s="142"/>
      <c r="CW202" s="44"/>
      <c r="CX202" s="83"/>
      <c r="CY202" s="83"/>
      <c r="CZ202" s="83"/>
      <c r="DA202" s="44"/>
      <c r="DB202" s="143"/>
      <c r="DC202" s="44"/>
      <c r="DD202" s="44"/>
      <c r="DE202" s="44"/>
      <c r="DF202" s="44"/>
      <c r="DG202" s="44"/>
      <c r="DH202" s="44"/>
      <c r="DI202" s="75"/>
      <c r="DM202" s="87"/>
      <c r="DN202" s="99"/>
      <c r="DQ202" s="87"/>
      <c r="DR202" s="99"/>
      <c r="DS202" s="44"/>
      <c r="DT202" s="83"/>
      <c r="DU202" s="83"/>
      <c r="DV202" s="83"/>
      <c r="DW202" s="44"/>
      <c r="DX202" s="144"/>
      <c r="DY202" s="144"/>
      <c r="DZ202" s="144"/>
      <c r="EA202" s="58"/>
      <c r="EB202" s="58"/>
      <c r="EC202" s="58"/>
      <c r="ED202" s="58"/>
      <c r="EE202" s="58"/>
      <c r="EF202" s="58"/>
      <c r="EG202" s="58"/>
      <c r="EH202" s="58"/>
      <c r="EI202" s="58"/>
      <c r="EJ202" s="58"/>
      <c r="EK202" s="58"/>
      <c r="EL202" s="58"/>
      <c r="EM202" s="58"/>
      <c r="EN202" s="58"/>
      <c r="EO202" s="58"/>
      <c r="EP202" s="58"/>
      <c r="EQ202" s="58"/>
      <c r="ER202" s="58"/>
      <c r="ES202" s="58"/>
      <c r="ET202" s="58"/>
      <c r="EU202" s="58"/>
      <c r="EV202" s="58"/>
      <c r="EW202" s="58"/>
      <c r="EX202" s="58"/>
      <c r="EY202" s="58"/>
      <c r="EZ202" s="58"/>
      <c r="FA202" s="58"/>
      <c r="FB202" s="58"/>
      <c r="FC202" s="58"/>
      <c r="FD202" s="58"/>
      <c r="FE202" s="58"/>
      <c r="FF202" s="58"/>
      <c r="FG202" s="58"/>
      <c r="FH202" s="58"/>
      <c r="FI202" s="58"/>
      <c r="FJ202" s="58"/>
      <c r="FK202" s="58"/>
      <c r="FL202" s="58"/>
      <c r="FM202" s="58"/>
      <c r="FN202" s="58"/>
      <c r="FO202" s="58"/>
      <c r="FP202" s="58"/>
      <c r="FQ202" s="58"/>
      <c r="FR202" s="58"/>
      <c r="FS202" s="58"/>
      <c r="FT202" s="58"/>
      <c r="FU202" s="58"/>
      <c r="FV202" s="58"/>
      <c r="FW202" s="58"/>
      <c r="FX202" s="58"/>
      <c r="FY202" s="58"/>
      <c r="FZ202" s="58"/>
      <c r="GA202" s="58"/>
      <c r="GB202" s="58"/>
      <c r="GC202" s="58"/>
      <c r="GD202" s="58"/>
      <c r="GE202" s="58"/>
      <c r="GF202" s="58"/>
      <c r="GG202" s="58"/>
      <c r="GH202" s="58"/>
      <c r="GI202" s="58"/>
      <c r="GJ202" s="58"/>
      <c r="GK202" s="58"/>
      <c r="GL202" s="58"/>
      <c r="GM202" s="58"/>
      <c r="GN202" s="58"/>
      <c r="GO202" s="58"/>
      <c r="GP202" s="58"/>
      <c r="GQ202" s="58"/>
      <c r="GR202" s="58"/>
      <c r="GS202" s="58"/>
      <c r="GT202" s="58"/>
      <c r="GU202" s="58"/>
      <c r="GV202" s="58"/>
      <c r="GW202" s="58"/>
      <c r="GX202" s="58"/>
      <c r="GY202" s="58"/>
      <c r="GZ202" s="58"/>
      <c r="HA202" s="58"/>
      <c r="HB202" s="58"/>
      <c r="HC202" s="58"/>
      <c r="HD202" s="58"/>
      <c r="HE202" s="58"/>
      <c r="HF202" s="58"/>
      <c r="HG202" s="58"/>
      <c r="HH202" s="58"/>
      <c r="HI202" s="58"/>
      <c r="HJ202" s="58"/>
      <c r="HK202" s="58"/>
      <c r="HL202" s="58"/>
      <c r="HM202" s="58"/>
      <c r="HN202" s="58"/>
      <c r="HO202" s="58"/>
      <c r="HP202" s="58"/>
      <c r="HQ202" s="58"/>
      <c r="HR202" s="58"/>
      <c r="HS202" s="58"/>
      <c r="HT202" s="58"/>
      <c r="HU202" s="58"/>
      <c r="HV202" s="58"/>
      <c r="HW202" s="58"/>
      <c r="HX202" s="58"/>
      <c r="HY202" s="58"/>
      <c r="HZ202" s="58"/>
      <c r="IA202" s="58"/>
      <c r="IB202" s="58"/>
      <c r="IC202" s="58"/>
      <c r="ID202" s="58"/>
      <c r="IE202" s="58"/>
      <c r="IF202" s="58"/>
      <c r="IG202" s="58"/>
      <c r="IH202" s="58"/>
      <c r="II202" s="58"/>
      <c r="IJ202" s="58"/>
      <c r="IK202" s="58"/>
      <c r="IL202" s="58"/>
      <c r="IM202" s="58"/>
      <c r="IN202" s="58"/>
      <c r="IO202" s="58"/>
      <c r="IP202" s="58"/>
      <c r="IQ202" s="58"/>
      <c r="IR202" s="58"/>
      <c r="IS202" s="58"/>
      <c r="IT202" s="58"/>
      <c r="IU202" s="58"/>
    </row>
    <row r="203" spans="1:255" s="57" customFormat="1" x14ac:dyDescent="0.3">
      <c r="A203" s="171"/>
      <c r="B203" s="36"/>
      <c r="C203" s="36"/>
      <c r="D203" s="36"/>
      <c r="E203" s="36"/>
      <c r="F203" s="36"/>
      <c r="G203" s="36"/>
      <c r="H203" s="36"/>
      <c r="I203" s="36"/>
      <c r="J203" s="36"/>
      <c r="K203" s="171"/>
      <c r="M203" s="40"/>
      <c r="N203" s="40"/>
      <c r="O203" s="40"/>
      <c r="P203" s="41"/>
      <c r="Q203" s="41"/>
      <c r="R203" s="41"/>
      <c r="S203" s="41"/>
      <c r="T203" s="40"/>
      <c r="AH203" s="89"/>
      <c r="AI203" s="89"/>
      <c r="AJ203" s="89"/>
      <c r="AK203" s="89"/>
      <c r="AL203" s="89"/>
      <c r="AM203" s="83"/>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c r="CH203" s="58"/>
      <c r="CI203" s="58"/>
      <c r="CJ203" s="58"/>
      <c r="CK203" s="58"/>
      <c r="CL203" s="58"/>
      <c r="CM203" s="58"/>
      <c r="CN203" s="58"/>
      <c r="CO203" s="58"/>
      <c r="CP203" s="58"/>
      <c r="CQ203" s="58"/>
      <c r="CR203" s="44"/>
      <c r="CS203" s="44"/>
      <c r="CT203" s="44"/>
      <c r="CU203" s="48"/>
      <c r="CV203" s="142"/>
      <c r="CW203" s="44"/>
      <c r="CX203" s="83"/>
      <c r="CY203" s="83"/>
      <c r="CZ203" s="83"/>
      <c r="DA203" s="44"/>
      <c r="DB203" s="143"/>
      <c r="DC203" s="44"/>
      <c r="DD203" s="44"/>
      <c r="DE203" s="44"/>
      <c r="DF203" s="44"/>
      <c r="DG203" s="44"/>
      <c r="DH203" s="44"/>
      <c r="DI203" s="75"/>
      <c r="DM203" s="87"/>
      <c r="DN203" s="99"/>
      <c r="DQ203" s="87"/>
      <c r="DR203" s="99"/>
      <c r="DS203" s="44"/>
      <c r="DT203" s="83"/>
      <c r="DU203" s="83"/>
      <c r="DV203" s="83"/>
      <c r="DW203" s="44"/>
      <c r="DX203" s="144"/>
      <c r="DY203" s="144"/>
      <c r="DZ203" s="144"/>
      <c r="EA203" s="58"/>
      <c r="EB203" s="58"/>
      <c r="EC203" s="58"/>
      <c r="ED203" s="58"/>
      <c r="EE203" s="58"/>
      <c r="EF203" s="58"/>
      <c r="EG203" s="58"/>
      <c r="EH203" s="58"/>
      <c r="EI203" s="58"/>
      <c r="EJ203" s="58"/>
      <c r="EK203" s="58"/>
      <c r="EL203" s="58"/>
      <c r="EM203" s="58"/>
      <c r="EN203" s="58"/>
      <c r="EO203" s="58"/>
      <c r="EP203" s="58"/>
      <c r="EQ203" s="58"/>
      <c r="ER203" s="58"/>
      <c r="ES203" s="58"/>
      <c r="ET203" s="58"/>
      <c r="EU203" s="58"/>
      <c r="EV203" s="58"/>
      <c r="EW203" s="58"/>
      <c r="EX203" s="58"/>
      <c r="EY203" s="58"/>
      <c r="EZ203" s="58"/>
      <c r="FA203" s="58"/>
      <c r="FB203" s="58"/>
      <c r="FC203" s="58"/>
      <c r="FD203" s="58"/>
      <c r="FE203" s="58"/>
      <c r="FF203" s="58"/>
      <c r="FG203" s="58"/>
      <c r="FH203" s="58"/>
      <c r="FI203" s="58"/>
      <c r="FJ203" s="58"/>
      <c r="FK203" s="58"/>
      <c r="FL203" s="58"/>
      <c r="FM203" s="58"/>
      <c r="FN203" s="58"/>
      <c r="FO203" s="58"/>
      <c r="FP203" s="58"/>
      <c r="FQ203" s="58"/>
      <c r="FR203" s="58"/>
      <c r="FS203" s="58"/>
      <c r="FT203" s="58"/>
      <c r="FU203" s="58"/>
      <c r="FV203" s="58"/>
      <c r="FW203" s="58"/>
      <c r="FX203" s="58"/>
      <c r="FY203" s="58"/>
      <c r="FZ203" s="58"/>
      <c r="GA203" s="58"/>
      <c r="GB203" s="58"/>
      <c r="GC203" s="58"/>
      <c r="GD203" s="58"/>
      <c r="GE203" s="58"/>
      <c r="GF203" s="58"/>
      <c r="GG203" s="58"/>
      <c r="GH203" s="58"/>
      <c r="GI203" s="58"/>
      <c r="GJ203" s="58"/>
      <c r="GK203" s="58"/>
      <c r="GL203" s="58"/>
      <c r="GM203" s="58"/>
      <c r="GN203" s="58"/>
      <c r="GO203" s="58"/>
      <c r="GP203" s="58"/>
      <c r="GQ203" s="58"/>
      <c r="GR203" s="58"/>
      <c r="GS203" s="58"/>
      <c r="GT203" s="58"/>
      <c r="GU203" s="58"/>
      <c r="GV203" s="58"/>
      <c r="GW203" s="58"/>
      <c r="GX203" s="58"/>
      <c r="GY203" s="58"/>
      <c r="GZ203" s="58"/>
      <c r="HA203" s="58"/>
      <c r="HB203" s="58"/>
      <c r="HC203" s="58"/>
      <c r="HD203" s="58"/>
      <c r="HE203" s="58"/>
      <c r="HF203" s="58"/>
      <c r="HG203" s="58"/>
      <c r="HH203" s="58"/>
      <c r="HI203" s="58"/>
      <c r="HJ203" s="58"/>
      <c r="HK203" s="58"/>
      <c r="HL203" s="58"/>
      <c r="HM203" s="58"/>
      <c r="HN203" s="58"/>
      <c r="HO203" s="58"/>
      <c r="HP203" s="58"/>
      <c r="HQ203" s="58"/>
      <c r="HR203" s="58"/>
      <c r="HS203" s="58"/>
      <c r="HT203" s="58"/>
      <c r="HU203" s="58"/>
      <c r="HV203" s="58"/>
      <c r="HW203" s="58"/>
      <c r="HX203" s="58"/>
      <c r="HY203" s="58"/>
      <c r="HZ203" s="58"/>
      <c r="IA203" s="58"/>
      <c r="IB203" s="58"/>
      <c r="IC203" s="58"/>
      <c r="ID203" s="58"/>
      <c r="IE203" s="58"/>
      <c r="IF203" s="58"/>
      <c r="IG203" s="58"/>
      <c r="IH203" s="58"/>
      <c r="II203" s="58"/>
      <c r="IJ203" s="58"/>
      <c r="IK203" s="58"/>
      <c r="IL203" s="58"/>
      <c r="IM203" s="58"/>
      <c r="IN203" s="58"/>
      <c r="IO203" s="58"/>
      <c r="IP203" s="58"/>
      <c r="IQ203" s="58"/>
      <c r="IR203" s="58"/>
      <c r="IS203" s="58"/>
      <c r="IT203" s="58"/>
      <c r="IU203" s="58"/>
    </row>
    <row r="204" spans="1:255" x14ac:dyDescent="0.3">
      <c r="A204" s="43"/>
      <c r="B204" s="44"/>
      <c r="C204" s="379"/>
      <c r="D204" s="379"/>
      <c r="E204" s="379"/>
      <c r="F204" s="379"/>
      <c r="G204" s="44"/>
      <c r="H204" s="44"/>
      <c r="I204" s="44"/>
      <c r="J204" s="44"/>
      <c r="K204" s="45"/>
      <c r="L204" s="44"/>
      <c r="U204" s="44"/>
      <c r="V204" s="44"/>
      <c r="W204" s="44"/>
      <c r="X204" s="44"/>
      <c r="Y204" s="44"/>
      <c r="Z204" s="44"/>
      <c r="AA204" s="44"/>
      <c r="AB204" s="89"/>
      <c r="AC204" s="89"/>
      <c r="AD204" s="89"/>
      <c r="AE204" s="89"/>
      <c r="AF204" s="57"/>
      <c r="AG204" s="57"/>
      <c r="CR204" s="44"/>
      <c r="CS204" s="44"/>
      <c r="CT204" s="44"/>
      <c r="CU204" s="48"/>
      <c r="CV204" s="142"/>
      <c r="CW204" s="44"/>
      <c r="CX204" s="83"/>
      <c r="CY204" s="83"/>
      <c r="CZ204" s="83"/>
      <c r="DA204" s="44"/>
      <c r="DB204" s="143"/>
      <c r="DC204" s="44"/>
      <c r="DD204" s="44"/>
      <c r="DE204" s="44"/>
      <c r="DF204" s="44"/>
      <c r="DG204" s="44"/>
      <c r="DH204" s="44"/>
      <c r="DI204" s="75"/>
      <c r="DJ204" s="57"/>
      <c r="DK204" s="57"/>
      <c r="DL204" s="57"/>
      <c r="DM204" s="87"/>
      <c r="DN204" s="99"/>
      <c r="DO204" s="57"/>
      <c r="DP204" s="57"/>
      <c r="DQ204" s="87"/>
      <c r="DR204" s="99"/>
      <c r="DS204" s="44"/>
      <c r="DT204" s="83"/>
      <c r="DU204" s="83"/>
      <c r="DV204" s="83"/>
      <c r="DW204" s="44"/>
      <c r="DX204" s="144"/>
      <c r="DY204" s="144"/>
      <c r="DZ204" s="144"/>
      <c r="EA204" s="58"/>
      <c r="EB204" s="58"/>
      <c r="EC204" s="58"/>
      <c r="ED204" s="58"/>
      <c r="EE204" s="58"/>
      <c r="EF204" s="58"/>
      <c r="EG204" s="58"/>
      <c r="EH204" s="58"/>
      <c r="EI204" s="58"/>
      <c r="EJ204" s="58"/>
      <c r="EK204" s="58"/>
      <c r="EL204" s="58"/>
      <c r="EM204" s="58"/>
      <c r="EN204" s="58"/>
      <c r="EO204" s="58"/>
      <c r="EP204" s="58"/>
      <c r="EQ204" s="58"/>
      <c r="ER204" s="58"/>
      <c r="ES204" s="58"/>
      <c r="ET204" s="58"/>
      <c r="EU204" s="58"/>
      <c r="EV204" s="58"/>
      <c r="EW204" s="58"/>
      <c r="EX204" s="58"/>
      <c r="EY204" s="58"/>
      <c r="EZ204" s="58"/>
      <c r="FA204" s="58"/>
      <c r="FB204" s="58"/>
      <c r="FC204" s="58"/>
      <c r="FD204" s="58"/>
      <c r="FE204" s="58"/>
      <c r="FF204" s="58"/>
      <c r="FG204" s="58"/>
      <c r="FH204" s="58"/>
      <c r="FI204" s="58"/>
      <c r="FJ204" s="58"/>
      <c r="FK204" s="58"/>
      <c r="FL204" s="58"/>
      <c r="FM204" s="58"/>
      <c r="FN204" s="58"/>
      <c r="FO204" s="58"/>
      <c r="FP204" s="58"/>
      <c r="FQ204" s="58"/>
      <c r="FR204" s="58"/>
      <c r="FS204" s="58"/>
      <c r="FT204" s="58"/>
      <c r="FU204" s="58"/>
      <c r="FV204" s="58"/>
      <c r="FW204" s="58"/>
      <c r="FX204" s="58"/>
      <c r="FY204" s="58"/>
      <c r="FZ204" s="58"/>
      <c r="GA204" s="58"/>
      <c r="GB204" s="58"/>
      <c r="GC204" s="58"/>
      <c r="GD204" s="58"/>
      <c r="GE204" s="58"/>
      <c r="GF204" s="58"/>
      <c r="GG204" s="58"/>
      <c r="GH204" s="58"/>
      <c r="GI204" s="58"/>
      <c r="GJ204" s="58"/>
      <c r="GK204" s="58"/>
      <c r="GL204" s="58"/>
      <c r="GM204" s="58"/>
      <c r="GN204" s="58"/>
      <c r="GO204" s="58"/>
      <c r="GP204" s="58"/>
      <c r="GQ204" s="58"/>
      <c r="GR204" s="58"/>
      <c r="GS204" s="58"/>
      <c r="GT204" s="58"/>
      <c r="GU204" s="58"/>
      <c r="GV204" s="58"/>
      <c r="GW204" s="58"/>
      <c r="GX204" s="58"/>
      <c r="GY204" s="58"/>
      <c r="GZ204" s="58"/>
      <c r="HA204" s="58"/>
      <c r="HB204" s="58"/>
      <c r="HC204" s="58"/>
      <c r="HD204" s="58"/>
      <c r="HE204" s="58"/>
      <c r="HF204" s="58"/>
      <c r="HG204" s="58"/>
      <c r="HH204" s="58"/>
      <c r="HI204" s="58"/>
      <c r="HJ204" s="58"/>
      <c r="HK204" s="58"/>
      <c r="HL204" s="58"/>
      <c r="HM204" s="58"/>
      <c r="HN204" s="58"/>
      <c r="HO204" s="58"/>
      <c r="HP204" s="58"/>
      <c r="HQ204" s="58"/>
      <c r="HR204" s="58"/>
      <c r="HS204" s="58"/>
      <c r="HT204" s="58"/>
      <c r="HU204" s="58"/>
      <c r="HV204" s="58"/>
      <c r="HW204" s="58"/>
      <c r="HX204" s="58"/>
      <c r="HY204" s="58"/>
      <c r="HZ204" s="58"/>
      <c r="IA204" s="58"/>
      <c r="IB204" s="58"/>
      <c r="IC204" s="58"/>
      <c r="ID204" s="58"/>
      <c r="IE204" s="58"/>
      <c r="IF204" s="58"/>
      <c r="IG204" s="58"/>
      <c r="IH204" s="58"/>
      <c r="II204" s="58"/>
      <c r="IJ204" s="58"/>
      <c r="IK204" s="58"/>
      <c r="IL204" s="58"/>
      <c r="IM204" s="58"/>
      <c r="IN204" s="58"/>
      <c r="IO204" s="58"/>
      <c r="IP204" s="58"/>
      <c r="IQ204" s="58"/>
      <c r="IR204" s="58"/>
      <c r="IS204" s="58"/>
      <c r="IT204" s="58"/>
      <c r="IU204" s="58"/>
    </row>
    <row r="205" spans="1:255" ht="13.5" customHeight="1" x14ac:dyDescent="0.3">
      <c r="A205" s="46"/>
      <c r="B205" s="47"/>
      <c r="C205" s="47"/>
      <c r="D205" s="61"/>
      <c r="E205" s="47"/>
      <c r="F205" s="47"/>
      <c r="G205" s="48"/>
      <c r="H205" s="48"/>
      <c r="I205" s="48"/>
      <c r="J205" s="48"/>
      <c r="K205" s="49"/>
      <c r="L205" s="47"/>
      <c r="U205" s="47"/>
      <c r="V205" s="47"/>
      <c r="W205" s="47"/>
      <c r="X205" s="47"/>
      <c r="Y205" s="47"/>
      <c r="Z205" s="47"/>
      <c r="AA205" s="47"/>
      <c r="AB205" s="150"/>
      <c r="AC205" s="150"/>
      <c r="AD205" s="150"/>
      <c r="AE205" s="150"/>
      <c r="AF205" s="57"/>
      <c r="AG205" s="57"/>
      <c r="CR205" s="44"/>
      <c r="CS205" s="44"/>
      <c r="CT205" s="44"/>
      <c r="CU205" s="48"/>
      <c r="CV205" s="142"/>
      <c r="CW205" s="44"/>
      <c r="CX205" s="83"/>
      <c r="CY205" s="83"/>
      <c r="CZ205" s="83"/>
      <c r="DA205" s="44"/>
      <c r="DB205" s="143"/>
      <c r="DC205" s="44"/>
      <c r="DD205" s="44"/>
      <c r="DE205" s="44"/>
      <c r="DF205" s="44"/>
      <c r="DG205" s="44"/>
      <c r="DH205" s="44"/>
      <c r="DI205" s="75"/>
      <c r="DJ205" s="57"/>
      <c r="DK205" s="57"/>
      <c r="DL205" s="57"/>
      <c r="DM205" s="87"/>
      <c r="DN205" s="99"/>
      <c r="DO205" s="57"/>
      <c r="DP205" s="57"/>
      <c r="DQ205" s="87"/>
      <c r="DR205" s="99"/>
      <c r="DS205" s="44"/>
      <c r="DT205" s="83"/>
      <c r="DU205" s="83"/>
      <c r="DV205" s="83"/>
      <c r="DW205" s="44"/>
      <c r="DX205" s="144"/>
      <c r="DY205" s="144"/>
      <c r="DZ205" s="144"/>
    </row>
    <row r="206" spans="1:255" x14ac:dyDescent="0.3">
      <c r="A206" s="54"/>
      <c r="B206" s="44"/>
      <c r="C206" s="378"/>
      <c r="D206" s="378"/>
      <c r="E206" s="378"/>
      <c r="F206" s="378"/>
      <c r="G206" s="55"/>
      <c r="H206" s="55"/>
      <c r="I206" s="55"/>
      <c r="J206" s="55"/>
      <c r="K206" s="49"/>
      <c r="L206" s="44"/>
      <c r="U206" s="44"/>
      <c r="V206" s="44"/>
      <c r="W206" s="44"/>
      <c r="X206" s="44"/>
      <c r="Y206" s="44"/>
      <c r="Z206" s="44"/>
      <c r="AA206" s="44"/>
      <c r="AB206" s="89"/>
      <c r="AC206" s="89"/>
      <c r="AD206" s="89"/>
      <c r="AE206" s="89"/>
      <c r="AF206" s="89"/>
      <c r="AG206" s="89"/>
      <c r="CR206" s="44"/>
      <c r="CS206" s="44"/>
      <c r="CT206" s="44"/>
      <c r="CU206" s="48"/>
      <c r="CV206" s="142"/>
      <c r="CW206" s="44"/>
      <c r="CX206" s="83"/>
      <c r="CY206" s="83"/>
      <c r="CZ206" s="83"/>
      <c r="DA206" s="44"/>
      <c r="DB206" s="143"/>
      <c r="DC206" s="44"/>
      <c r="DD206" s="44"/>
      <c r="DE206" s="44"/>
      <c r="DF206" s="44"/>
      <c r="DG206" s="44"/>
      <c r="DH206" s="44"/>
      <c r="DI206" s="75"/>
      <c r="DJ206" s="57"/>
      <c r="DK206" s="57"/>
      <c r="DL206" s="57"/>
      <c r="DM206" s="87"/>
      <c r="DN206" s="99"/>
      <c r="DO206" s="57"/>
      <c r="DP206" s="57"/>
      <c r="DQ206" s="87"/>
      <c r="DR206" s="99"/>
      <c r="DS206" s="44"/>
      <c r="DT206" s="83"/>
      <c r="DU206" s="83"/>
      <c r="DV206" s="83"/>
      <c r="DW206" s="44"/>
      <c r="DX206" s="144"/>
      <c r="DY206" s="144"/>
      <c r="DZ206" s="144"/>
    </row>
    <row r="207" spans="1:255" x14ac:dyDescent="0.3">
      <c r="A207" s="152"/>
      <c r="B207" s="152"/>
      <c r="C207" s="152"/>
      <c r="D207" s="152"/>
      <c r="E207" s="152"/>
      <c r="F207" s="152"/>
      <c r="G207" s="152"/>
      <c r="H207" s="152"/>
      <c r="I207" s="152"/>
      <c r="J207" s="152"/>
      <c r="K207" s="152"/>
      <c r="L207" s="44"/>
      <c r="U207" s="44"/>
      <c r="V207" s="44"/>
      <c r="W207" s="44"/>
      <c r="X207" s="44"/>
      <c r="Y207" s="44"/>
      <c r="Z207" s="44"/>
      <c r="AA207" s="44"/>
      <c r="AB207" s="89"/>
      <c r="AC207" s="89"/>
      <c r="AD207" s="89"/>
      <c r="AE207" s="89"/>
      <c r="AF207" s="89"/>
      <c r="AG207" s="89"/>
      <c r="CR207" s="44"/>
      <c r="CS207" s="44"/>
      <c r="CT207" s="44"/>
      <c r="CU207" s="48"/>
      <c r="CV207" s="142"/>
      <c r="CW207" s="44"/>
      <c r="CX207" s="83"/>
      <c r="CY207" s="83"/>
      <c r="CZ207" s="83"/>
      <c r="DA207" s="44"/>
      <c r="DB207" s="143"/>
      <c r="DC207" s="44"/>
      <c r="DD207" s="44"/>
      <c r="DE207" s="44"/>
      <c r="DF207" s="44"/>
      <c r="DG207" s="44"/>
      <c r="DH207" s="44"/>
      <c r="DI207" s="75"/>
      <c r="DJ207" s="57"/>
      <c r="DK207" s="57"/>
      <c r="DL207" s="57"/>
      <c r="DM207" s="87"/>
      <c r="DN207" s="99"/>
      <c r="DO207" s="57"/>
      <c r="DP207" s="57"/>
      <c r="DQ207" s="87"/>
      <c r="DR207" s="99"/>
      <c r="DS207" s="44"/>
      <c r="DT207" s="83"/>
      <c r="DU207" s="83"/>
      <c r="DV207" s="83"/>
      <c r="DW207" s="44"/>
      <c r="DX207" s="144"/>
      <c r="DY207" s="144"/>
      <c r="DZ207" s="144"/>
    </row>
    <row r="208" spans="1:255" x14ac:dyDescent="0.3">
      <c r="A208" s="137" t="str">
        <f>SUM($N$1:N208)&amp;"."&amp;SUM($O$1:O208)</f>
        <v>0.0</v>
      </c>
      <c r="B208" s="192" t="s">
        <v>111</v>
      </c>
      <c r="C208" s="153"/>
      <c r="D208" s="153"/>
      <c r="E208" s="153"/>
      <c r="F208" s="153"/>
      <c r="G208" s="153"/>
      <c r="H208" s="153"/>
      <c r="I208" s="153"/>
      <c r="J208" s="153"/>
      <c r="K208" s="154"/>
      <c r="L208" s="44"/>
      <c r="U208" s="44"/>
      <c r="V208" s="44"/>
      <c r="W208" s="44"/>
      <c r="X208" s="44"/>
      <c r="Y208" s="44"/>
      <c r="Z208" s="44"/>
      <c r="AA208" s="44"/>
      <c r="AB208" s="89"/>
      <c r="AC208" s="89"/>
      <c r="AD208" s="89"/>
      <c r="AE208" s="89"/>
      <c r="AF208" s="89"/>
      <c r="AG208" s="89"/>
      <c r="CR208" s="44"/>
      <c r="CS208" s="44"/>
      <c r="CT208" s="44"/>
      <c r="CU208" s="48"/>
      <c r="CV208" s="142"/>
      <c r="CW208" s="44"/>
      <c r="CX208" s="83"/>
      <c r="CY208" s="83"/>
      <c r="CZ208" s="83"/>
      <c r="DA208" s="44"/>
      <c r="DB208" s="143"/>
      <c r="DC208" s="44"/>
      <c r="DD208" s="44"/>
      <c r="DE208" s="44"/>
      <c r="DF208" s="44"/>
      <c r="DG208" s="44"/>
      <c r="DH208" s="44"/>
      <c r="DI208" s="75"/>
      <c r="DJ208" s="57"/>
      <c r="DK208" s="57"/>
      <c r="DL208" s="57"/>
      <c r="DM208" s="87"/>
      <c r="DN208" s="99"/>
      <c r="DO208" s="57"/>
      <c r="DP208" s="57"/>
      <c r="DQ208" s="87"/>
      <c r="DR208" s="99"/>
      <c r="DS208" s="44"/>
      <c r="DT208" s="83"/>
      <c r="DU208" s="83"/>
      <c r="DV208" s="83"/>
      <c r="DW208" s="44"/>
      <c r="DX208" s="144"/>
      <c r="DY208" s="144"/>
      <c r="DZ208" s="144"/>
    </row>
    <row r="209" spans="1:130" x14ac:dyDescent="0.3">
      <c r="A209" s="153"/>
      <c r="B209" s="153"/>
      <c r="C209" s="155"/>
      <c r="D209" s="153"/>
      <c r="E209" s="153"/>
      <c r="F209" s="153"/>
      <c r="G209" s="153"/>
      <c r="H209" s="153"/>
      <c r="I209" s="153"/>
      <c r="J209" s="153"/>
      <c r="K209" s="154"/>
      <c r="L209" s="44"/>
      <c r="U209" s="44"/>
      <c r="V209" s="44"/>
      <c r="W209" s="44"/>
      <c r="X209" s="44"/>
      <c r="Y209" s="44"/>
      <c r="Z209" s="44"/>
      <c r="AA209" s="44"/>
      <c r="AB209" s="89"/>
      <c r="AC209" s="89"/>
      <c r="AD209" s="89"/>
      <c r="AE209" s="89"/>
      <c r="AF209" s="89"/>
      <c r="AG209" s="89"/>
      <c r="CR209" s="44"/>
      <c r="CS209" s="44"/>
      <c r="CT209" s="44"/>
      <c r="CU209" s="48"/>
      <c r="CV209" s="142"/>
      <c r="CW209" s="44"/>
      <c r="CX209" s="83"/>
      <c r="CY209" s="83"/>
      <c r="CZ209" s="83"/>
      <c r="DA209" s="44"/>
      <c r="DB209" s="143"/>
      <c r="DC209" s="44"/>
      <c r="DD209" s="44"/>
      <c r="DE209" s="44"/>
      <c r="DF209" s="44"/>
      <c r="DG209" s="44"/>
      <c r="DH209" s="44"/>
      <c r="DI209" s="75"/>
      <c r="DJ209" s="57"/>
      <c r="DK209" s="57"/>
      <c r="DL209" s="57"/>
      <c r="DM209" s="87"/>
      <c r="DN209" s="99"/>
      <c r="DO209" s="57"/>
      <c r="DP209" s="57"/>
      <c r="DQ209" s="87"/>
      <c r="DR209" s="99"/>
      <c r="DS209" s="44"/>
      <c r="DT209" s="83"/>
      <c r="DU209" s="83"/>
      <c r="DV209" s="83"/>
      <c r="DW209" s="44"/>
      <c r="DX209" s="144"/>
      <c r="DY209" s="144"/>
      <c r="DZ209" s="144"/>
    </row>
    <row r="210" spans="1:130" x14ac:dyDescent="0.3">
      <c r="A210" s="153"/>
      <c r="B210" s="156" t="s">
        <v>80</v>
      </c>
      <c r="C210" s="154" t="s">
        <v>81</v>
      </c>
      <c r="D210" s="153"/>
      <c r="E210" s="153"/>
      <c r="F210" s="153"/>
      <c r="G210" s="153"/>
      <c r="H210" s="153"/>
      <c r="I210" s="153"/>
      <c r="J210" s="153"/>
      <c r="K210" s="154"/>
      <c r="L210" s="44"/>
      <c r="U210" s="44"/>
      <c r="V210" s="44"/>
      <c r="W210" s="44"/>
      <c r="X210" s="44"/>
      <c r="Y210" s="44"/>
      <c r="Z210" s="44"/>
      <c r="AA210" s="44"/>
      <c r="AB210" s="89"/>
      <c r="AC210" s="89"/>
      <c r="AD210" s="89"/>
      <c r="AE210" s="89"/>
      <c r="AF210" s="89"/>
      <c r="AG210" s="89"/>
      <c r="CR210" s="44"/>
      <c r="CS210" s="44"/>
      <c r="CT210" s="44"/>
      <c r="CU210" s="48"/>
      <c r="CV210" s="142"/>
      <c r="CW210" s="44"/>
      <c r="CX210" s="83"/>
      <c r="CY210" s="83"/>
      <c r="CZ210" s="83"/>
      <c r="DA210" s="44"/>
      <c r="DB210" s="143"/>
      <c r="DC210" s="44"/>
      <c r="DD210" s="44"/>
      <c r="DE210" s="44"/>
      <c r="DF210" s="44"/>
      <c r="DG210" s="44"/>
      <c r="DH210" s="44"/>
      <c r="DI210" s="75"/>
      <c r="DJ210" s="57"/>
      <c r="DK210" s="57"/>
      <c r="DL210" s="57"/>
      <c r="DM210" s="87"/>
      <c r="DN210" s="99"/>
      <c r="DO210" s="57"/>
      <c r="DP210" s="57"/>
      <c r="DQ210" s="87"/>
      <c r="DR210" s="99"/>
      <c r="DS210" s="44"/>
      <c r="DT210" s="83"/>
      <c r="DU210" s="83"/>
      <c r="DV210" s="83"/>
      <c r="DW210" s="44"/>
      <c r="DX210" s="144"/>
      <c r="DY210" s="144"/>
      <c r="DZ210" s="144"/>
    </row>
    <row r="211" spans="1:130" x14ac:dyDescent="0.3">
      <c r="A211" s="154"/>
      <c r="B211" s="154"/>
      <c r="C211" s="154"/>
      <c r="D211" s="154"/>
      <c r="E211" s="154"/>
      <c r="F211" s="154"/>
      <c r="G211" s="154"/>
      <c r="H211" s="154"/>
      <c r="I211" s="154"/>
      <c r="J211" s="154"/>
      <c r="K211" s="154"/>
      <c r="L211" s="44"/>
      <c r="U211" s="44"/>
      <c r="V211" s="44"/>
      <c r="W211" s="44"/>
      <c r="X211" s="44"/>
      <c r="Y211" s="44"/>
      <c r="Z211" s="44"/>
      <c r="AA211" s="44"/>
      <c r="AB211" s="89"/>
      <c r="AC211" s="89"/>
      <c r="AD211" s="89"/>
      <c r="AE211" s="89"/>
      <c r="AF211" s="89"/>
      <c r="AG211" s="89"/>
      <c r="CR211" s="44"/>
      <c r="CS211" s="44"/>
      <c r="CT211" s="44"/>
      <c r="CU211" s="48"/>
      <c r="CV211" s="142"/>
      <c r="CW211" s="44"/>
      <c r="CX211" s="83"/>
      <c r="CY211" s="83"/>
      <c r="CZ211" s="83"/>
      <c r="DA211" s="44"/>
      <c r="DB211" s="143"/>
      <c r="DC211" s="44"/>
      <c r="DD211" s="44"/>
      <c r="DE211" s="44"/>
      <c r="DF211" s="44"/>
      <c r="DG211" s="44"/>
      <c r="DH211" s="44"/>
      <c r="DI211" s="75"/>
      <c r="DJ211" s="57"/>
      <c r="DK211" s="57"/>
      <c r="DL211" s="57"/>
      <c r="DM211" s="87"/>
      <c r="DN211" s="99"/>
      <c r="DO211" s="57"/>
      <c r="DP211" s="57"/>
      <c r="DQ211" s="87"/>
      <c r="DR211" s="99"/>
      <c r="DS211" s="44"/>
      <c r="DT211" s="83"/>
      <c r="DU211" s="83"/>
      <c r="DV211" s="83"/>
      <c r="DW211" s="44"/>
      <c r="DX211" s="144"/>
      <c r="DY211" s="144"/>
      <c r="DZ211" s="144"/>
    </row>
    <row r="212" spans="1:130" x14ac:dyDescent="0.3">
      <c r="A212" s="154"/>
      <c r="B212" s="139"/>
      <c r="C212" s="157" t="s">
        <v>82</v>
      </c>
      <c r="D212" s="158">
        <f>AB53</f>
        <v>0.50000000000000011</v>
      </c>
      <c r="E212" s="139"/>
      <c r="F212" s="139"/>
      <c r="G212" s="139"/>
      <c r="H212" s="139"/>
      <c r="I212" s="139"/>
      <c r="J212" s="139"/>
      <c r="K212" s="154"/>
      <c r="L212" s="44"/>
      <c r="U212" s="44"/>
      <c r="V212" s="44"/>
      <c r="W212" s="44"/>
      <c r="X212" s="44"/>
      <c r="Y212" s="44"/>
      <c r="Z212" s="44"/>
      <c r="AA212" s="44"/>
      <c r="AB212" s="89"/>
      <c r="AC212" s="89"/>
      <c r="AD212" s="89"/>
      <c r="AE212" s="89"/>
      <c r="AF212" s="89"/>
      <c r="AG212" s="89"/>
      <c r="CR212" s="44"/>
      <c r="CS212" s="44"/>
      <c r="CT212" s="44"/>
      <c r="CU212" s="48"/>
      <c r="CV212" s="142"/>
      <c r="CW212" s="44"/>
      <c r="CX212" s="83"/>
      <c r="CY212" s="83"/>
      <c r="CZ212" s="83"/>
      <c r="DA212" s="44"/>
      <c r="DB212" s="143"/>
      <c r="DC212" s="44"/>
      <c r="DD212" s="44"/>
      <c r="DE212" s="44"/>
      <c r="DF212" s="44"/>
      <c r="DG212" s="44"/>
      <c r="DH212" s="44"/>
      <c r="DI212" s="75"/>
      <c r="DJ212" s="57"/>
      <c r="DK212" s="57"/>
      <c r="DL212" s="57"/>
      <c r="DM212" s="87"/>
      <c r="DN212" s="99"/>
      <c r="DO212" s="57"/>
      <c r="DP212" s="57"/>
      <c r="DQ212" s="87"/>
      <c r="DR212" s="99"/>
      <c r="DS212" s="44"/>
      <c r="DT212" s="83"/>
      <c r="DU212" s="83"/>
      <c r="DV212" s="83"/>
      <c r="DW212" s="44"/>
      <c r="DX212" s="144"/>
      <c r="DY212" s="144"/>
      <c r="DZ212" s="144"/>
    </row>
    <row r="213" spans="1:130" x14ac:dyDescent="0.3">
      <c r="A213" s="154"/>
      <c r="B213" s="139"/>
      <c r="C213" s="157" t="s">
        <v>85</v>
      </c>
      <c r="D213" s="158">
        <f>AB52</f>
        <v>0.50000000000000011</v>
      </c>
      <c r="E213" s="139"/>
      <c r="F213" s="154"/>
      <c r="G213" s="154"/>
      <c r="H213" s="154"/>
      <c r="I213" s="154"/>
      <c r="J213" s="154"/>
      <c r="K213" s="154"/>
      <c r="L213" s="44"/>
      <c r="U213" s="44"/>
      <c r="V213" s="44"/>
      <c r="W213" s="44"/>
      <c r="X213" s="44"/>
      <c r="Y213" s="44"/>
      <c r="Z213" s="44"/>
      <c r="AA213" s="44"/>
      <c r="AB213" s="89"/>
      <c r="AC213" s="89"/>
      <c r="AD213" s="89"/>
      <c r="AE213" s="89"/>
      <c r="AF213" s="89"/>
      <c r="AG213" s="89"/>
      <c r="CR213" s="44"/>
      <c r="CS213" s="44"/>
      <c r="CT213" s="44"/>
      <c r="CU213" s="48"/>
      <c r="CV213" s="142"/>
      <c r="CW213" s="44"/>
      <c r="CX213" s="83"/>
      <c r="CY213" s="83"/>
      <c r="CZ213" s="83"/>
      <c r="DA213" s="44"/>
      <c r="DB213" s="143"/>
      <c r="DC213" s="44"/>
      <c r="DD213" s="44"/>
      <c r="DE213" s="44"/>
      <c r="DF213" s="44"/>
      <c r="DG213" s="44"/>
      <c r="DH213" s="44"/>
      <c r="DI213" s="75"/>
      <c r="DJ213" s="57"/>
      <c r="DK213" s="57"/>
      <c r="DL213" s="57"/>
      <c r="DM213" s="87"/>
      <c r="DN213" s="99"/>
      <c r="DO213" s="57"/>
      <c r="DP213" s="57"/>
      <c r="DQ213" s="87"/>
      <c r="DR213" s="99"/>
      <c r="DS213" s="44"/>
      <c r="DT213" s="83"/>
      <c r="DU213" s="83"/>
      <c r="DV213" s="83"/>
      <c r="DW213" s="44"/>
      <c r="DX213" s="144"/>
      <c r="DY213" s="144"/>
      <c r="DZ213" s="144"/>
    </row>
    <row r="214" spans="1:130" x14ac:dyDescent="0.3">
      <c r="A214" s="154"/>
      <c r="B214" s="139"/>
      <c r="C214" s="157"/>
      <c r="D214" s="159"/>
      <c r="E214" s="154"/>
      <c r="F214" s="154"/>
      <c r="G214" s="154"/>
      <c r="H214" s="154"/>
      <c r="I214" s="154"/>
      <c r="J214" s="154"/>
      <c r="K214" s="154"/>
      <c r="L214" s="44"/>
      <c r="U214" s="44"/>
      <c r="V214" s="44"/>
      <c r="W214" s="44"/>
      <c r="X214" s="44"/>
      <c r="Y214" s="44"/>
      <c r="Z214" s="44"/>
      <c r="AA214" s="44"/>
      <c r="AB214" s="89"/>
      <c r="AC214" s="89"/>
      <c r="AD214" s="89"/>
      <c r="AE214" s="89"/>
      <c r="AF214" s="89"/>
      <c r="AG214" s="89"/>
      <c r="CR214" s="44"/>
      <c r="CS214" s="44"/>
      <c r="CT214" s="44"/>
      <c r="CU214" s="48"/>
      <c r="CV214" s="142"/>
      <c r="CW214" s="44"/>
      <c r="CX214" s="83"/>
      <c r="CY214" s="83"/>
      <c r="CZ214" s="83"/>
      <c r="DA214" s="44"/>
      <c r="DB214" s="143"/>
      <c r="DC214" s="44"/>
      <c r="DD214" s="44"/>
      <c r="DE214" s="44"/>
      <c r="DF214" s="44"/>
      <c r="DG214" s="44"/>
      <c r="DH214" s="44"/>
      <c r="DI214" s="75"/>
      <c r="DJ214" s="57"/>
      <c r="DK214" s="57"/>
      <c r="DL214" s="57"/>
      <c r="DM214" s="87"/>
      <c r="DN214" s="99"/>
      <c r="DO214" s="57"/>
      <c r="DP214" s="57"/>
      <c r="DQ214" s="87"/>
      <c r="DR214" s="99"/>
      <c r="DS214" s="44"/>
      <c r="DT214" s="83"/>
      <c r="DU214" s="83"/>
      <c r="DV214" s="83"/>
      <c r="DW214" s="44"/>
      <c r="DX214" s="144"/>
      <c r="DY214" s="144"/>
      <c r="DZ214" s="144"/>
    </row>
    <row r="215" spans="1:130" x14ac:dyDescent="0.3">
      <c r="A215" s="154"/>
      <c r="B215" s="139"/>
      <c r="C215" s="139"/>
      <c r="D215" s="139"/>
      <c r="E215" s="139"/>
      <c r="F215" s="154"/>
      <c r="G215" s="154"/>
      <c r="H215" s="154"/>
      <c r="I215" s="154"/>
      <c r="J215" s="154"/>
      <c r="K215" s="154"/>
      <c r="L215" s="44"/>
      <c r="U215" s="44"/>
      <c r="V215" s="44"/>
      <c r="W215" s="44"/>
      <c r="X215" s="44"/>
      <c r="Y215" s="44"/>
      <c r="Z215" s="44"/>
      <c r="AA215" s="44"/>
      <c r="AB215" s="89"/>
      <c r="AC215" s="89"/>
      <c r="AD215" s="58" t="s">
        <v>7</v>
      </c>
      <c r="AE215" s="58" t="s">
        <v>83</v>
      </c>
      <c r="AF215" s="57"/>
      <c r="AG215" s="57"/>
      <c r="CR215" s="44"/>
      <c r="CS215" s="44"/>
      <c r="CT215" s="44"/>
      <c r="CU215" s="48"/>
      <c r="CV215" s="142"/>
      <c r="CW215" s="44"/>
      <c r="CX215" s="83"/>
      <c r="CY215" s="83"/>
      <c r="CZ215" s="83"/>
      <c r="DA215" s="44"/>
      <c r="DB215" s="143"/>
      <c r="DC215" s="44"/>
      <c r="DD215" s="44"/>
      <c r="DE215" s="44"/>
      <c r="DF215" s="44"/>
      <c r="DG215" s="44"/>
      <c r="DH215" s="44"/>
      <c r="DI215" s="75"/>
      <c r="DJ215" s="57"/>
      <c r="DK215" s="57"/>
      <c r="DL215" s="57"/>
      <c r="DM215" s="87"/>
      <c r="DN215" s="99"/>
      <c r="DO215" s="57"/>
      <c r="DP215" s="57"/>
      <c r="DQ215" s="87"/>
      <c r="DR215" s="99"/>
      <c r="DS215" s="44"/>
      <c r="DT215" s="83"/>
      <c r="DU215" s="83"/>
      <c r="DV215" s="83"/>
      <c r="DW215" s="44"/>
      <c r="DX215" s="144"/>
      <c r="DY215" s="144"/>
      <c r="DZ215" s="144"/>
    </row>
    <row r="216" spans="1:130" x14ac:dyDescent="0.3">
      <c r="A216" s="154"/>
      <c r="B216" s="139"/>
      <c r="C216" s="139"/>
      <c r="D216" s="139"/>
      <c r="E216" s="139"/>
      <c r="F216" s="157"/>
      <c r="G216" s="154"/>
      <c r="H216" s="154"/>
      <c r="I216" s="154"/>
      <c r="J216" s="154"/>
      <c r="K216" s="154"/>
      <c r="L216" s="44"/>
      <c r="U216" s="44"/>
      <c r="V216" s="44"/>
      <c r="W216" s="44"/>
      <c r="X216" s="44"/>
      <c r="Y216" s="44"/>
      <c r="Z216" s="44"/>
      <c r="AA216" s="44"/>
      <c r="AB216" s="58" t="s">
        <v>7</v>
      </c>
      <c r="AC216" s="58" t="s">
        <v>84</v>
      </c>
      <c r="AD216" s="58">
        <v>0</v>
      </c>
      <c r="AE216" s="58">
        <v>50</v>
      </c>
      <c r="AF216" s="57"/>
      <c r="AG216" s="57"/>
      <c r="CR216" s="44"/>
      <c r="CS216" s="44"/>
      <c r="CT216" s="44"/>
      <c r="CU216" s="48"/>
      <c r="CV216" s="142"/>
      <c r="CW216" s="44"/>
      <c r="CX216" s="83"/>
      <c r="CY216" s="83"/>
      <c r="CZ216" s="83"/>
      <c r="DA216" s="44"/>
      <c r="DB216" s="143"/>
      <c r="DC216" s="44"/>
      <c r="DD216" s="44"/>
      <c r="DE216" s="44"/>
      <c r="DF216" s="44"/>
      <c r="DG216" s="44"/>
      <c r="DH216" s="44"/>
      <c r="DI216" s="75"/>
      <c r="DJ216" s="57"/>
      <c r="DK216" s="57"/>
      <c r="DL216" s="57"/>
      <c r="DM216" s="87"/>
      <c r="DN216" s="99"/>
      <c r="DO216" s="57"/>
      <c r="DP216" s="57"/>
      <c r="DQ216" s="87"/>
      <c r="DR216" s="99"/>
      <c r="DS216" s="44"/>
      <c r="DT216" s="83"/>
      <c r="DU216" s="83"/>
      <c r="DV216" s="83"/>
      <c r="DW216" s="44"/>
      <c r="DX216" s="144"/>
      <c r="DY216" s="144"/>
      <c r="DZ216" s="144"/>
    </row>
    <row r="217" spans="1:130" x14ac:dyDescent="0.3">
      <c r="A217" s="154"/>
      <c r="B217" s="139"/>
      <c r="C217" s="139"/>
      <c r="D217" s="139"/>
      <c r="E217" s="139"/>
      <c r="F217" s="139"/>
      <c r="G217" s="160"/>
      <c r="H217" s="160"/>
      <c r="I217" s="160"/>
      <c r="J217" s="160"/>
      <c r="K217" s="154"/>
      <c r="L217" s="44"/>
      <c r="U217" s="44"/>
      <c r="V217" s="44"/>
      <c r="W217" s="44"/>
      <c r="X217" s="44"/>
      <c r="Y217" s="44"/>
      <c r="Z217" s="44"/>
      <c r="AA217" s="44"/>
      <c r="AB217" s="85">
        <v>25</v>
      </c>
      <c r="AC217" s="85">
        <v>37.708300000000001</v>
      </c>
      <c r="AD217" s="58">
        <v>50</v>
      </c>
      <c r="AE217" s="58">
        <v>0</v>
      </c>
      <c r="AF217" s="57"/>
      <c r="AG217" s="57"/>
      <c r="CR217" s="44"/>
      <c r="CS217" s="44"/>
      <c r="CT217" s="44"/>
      <c r="CU217" s="48"/>
      <c r="CV217" s="142"/>
      <c r="CW217" s="44"/>
      <c r="CX217" s="83"/>
      <c r="CY217" s="83"/>
      <c r="CZ217" s="83"/>
      <c r="DA217" s="44"/>
      <c r="DB217" s="143"/>
      <c r="DC217" s="44"/>
      <c r="DD217" s="44"/>
      <c r="DE217" s="44"/>
      <c r="DF217" s="44"/>
      <c r="DG217" s="44"/>
      <c r="DH217" s="44"/>
      <c r="DI217" s="75"/>
      <c r="DJ217" s="57"/>
      <c r="DK217" s="57"/>
      <c r="DL217" s="57"/>
      <c r="DM217" s="87"/>
      <c r="DN217" s="99"/>
      <c r="DO217" s="57"/>
      <c r="DP217" s="57"/>
      <c r="DQ217" s="87"/>
      <c r="DR217" s="99"/>
      <c r="DS217" s="44"/>
      <c r="DT217" s="83"/>
      <c r="DU217" s="83"/>
      <c r="DV217" s="83"/>
      <c r="DW217" s="44"/>
      <c r="DX217" s="144"/>
      <c r="DY217" s="144"/>
      <c r="DZ217" s="144"/>
    </row>
    <row r="218" spans="1:130" x14ac:dyDescent="0.3">
      <c r="A218" s="154"/>
      <c r="B218" s="154"/>
      <c r="C218" s="154"/>
      <c r="D218" s="154"/>
      <c r="E218" s="154"/>
      <c r="F218" s="154"/>
      <c r="G218" s="154"/>
      <c r="H218" s="154"/>
      <c r="I218" s="154"/>
      <c r="J218" s="154"/>
      <c r="K218" s="154"/>
      <c r="L218" s="44"/>
      <c r="U218" s="44"/>
      <c r="V218" s="44"/>
      <c r="W218" s="44"/>
      <c r="X218" s="44"/>
      <c r="Y218" s="44"/>
      <c r="Z218" s="44"/>
      <c r="AA218" s="44"/>
      <c r="AB218" s="85">
        <v>37.396299999999997</v>
      </c>
      <c r="AC218" s="85">
        <v>50</v>
      </c>
      <c r="AD218" s="58">
        <v>100</v>
      </c>
      <c r="AE218" s="58">
        <v>0</v>
      </c>
      <c r="AF218" s="57"/>
      <c r="AG218" s="57"/>
      <c r="CR218" s="44"/>
      <c r="CS218" s="44"/>
      <c r="CT218" s="44"/>
      <c r="CU218" s="48"/>
      <c r="CV218" s="142"/>
      <c r="CW218" s="44"/>
      <c r="CX218" s="83"/>
      <c r="CY218" s="83"/>
      <c r="CZ218" s="83"/>
      <c r="DA218" s="44"/>
      <c r="DB218" s="143"/>
      <c r="DC218" s="44"/>
      <c r="DD218" s="44"/>
      <c r="DE218" s="44"/>
      <c r="DF218" s="44"/>
      <c r="DG218" s="44"/>
      <c r="DH218" s="44"/>
      <c r="DI218" s="75"/>
      <c r="DJ218" s="57"/>
      <c r="DK218" s="57"/>
      <c r="DL218" s="57"/>
      <c r="DM218" s="87"/>
      <c r="DN218" s="99"/>
      <c r="DO218" s="57"/>
      <c r="DP218" s="57"/>
      <c r="DQ218" s="87"/>
      <c r="DR218" s="99"/>
      <c r="DS218" s="44"/>
      <c r="DT218" s="83"/>
      <c r="DU218" s="83"/>
      <c r="DV218" s="83"/>
      <c r="DW218" s="44"/>
      <c r="DX218" s="144"/>
      <c r="DY218" s="144"/>
      <c r="DZ218" s="144"/>
    </row>
    <row r="219" spans="1:130" x14ac:dyDescent="0.3">
      <c r="A219" s="154"/>
      <c r="B219" s="154"/>
      <c r="C219" s="154"/>
      <c r="D219" s="154"/>
      <c r="E219" s="161"/>
      <c r="F219" s="154"/>
      <c r="G219" s="154"/>
      <c r="H219" s="154"/>
      <c r="I219" s="154"/>
      <c r="J219" s="154"/>
      <c r="K219" s="154"/>
      <c r="L219" s="44"/>
      <c r="U219" s="44"/>
      <c r="V219" s="44"/>
      <c r="W219" s="44"/>
      <c r="X219" s="44"/>
      <c r="Y219" s="44"/>
      <c r="Z219" s="44"/>
      <c r="AA219" s="44"/>
      <c r="AB219" s="85">
        <v>74.818100000000001</v>
      </c>
      <c r="AC219" s="85">
        <v>12.5</v>
      </c>
      <c r="AD219" s="58">
        <v>50</v>
      </c>
      <c r="AE219" s="58">
        <v>50</v>
      </c>
      <c r="AF219" s="57"/>
      <c r="AG219" s="57"/>
      <c r="CR219" s="44"/>
      <c r="CS219" s="44"/>
      <c r="CT219" s="44"/>
      <c r="CU219" s="48"/>
      <c r="CV219" s="142"/>
      <c r="CW219" s="44"/>
      <c r="CX219" s="83"/>
      <c r="CY219" s="83"/>
      <c r="CZ219" s="83"/>
      <c r="DA219" s="44"/>
      <c r="DB219" s="143"/>
      <c r="DC219" s="44"/>
      <c r="DD219" s="44"/>
      <c r="DE219" s="44"/>
      <c r="DF219" s="44"/>
      <c r="DG219" s="44"/>
      <c r="DH219" s="44"/>
      <c r="DI219" s="75"/>
      <c r="DJ219" s="57"/>
      <c r="DK219" s="57"/>
      <c r="DL219" s="57"/>
      <c r="DM219" s="87"/>
      <c r="DN219" s="99"/>
      <c r="DO219" s="57"/>
      <c r="DP219" s="57"/>
      <c r="DQ219" s="87"/>
      <c r="DR219" s="99"/>
      <c r="DS219" s="44"/>
      <c r="DT219" s="83"/>
      <c r="DU219" s="83"/>
      <c r="DV219" s="83"/>
      <c r="DW219" s="44"/>
      <c r="DX219" s="144"/>
      <c r="DY219" s="144"/>
      <c r="DZ219" s="144"/>
    </row>
    <row r="220" spans="1:130" x14ac:dyDescent="0.3">
      <c r="A220" s="154"/>
      <c r="B220" s="154"/>
      <c r="C220" s="154"/>
      <c r="D220" s="154"/>
      <c r="E220" s="154"/>
      <c r="F220" s="154"/>
      <c r="G220" s="154"/>
      <c r="H220" s="154"/>
      <c r="I220" s="154"/>
      <c r="J220" s="154"/>
      <c r="K220" s="154"/>
      <c r="L220" s="44"/>
      <c r="U220" s="44"/>
      <c r="V220" s="44"/>
      <c r="W220" s="44"/>
      <c r="X220" s="44"/>
      <c r="Y220" s="44"/>
      <c r="Z220" s="44"/>
      <c r="AA220" s="44"/>
      <c r="AB220" s="85">
        <v>37.526000000000003</v>
      </c>
      <c r="AC220" s="85">
        <v>12.5</v>
      </c>
      <c r="AD220" s="58">
        <v>0</v>
      </c>
      <c r="AE220" s="58">
        <v>50</v>
      </c>
      <c r="AF220" s="57"/>
      <c r="AG220" s="57"/>
      <c r="CR220" s="44"/>
      <c r="CS220" s="44"/>
      <c r="CT220" s="44"/>
      <c r="CU220" s="48"/>
      <c r="CV220" s="142"/>
      <c r="CW220" s="44"/>
      <c r="CX220" s="83"/>
      <c r="CY220" s="83"/>
      <c r="CZ220" s="83"/>
      <c r="DA220" s="44"/>
      <c r="DB220" s="143"/>
      <c r="DC220" s="44"/>
      <c r="DD220" s="44"/>
      <c r="DE220" s="44"/>
      <c r="DF220" s="44"/>
      <c r="DG220" s="44"/>
      <c r="DH220" s="44"/>
      <c r="DI220" s="75"/>
      <c r="DJ220" s="57"/>
      <c r="DK220" s="57"/>
      <c r="DL220" s="57"/>
      <c r="DM220" s="87"/>
      <c r="DN220" s="99"/>
      <c r="DO220" s="57"/>
      <c r="DP220" s="57"/>
      <c r="DQ220" s="87"/>
      <c r="DR220" s="99"/>
      <c r="DS220" s="44"/>
      <c r="DT220" s="83"/>
      <c r="DU220" s="83"/>
      <c r="DV220" s="83"/>
      <c r="DW220" s="44"/>
      <c r="DX220" s="144"/>
      <c r="DY220" s="144"/>
      <c r="DZ220" s="144"/>
    </row>
    <row r="221" spans="1:130" x14ac:dyDescent="0.3">
      <c r="A221" s="154"/>
      <c r="B221" s="154"/>
      <c r="C221" s="154"/>
      <c r="D221" s="154"/>
      <c r="E221" s="154"/>
      <c r="F221" s="154"/>
      <c r="G221" s="154"/>
      <c r="H221" s="154"/>
      <c r="I221" s="154"/>
      <c r="J221" s="154"/>
      <c r="K221" s="154"/>
      <c r="L221" s="44"/>
      <c r="U221" s="44"/>
      <c r="V221" s="44"/>
      <c r="W221" s="44"/>
      <c r="X221" s="44"/>
      <c r="Y221" s="44"/>
      <c r="Z221" s="44"/>
      <c r="AA221" s="44"/>
      <c r="AB221" s="85">
        <v>25</v>
      </c>
      <c r="AC221" s="85">
        <v>37.708300000000001</v>
      </c>
      <c r="AD221" s="162">
        <v>0</v>
      </c>
      <c r="AE221" s="58"/>
      <c r="AF221" s="57"/>
      <c r="AG221" s="57"/>
      <c r="CR221" s="44"/>
      <c r="CS221" s="44"/>
      <c r="CT221" s="44"/>
      <c r="CU221" s="48"/>
      <c r="CV221" s="142"/>
      <c r="CW221" s="44"/>
      <c r="CX221" s="83"/>
      <c r="CY221" s="83"/>
      <c r="CZ221" s="83"/>
      <c r="DA221" s="44"/>
      <c r="DB221" s="143"/>
      <c r="DC221" s="44"/>
      <c r="DD221" s="44"/>
      <c r="DE221" s="44"/>
      <c r="DF221" s="44"/>
      <c r="DG221" s="44"/>
      <c r="DH221" s="44"/>
      <c r="DI221" s="75"/>
      <c r="DJ221" s="57"/>
      <c r="DK221" s="57"/>
      <c r="DL221" s="57"/>
      <c r="DM221" s="87"/>
      <c r="DN221" s="99"/>
      <c r="DO221" s="57"/>
      <c r="DP221" s="57"/>
      <c r="DQ221" s="87"/>
      <c r="DR221" s="99"/>
      <c r="DS221" s="44"/>
      <c r="DT221" s="83"/>
      <c r="DU221" s="83"/>
      <c r="DV221" s="83"/>
      <c r="DW221" s="44"/>
      <c r="DX221" s="144"/>
      <c r="DY221" s="144"/>
      <c r="DZ221" s="144"/>
    </row>
    <row r="222" spans="1:130" x14ac:dyDescent="0.3">
      <c r="A222" s="154"/>
      <c r="B222" s="154"/>
      <c r="C222" s="154"/>
      <c r="D222" s="154"/>
      <c r="E222" s="154"/>
      <c r="F222" s="154"/>
      <c r="G222" s="154"/>
      <c r="H222" s="154"/>
      <c r="I222" s="154"/>
      <c r="J222" s="154"/>
      <c r="K222" s="154"/>
      <c r="L222" s="44"/>
      <c r="U222" s="44"/>
      <c r="V222" s="44"/>
      <c r="W222" s="44"/>
      <c r="X222" s="44"/>
      <c r="Y222" s="44"/>
      <c r="Z222" s="44"/>
      <c r="AA222" s="44"/>
      <c r="AB222" s="150"/>
      <c r="AC222" s="58"/>
      <c r="AD222" s="58">
        <v>0</v>
      </c>
      <c r="AE222" s="58">
        <v>100</v>
      </c>
      <c r="AF222" s="57"/>
      <c r="AG222" s="57"/>
      <c r="CR222" s="44"/>
      <c r="CS222" s="44"/>
      <c r="CT222" s="44"/>
      <c r="CU222" s="48"/>
      <c r="CV222" s="142"/>
      <c r="CW222" s="44"/>
      <c r="CX222" s="83"/>
      <c r="CY222" s="83"/>
      <c r="CZ222" s="83"/>
      <c r="DA222" s="44"/>
      <c r="DB222" s="143"/>
      <c r="DC222" s="44"/>
      <c r="DD222" s="44"/>
      <c r="DE222" s="44"/>
      <c r="DF222" s="44"/>
      <c r="DG222" s="44"/>
      <c r="DH222" s="44"/>
      <c r="DI222" s="75"/>
      <c r="DJ222" s="57"/>
      <c r="DK222" s="57"/>
      <c r="DL222" s="57"/>
      <c r="DM222" s="87"/>
      <c r="DN222" s="99"/>
      <c r="DO222" s="57"/>
      <c r="DP222" s="57"/>
      <c r="DQ222" s="87"/>
      <c r="DR222" s="99"/>
      <c r="DS222" s="44"/>
      <c r="DT222" s="83"/>
      <c r="DU222" s="83"/>
      <c r="DV222" s="83"/>
      <c r="DW222" s="44"/>
      <c r="DX222" s="144"/>
      <c r="DY222" s="144"/>
      <c r="DZ222" s="144"/>
    </row>
    <row r="223" spans="1:130" x14ac:dyDescent="0.3">
      <c r="A223" s="154"/>
      <c r="B223" s="154"/>
      <c r="C223" s="154"/>
      <c r="D223" s="154"/>
      <c r="E223" s="154"/>
      <c r="F223" s="154"/>
      <c r="G223" s="154"/>
      <c r="H223" s="154"/>
      <c r="I223" s="154"/>
      <c r="J223" s="154"/>
      <c r="K223" s="154"/>
      <c r="L223" s="44"/>
      <c r="U223" s="44"/>
      <c r="V223" s="44"/>
      <c r="W223" s="44"/>
      <c r="X223" s="44"/>
      <c r="Y223" s="44"/>
      <c r="Z223" s="44"/>
      <c r="AA223" s="44"/>
      <c r="AB223" s="89"/>
      <c r="AC223" s="89"/>
      <c r="AD223" s="58">
        <v>100</v>
      </c>
      <c r="AE223" s="58">
        <v>0</v>
      </c>
      <c r="AF223" s="57"/>
      <c r="AG223" s="57"/>
      <c r="CR223" s="44"/>
      <c r="CS223" s="44"/>
      <c r="CT223" s="44"/>
      <c r="CU223" s="48"/>
      <c r="CV223" s="142"/>
      <c r="CW223" s="44"/>
      <c r="CX223" s="83"/>
      <c r="CY223" s="83"/>
      <c r="CZ223" s="83"/>
      <c r="DA223" s="44"/>
      <c r="DB223" s="143"/>
      <c r="DC223" s="44"/>
      <c r="DD223" s="44"/>
      <c r="DE223" s="44"/>
      <c r="DF223" s="44"/>
      <c r="DG223" s="44"/>
      <c r="DH223" s="44"/>
      <c r="DI223" s="75"/>
      <c r="DJ223" s="57"/>
      <c r="DK223" s="57"/>
      <c r="DL223" s="57"/>
      <c r="DM223" s="87"/>
      <c r="DN223" s="99"/>
      <c r="DO223" s="57"/>
      <c r="DP223" s="57"/>
      <c r="DQ223" s="87"/>
      <c r="DR223" s="99"/>
      <c r="DS223" s="44"/>
      <c r="DT223" s="83"/>
      <c r="DU223" s="83"/>
      <c r="DV223" s="83"/>
      <c r="DW223" s="44"/>
      <c r="DX223" s="144"/>
      <c r="DY223" s="144"/>
      <c r="DZ223" s="144"/>
    </row>
    <row r="224" spans="1:130" x14ac:dyDescent="0.3">
      <c r="A224" s="154"/>
      <c r="B224" s="154"/>
      <c r="C224" s="154"/>
      <c r="D224" s="154"/>
      <c r="E224" s="154"/>
      <c r="F224" s="154"/>
      <c r="G224" s="154"/>
      <c r="H224" s="154"/>
      <c r="I224" s="154"/>
      <c r="J224" s="154"/>
      <c r="K224" s="154"/>
      <c r="L224" s="44"/>
      <c r="U224" s="44"/>
      <c r="V224" s="44"/>
      <c r="W224" s="44"/>
      <c r="X224" s="44"/>
      <c r="Y224" s="44"/>
      <c r="Z224" s="44"/>
      <c r="AA224" s="44"/>
      <c r="AB224" s="89"/>
      <c r="AC224" s="89"/>
      <c r="AD224" s="58"/>
      <c r="AE224" s="58"/>
      <c r="AF224" s="57"/>
      <c r="AG224" s="57"/>
      <c r="CR224" s="44"/>
      <c r="CS224" s="44"/>
      <c r="CT224" s="44"/>
      <c r="CU224" s="48"/>
      <c r="CV224" s="142"/>
      <c r="CW224" s="44"/>
      <c r="CX224" s="83"/>
      <c r="CY224" s="83"/>
      <c r="CZ224" s="83"/>
      <c r="DA224" s="44"/>
      <c r="DB224" s="143"/>
      <c r="DC224" s="44"/>
      <c r="DD224" s="44"/>
      <c r="DE224" s="44"/>
      <c r="DF224" s="44"/>
      <c r="DG224" s="44"/>
      <c r="DH224" s="44"/>
      <c r="DI224" s="75"/>
      <c r="DJ224" s="57"/>
      <c r="DK224" s="57"/>
      <c r="DL224" s="57"/>
      <c r="DM224" s="87"/>
      <c r="DN224" s="99"/>
      <c r="DO224" s="57"/>
      <c r="DP224" s="57"/>
      <c r="DQ224" s="87"/>
      <c r="DR224" s="99"/>
      <c r="DS224" s="44"/>
      <c r="DT224" s="83"/>
      <c r="DU224" s="83"/>
      <c r="DV224" s="83"/>
      <c r="DW224" s="44"/>
      <c r="DX224" s="144"/>
      <c r="DY224" s="144"/>
      <c r="DZ224" s="144"/>
    </row>
    <row r="225" spans="1:130" x14ac:dyDescent="0.3">
      <c r="A225" s="154"/>
      <c r="B225" s="163"/>
      <c r="C225" s="163"/>
      <c r="D225" s="154"/>
      <c r="E225" s="154"/>
      <c r="F225" s="163"/>
      <c r="G225" s="163"/>
      <c r="H225" s="163"/>
      <c r="I225" s="163"/>
      <c r="J225" s="163"/>
      <c r="K225" s="154"/>
      <c r="L225" s="44"/>
      <c r="U225" s="44"/>
      <c r="V225" s="44"/>
      <c r="W225" s="44"/>
      <c r="X225" s="44"/>
      <c r="Y225" s="44"/>
      <c r="Z225" s="44"/>
      <c r="AA225" s="44"/>
      <c r="AB225" s="89"/>
      <c r="AC225" s="89"/>
      <c r="AD225" s="58">
        <v>0</v>
      </c>
      <c r="AE225" s="58">
        <v>90</v>
      </c>
      <c r="AF225" s="57"/>
      <c r="AG225" s="57"/>
      <c r="AH225" s="36"/>
      <c r="AI225" s="36"/>
      <c r="CR225" s="44"/>
      <c r="CS225" s="44"/>
      <c r="CT225" s="44"/>
      <c r="CU225" s="48"/>
      <c r="CV225" s="142"/>
      <c r="CW225" s="44"/>
      <c r="CX225" s="83"/>
      <c r="CY225" s="83"/>
      <c r="CZ225" s="83"/>
      <c r="DA225" s="44"/>
      <c r="DB225" s="143"/>
      <c r="DC225" s="44"/>
      <c r="DD225" s="44"/>
      <c r="DE225" s="44"/>
      <c r="DF225" s="44"/>
      <c r="DG225" s="44"/>
      <c r="DH225" s="44"/>
      <c r="DI225" s="75"/>
      <c r="DJ225" s="57"/>
      <c r="DK225" s="57"/>
      <c r="DL225" s="57"/>
      <c r="DM225" s="87"/>
      <c r="DN225" s="99"/>
      <c r="DO225" s="57"/>
      <c r="DP225" s="57"/>
      <c r="DQ225" s="87"/>
      <c r="DR225" s="99"/>
      <c r="DS225" s="44"/>
      <c r="DT225" s="83"/>
      <c r="DU225" s="83"/>
      <c r="DV225" s="83"/>
      <c r="DW225" s="44"/>
      <c r="DX225" s="144"/>
      <c r="DY225" s="144"/>
      <c r="DZ225" s="144"/>
    </row>
    <row r="226" spans="1:130" x14ac:dyDescent="0.3">
      <c r="A226" s="154"/>
      <c r="B226" s="154"/>
      <c r="C226" s="154"/>
      <c r="D226" s="154"/>
      <c r="E226" s="154"/>
      <c r="F226" s="154"/>
      <c r="G226" s="154"/>
      <c r="H226" s="154"/>
      <c r="I226" s="154"/>
      <c r="J226" s="154"/>
      <c r="K226" s="154"/>
      <c r="L226" s="44"/>
      <c r="U226" s="44"/>
      <c r="V226" s="44"/>
      <c r="W226" s="44"/>
      <c r="X226" s="44"/>
      <c r="Y226" s="44"/>
      <c r="Z226" s="44"/>
      <c r="AA226" s="44"/>
      <c r="AB226" s="89"/>
      <c r="AC226" s="89"/>
      <c r="AD226" s="58">
        <v>90</v>
      </c>
      <c r="AE226" s="58">
        <v>0</v>
      </c>
      <c r="AF226" s="57"/>
      <c r="AG226" s="57"/>
      <c r="AH226" s="36"/>
      <c r="AI226" s="36"/>
      <c r="CR226" s="44"/>
      <c r="CS226" s="44"/>
      <c r="CT226" s="44"/>
      <c r="CU226" s="48"/>
      <c r="CV226" s="142"/>
      <c r="CW226" s="44"/>
      <c r="CX226" s="83"/>
      <c r="CY226" s="83"/>
      <c r="CZ226" s="83"/>
      <c r="DA226" s="44"/>
      <c r="DB226" s="143"/>
      <c r="DC226" s="44"/>
      <c r="DD226" s="44"/>
      <c r="DE226" s="44"/>
      <c r="DF226" s="44"/>
      <c r="DG226" s="44"/>
      <c r="DH226" s="44"/>
      <c r="DI226" s="75"/>
      <c r="DJ226" s="57"/>
      <c r="DK226" s="57"/>
      <c r="DL226" s="57"/>
      <c r="DM226" s="87"/>
      <c r="DN226" s="99"/>
      <c r="DO226" s="57"/>
      <c r="DP226" s="57"/>
      <c r="DQ226" s="87"/>
      <c r="DR226" s="99"/>
      <c r="DS226" s="44"/>
      <c r="DT226" s="83"/>
      <c r="DU226" s="83"/>
      <c r="DV226" s="83"/>
      <c r="DW226" s="44"/>
      <c r="DX226" s="144"/>
      <c r="DY226" s="144"/>
      <c r="DZ226" s="144"/>
    </row>
    <row r="227" spans="1:130" x14ac:dyDescent="0.3">
      <c r="A227" s="154"/>
      <c r="B227" s="154"/>
      <c r="C227" s="154"/>
      <c r="D227" s="154"/>
      <c r="E227" s="154"/>
      <c r="F227" s="154"/>
      <c r="G227" s="154"/>
      <c r="H227" s="154"/>
      <c r="I227" s="154"/>
      <c r="J227" s="154"/>
      <c r="K227" s="154"/>
      <c r="L227" s="44"/>
      <c r="U227" s="44"/>
      <c r="V227" s="44"/>
      <c r="W227" s="44"/>
      <c r="X227" s="44"/>
      <c r="Y227" s="44"/>
      <c r="Z227" s="44"/>
      <c r="AA227" s="44"/>
      <c r="AB227" s="89"/>
      <c r="AC227" s="89"/>
      <c r="AD227" s="58"/>
      <c r="AE227" s="58"/>
      <c r="AF227" s="57"/>
      <c r="AG227" s="57"/>
      <c r="AH227" s="36"/>
      <c r="AI227" s="36"/>
      <c r="CR227" s="44"/>
      <c r="CS227" s="44"/>
      <c r="CT227" s="44"/>
      <c r="CU227" s="48"/>
      <c r="CV227" s="142"/>
      <c r="CW227" s="44"/>
      <c r="CX227" s="83"/>
      <c r="CY227" s="83"/>
      <c r="CZ227" s="83"/>
      <c r="DA227" s="44"/>
      <c r="DB227" s="143"/>
      <c r="DC227" s="44"/>
      <c r="DD227" s="44"/>
      <c r="DE227" s="44"/>
      <c r="DF227" s="44"/>
      <c r="DG227" s="44"/>
      <c r="DH227" s="44"/>
      <c r="DI227" s="75"/>
      <c r="DJ227" s="57"/>
      <c r="DK227" s="57"/>
      <c r="DL227" s="57"/>
      <c r="DM227" s="87"/>
      <c r="DN227" s="99"/>
      <c r="DO227" s="57"/>
      <c r="DP227" s="57"/>
      <c r="DQ227" s="87"/>
      <c r="DR227" s="99"/>
      <c r="DS227" s="44"/>
      <c r="DT227" s="83"/>
      <c r="DU227" s="83"/>
      <c r="DV227" s="83"/>
      <c r="DW227" s="44"/>
      <c r="DX227" s="144"/>
      <c r="DY227" s="144"/>
      <c r="DZ227" s="144"/>
    </row>
    <row r="228" spans="1:130" x14ac:dyDescent="0.3">
      <c r="A228" s="139"/>
      <c r="B228" s="139"/>
      <c r="C228" s="139"/>
      <c r="D228" s="139"/>
      <c r="E228" s="139"/>
      <c r="F228" s="139"/>
      <c r="G228" s="139"/>
      <c r="H228" s="139"/>
      <c r="I228" s="139"/>
      <c r="J228" s="139"/>
      <c r="K228" s="139"/>
      <c r="L228" s="44"/>
      <c r="U228" s="44"/>
      <c r="V228" s="44"/>
      <c r="W228" s="44"/>
      <c r="X228" s="44"/>
      <c r="Y228" s="44"/>
      <c r="Z228" s="44"/>
      <c r="AA228" s="44"/>
      <c r="AB228" s="89"/>
      <c r="AC228" s="89"/>
      <c r="AD228" s="58">
        <f>AD225</f>
        <v>0</v>
      </c>
      <c r="AE228" s="58">
        <f>AD229</f>
        <v>80</v>
      </c>
      <c r="AF228" s="57"/>
      <c r="AG228" s="57"/>
      <c r="AH228" s="122"/>
      <c r="AI228" s="36"/>
      <c r="CR228" s="44"/>
      <c r="CS228" s="44"/>
      <c r="CT228" s="44"/>
      <c r="CU228" s="48"/>
      <c r="CV228" s="142"/>
      <c r="CW228" s="44"/>
      <c r="CX228" s="83"/>
      <c r="CY228" s="83"/>
      <c r="CZ228" s="83"/>
      <c r="DA228" s="44"/>
      <c r="DB228" s="143"/>
      <c r="DC228" s="44"/>
      <c r="DD228" s="44"/>
      <c r="DE228" s="44"/>
      <c r="DF228" s="44"/>
      <c r="DG228" s="44"/>
      <c r="DH228" s="44"/>
      <c r="DI228" s="75"/>
      <c r="DJ228" s="57"/>
      <c r="DK228" s="57"/>
      <c r="DL228" s="57"/>
      <c r="DM228" s="87"/>
      <c r="DN228" s="99"/>
      <c r="DO228" s="57"/>
      <c r="DP228" s="57"/>
      <c r="DQ228" s="87"/>
      <c r="DR228" s="99"/>
      <c r="DS228" s="44"/>
      <c r="DT228" s="83"/>
      <c r="DU228" s="83"/>
      <c r="DV228" s="83"/>
      <c r="DW228" s="44"/>
      <c r="DX228" s="144"/>
      <c r="DY228" s="144"/>
      <c r="DZ228" s="144"/>
    </row>
    <row r="229" spans="1:130" x14ac:dyDescent="0.3">
      <c r="A229" s="139"/>
      <c r="B229" s="139"/>
      <c r="C229" s="139"/>
      <c r="D229" s="139"/>
      <c r="E229" s="139"/>
      <c r="F229" s="139"/>
      <c r="G229" s="139"/>
      <c r="H229" s="139"/>
      <c r="I229" s="139"/>
      <c r="J229" s="139"/>
      <c r="K229" s="139"/>
      <c r="L229" s="44"/>
      <c r="U229" s="44"/>
      <c r="V229" s="44"/>
      <c r="W229" s="44"/>
      <c r="X229" s="44"/>
      <c r="Y229" s="44"/>
      <c r="Z229" s="44"/>
      <c r="AA229" s="44"/>
      <c r="AB229" s="89"/>
      <c r="AC229" s="89"/>
      <c r="AD229" s="58">
        <f>AD226-10</f>
        <v>80</v>
      </c>
      <c r="AE229" s="58">
        <f>AD228</f>
        <v>0</v>
      </c>
      <c r="AF229" s="57"/>
      <c r="AG229" s="57"/>
      <c r="AH229" s="122"/>
      <c r="AI229" s="36"/>
      <c r="CR229" s="44"/>
      <c r="CS229" s="44"/>
      <c r="CT229" s="44"/>
      <c r="CU229" s="48"/>
      <c r="CV229" s="142"/>
      <c r="CW229" s="44"/>
      <c r="CX229" s="83"/>
      <c r="CY229" s="83"/>
      <c r="CZ229" s="83"/>
      <c r="DA229" s="44"/>
      <c r="DB229" s="143"/>
      <c r="DC229" s="44"/>
      <c r="DD229" s="44"/>
      <c r="DE229" s="44"/>
      <c r="DF229" s="44"/>
      <c r="DG229" s="44"/>
      <c r="DH229" s="44"/>
      <c r="DI229" s="75"/>
      <c r="DJ229" s="57"/>
      <c r="DK229" s="57"/>
      <c r="DL229" s="57"/>
      <c r="DM229" s="87"/>
      <c r="DN229" s="99"/>
      <c r="DO229" s="57"/>
      <c r="DP229" s="57"/>
      <c r="DQ229" s="87"/>
      <c r="DR229" s="99"/>
      <c r="DS229" s="44"/>
      <c r="DT229" s="83"/>
      <c r="DU229" s="83"/>
      <c r="DV229" s="83"/>
      <c r="DW229" s="44"/>
      <c r="DX229" s="144"/>
      <c r="DY229" s="144"/>
      <c r="DZ229" s="144"/>
    </row>
    <row r="230" spans="1:130" x14ac:dyDescent="0.3">
      <c r="A230" s="139"/>
      <c r="B230" s="139"/>
      <c r="C230" s="139"/>
      <c r="D230" s="139"/>
      <c r="E230" s="139"/>
      <c r="F230" s="139"/>
      <c r="G230" s="139"/>
      <c r="H230" s="139"/>
      <c r="I230" s="139"/>
      <c r="J230" s="139"/>
      <c r="K230" s="139"/>
      <c r="L230" s="44"/>
      <c r="U230" s="44"/>
      <c r="V230" s="44"/>
      <c r="W230" s="44"/>
      <c r="X230" s="44"/>
      <c r="Y230" s="44"/>
      <c r="Z230" s="44"/>
      <c r="AA230" s="44"/>
      <c r="AB230" s="89" t="s">
        <v>7</v>
      </c>
      <c r="AC230" s="89" t="s">
        <v>8</v>
      </c>
      <c r="AD230" s="58"/>
      <c r="AE230" s="58"/>
      <c r="AF230" s="57"/>
      <c r="AG230" s="57"/>
      <c r="AH230" s="122"/>
      <c r="AI230" s="36"/>
      <c r="CR230" s="44"/>
      <c r="CS230" s="44"/>
      <c r="CT230" s="44"/>
      <c r="CU230" s="48"/>
      <c r="CV230" s="142"/>
      <c r="CW230" s="44"/>
      <c r="CX230" s="83"/>
      <c r="CY230" s="83"/>
      <c r="CZ230" s="83"/>
      <c r="DA230" s="44"/>
      <c r="DB230" s="143"/>
      <c r="DC230" s="44"/>
      <c r="DD230" s="44"/>
      <c r="DE230" s="44"/>
      <c r="DF230" s="44"/>
      <c r="DG230" s="44"/>
      <c r="DH230" s="44"/>
      <c r="DI230" s="75"/>
      <c r="DJ230" s="57"/>
      <c r="DK230" s="57"/>
      <c r="DL230" s="57"/>
      <c r="DM230" s="87"/>
      <c r="DN230" s="99"/>
      <c r="DO230" s="57"/>
      <c r="DP230" s="57"/>
      <c r="DQ230" s="87"/>
      <c r="DR230" s="99"/>
      <c r="DS230" s="44"/>
      <c r="DT230" s="83"/>
      <c r="DU230" s="83"/>
      <c r="DV230" s="83"/>
      <c r="DW230" s="44"/>
      <c r="DX230" s="144"/>
      <c r="DY230" s="144"/>
      <c r="DZ230" s="144"/>
    </row>
    <row r="231" spans="1:130" x14ac:dyDescent="0.3">
      <c r="A231" s="139"/>
      <c r="B231" s="139"/>
      <c r="C231" s="139"/>
      <c r="D231" s="139"/>
      <c r="E231" s="139"/>
      <c r="F231" s="139"/>
      <c r="G231" s="139"/>
      <c r="H231" s="139"/>
      <c r="I231" s="139"/>
      <c r="J231" s="139"/>
      <c r="K231" s="139"/>
      <c r="L231" s="44"/>
      <c r="U231" s="44"/>
      <c r="V231" s="44"/>
      <c r="W231" s="44"/>
      <c r="X231" s="44"/>
      <c r="Y231" s="44"/>
      <c r="Z231" s="44"/>
      <c r="AA231" s="44"/>
      <c r="AB231" s="111">
        <v>0</v>
      </c>
      <c r="AC231" s="111">
        <f>D213*100</f>
        <v>50.000000000000014</v>
      </c>
      <c r="AD231" s="58">
        <f>AD228</f>
        <v>0</v>
      </c>
      <c r="AE231" s="58">
        <f>AD232</f>
        <v>70</v>
      </c>
      <c r="AF231" s="57"/>
      <c r="AG231" s="57"/>
      <c r="AH231" s="122"/>
      <c r="AI231" s="36"/>
      <c r="CR231" s="44"/>
      <c r="CS231" s="44"/>
      <c r="CT231" s="44"/>
      <c r="CU231" s="48"/>
      <c r="CV231" s="142"/>
      <c r="CW231" s="44"/>
      <c r="CX231" s="83"/>
      <c r="CY231" s="83"/>
      <c r="CZ231" s="83"/>
      <c r="DA231" s="44"/>
      <c r="DB231" s="143"/>
      <c r="DC231" s="44"/>
      <c r="DD231" s="44"/>
      <c r="DE231" s="44"/>
      <c r="DF231" s="44"/>
      <c r="DG231" s="44"/>
      <c r="DH231" s="44"/>
      <c r="DI231" s="75"/>
      <c r="DJ231" s="57"/>
      <c r="DK231" s="57"/>
      <c r="DL231" s="57"/>
      <c r="DM231" s="87"/>
      <c r="DN231" s="99"/>
      <c r="DO231" s="57"/>
      <c r="DP231" s="57"/>
      <c r="DQ231" s="87"/>
      <c r="DR231" s="99"/>
      <c r="DS231" s="44"/>
      <c r="DT231" s="83"/>
      <c r="DU231" s="83"/>
      <c r="DV231" s="83"/>
      <c r="DW231" s="44"/>
      <c r="DX231" s="144"/>
      <c r="DY231" s="144"/>
      <c r="DZ231" s="144"/>
    </row>
    <row r="232" spans="1:130" x14ac:dyDescent="0.3">
      <c r="A232" s="139"/>
      <c r="B232" s="139"/>
      <c r="C232" s="139"/>
      <c r="D232" s="139"/>
      <c r="E232" s="139"/>
      <c r="F232" s="139"/>
      <c r="G232" s="139"/>
      <c r="H232" s="139"/>
      <c r="I232" s="139"/>
      <c r="J232" s="139"/>
      <c r="K232" s="139"/>
      <c r="L232" s="44"/>
      <c r="U232" s="44"/>
      <c r="V232" s="44"/>
      <c r="W232" s="44"/>
      <c r="X232" s="44"/>
      <c r="Y232" s="44"/>
      <c r="Z232" s="44"/>
      <c r="AA232" s="44"/>
      <c r="AB232" s="111">
        <f>D212*100</f>
        <v>50.000000000000014</v>
      </c>
      <c r="AC232" s="111">
        <f>D213*100</f>
        <v>50.000000000000014</v>
      </c>
      <c r="AD232" s="58">
        <f>AD229-10</f>
        <v>70</v>
      </c>
      <c r="AE232" s="58">
        <f>AD231</f>
        <v>0</v>
      </c>
      <c r="AF232" s="57"/>
      <c r="AG232" s="57"/>
      <c r="AH232" s="122"/>
      <c r="AI232" s="36"/>
      <c r="CR232" s="44"/>
      <c r="CS232" s="44"/>
      <c r="CT232" s="44"/>
      <c r="CU232" s="48"/>
      <c r="CV232" s="142"/>
      <c r="CW232" s="44"/>
      <c r="CX232" s="83"/>
      <c r="CY232" s="83"/>
      <c r="CZ232" s="83"/>
      <c r="DA232" s="44"/>
      <c r="DB232" s="143"/>
      <c r="DC232" s="44"/>
      <c r="DD232" s="44"/>
      <c r="DE232" s="44"/>
      <c r="DF232" s="44"/>
      <c r="DG232" s="44"/>
      <c r="DH232" s="44"/>
      <c r="DI232" s="75"/>
      <c r="DJ232" s="57"/>
      <c r="DK232" s="57"/>
      <c r="DL232" s="57"/>
      <c r="DM232" s="87"/>
      <c r="DN232" s="99"/>
      <c r="DO232" s="57"/>
      <c r="DP232" s="57"/>
      <c r="DQ232" s="87"/>
      <c r="DR232" s="99"/>
      <c r="DS232" s="44"/>
      <c r="DT232" s="83"/>
      <c r="DU232" s="83"/>
      <c r="DV232" s="83"/>
      <c r="DW232" s="44"/>
      <c r="DX232" s="144"/>
      <c r="DY232" s="144"/>
      <c r="DZ232" s="144"/>
    </row>
    <row r="233" spans="1:130" x14ac:dyDescent="0.3">
      <c r="A233" s="139"/>
      <c r="B233" s="139"/>
      <c r="C233" s="139"/>
      <c r="D233" s="139"/>
      <c r="E233" s="139"/>
      <c r="F233" s="139"/>
      <c r="G233" s="139"/>
      <c r="H233" s="139"/>
      <c r="I233" s="139"/>
      <c r="J233" s="139"/>
      <c r="K233" s="139"/>
      <c r="L233" s="44"/>
      <c r="U233" s="44"/>
      <c r="V233" s="44"/>
      <c r="W233" s="44"/>
      <c r="X233" s="44"/>
      <c r="Y233" s="44"/>
      <c r="Z233" s="44"/>
      <c r="AA233" s="44"/>
      <c r="AB233" s="111">
        <f>D212*100</f>
        <v>50.000000000000014</v>
      </c>
      <c r="AC233" s="111">
        <f>0</f>
        <v>0</v>
      </c>
      <c r="AD233" s="58"/>
      <c r="AE233" s="58"/>
      <c r="AF233" s="57"/>
      <c r="AG233" s="57"/>
      <c r="AH233" s="122"/>
      <c r="AI233" s="36"/>
      <c r="CR233" s="44"/>
      <c r="CS233" s="44"/>
      <c r="CT233" s="44"/>
      <c r="CU233" s="48"/>
      <c r="CV233" s="142"/>
      <c r="CW233" s="44"/>
      <c r="CX233" s="83"/>
      <c r="CY233" s="83"/>
      <c r="CZ233" s="83"/>
      <c r="DA233" s="44"/>
      <c r="DB233" s="143"/>
      <c r="DC233" s="44"/>
      <c r="DD233" s="44"/>
      <c r="DE233" s="44"/>
      <c r="DF233" s="44"/>
      <c r="DG233" s="44"/>
      <c r="DH233" s="44"/>
      <c r="DI233" s="75"/>
      <c r="DJ233" s="57"/>
      <c r="DK233" s="57"/>
      <c r="DL233" s="57"/>
      <c r="DM233" s="87"/>
      <c r="DN233" s="99"/>
      <c r="DO233" s="57"/>
      <c r="DP233" s="57"/>
      <c r="DQ233" s="87"/>
      <c r="DR233" s="99"/>
      <c r="DS233" s="44"/>
      <c r="DT233" s="83"/>
      <c r="DU233" s="83"/>
      <c r="DV233" s="83"/>
      <c r="DW233" s="44"/>
      <c r="DX233" s="144"/>
      <c r="DY233" s="144"/>
      <c r="DZ233" s="144"/>
    </row>
    <row r="234" spans="1:130" x14ac:dyDescent="0.3">
      <c r="A234" s="139"/>
      <c r="B234" s="139"/>
      <c r="C234" s="139"/>
      <c r="D234" s="139"/>
      <c r="E234" s="139"/>
      <c r="F234" s="139"/>
      <c r="G234" s="139"/>
      <c r="H234" s="139"/>
      <c r="I234" s="139"/>
      <c r="J234" s="139"/>
      <c r="K234" s="139"/>
      <c r="L234" s="44"/>
      <c r="U234" s="44"/>
      <c r="V234" s="44"/>
      <c r="W234" s="44"/>
      <c r="X234" s="44"/>
      <c r="Y234" s="44"/>
      <c r="Z234" s="44"/>
      <c r="AA234" s="44"/>
      <c r="AB234" s="111">
        <f>D212*100</f>
        <v>50.000000000000014</v>
      </c>
      <c r="AC234" s="111">
        <f>D213*100</f>
        <v>50.000000000000014</v>
      </c>
      <c r="AD234" s="58">
        <f>AD231</f>
        <v>0</v>
      </c>
      <c r="AE234" s="58">
        <f>AD235</f>
        <v>60</v>
      </c>
      <c r="AF234" s="57"/>
      <c r="AG234" s="57"/>
      <c r="AH234" s="122"/>
      <c r="AI234" s="36"/>
      <c r="CR234" s="44"/>
      <c r="CS234" s="44"/>
      <c r="CT234" s="44"/>
      <c r="CU234" s="48"/>
      <c r="CV234" s="142"/>
      <c r="CW234" s="44"/>
      <c r="CX234" s="83"/>
      <c r="CY234" s="83"/>
      <c r="CZ234" s="83"/>
      <c r="DA234" s="44"/>
      <c r="DB234" s="143"/>
      <c r="DC234" s="44"/>
      <c r="DD234" s="44"/>
      <c r="DE234" s="44"/>
      <c r="DF234" s="44"/>
      <c r="DG234" s="44"/>
      <c r="DH234" s="44"/>
      <c r="DI234" s="75"/>
      <c r="DJ234" s="57"/>
      <c r="DK234" s="57"/>
      <c r="DL234" s="57"/>
      <c r="DM234" s="87"/>
      <c r="DN234" s="99"/>
      <c r="DO234" s="57"/>
      <c r="DP234" s="57"/>
      <c r="DQ234" s="87"/>
      <c r="DR234" s="99"/>
      <c r="DS234" s="44"/>
      <c r="DT234" s="83"/>
      <c r="DU234" s="83"/>
      <c r="DV234" s="83"/>
      <c r="DW234" s="44"/>
      <c r="DX234" s="144"/>
      <c r="DY234" s="144"/>
      <c r="DZ234" s="144"/>
    </row>
    <row r="235" spans="1:130" x14ac:dyDescent="0.3">
      <c r="A235" s="139"/>
      <c r="B235" s="139"/>
      <c r="C235" s="139"/>
      <c r="D235" s="139"/>
      <c r="E235" s="139"/>
      <c r="F235" s="139"/>
      <c r="G235" s="139"/>
      <c r="H235" s="139"/>
      <c r="I235" s="139"/>
      <c r="J235" s="139"/>
      <c r="K235" s="139"/>
      <c r="L235" s="44"/>
      <c r="U235" s="44"/>
      <c r="V235" s="44"/>
      <c r="W235" s="44"/>
      <c r="X235" s="44"/>
      <c r="Y235" s="44"/>
      <c r="Z235" s="44"/>
      <c r="AA235" s="44"/>
      <c r="AB235" s="89"/>
      <c r="AC235" s="89"/>
      <c r="AD235" s="58">
        <f>AD232-10</f>
        <v>60</v>
      </c>
      <c r="AE235" s="58">
        <f>AD234</f>
        <v>0</v>
      </c>
      <c r="AF235" s="57"/>
      <c r="AG235" s="57"/>
      <c r="AH235" s="122"/>
      <c r="AI235" s="36"/>
      <c r="CR235" s="44"/>
      <c r="CS235" s="44"/>
      <c r="CT235" s="44"/>
      <c r="CU235" s="48"/>
      <c r="CV235" s="142"/>
      <c r="CW235" s="44"/>
      <c r="CX235" s="83"/>
      <c r="CY235" s="83"/>
      <c r="CZ235" s="83"/>
      <c r="DA235" s="44"/>
      <c r="DB235" s="143"/>
      <c r="DC235" s="44"/>
      <c r="DD235" s="44"/>
      <c r="DE235" s="44"/>
      <c r="DF235" s="44"/>
      <c r="DG235" s="44"/>
      <c r="DH235" s="44"/>
      <c r="DI235" s="75"/>
      <c r="DJ235" s="57"/>
      <c r="DK235" s="57"/>
      <c r="DL235" s="57"/>
      <c r="DM235" s="87"/>
      <c r="DN235" s="99"/>
      <c r="DO235" s="57"/>
      <c r="DP235" s="57"/>
      <c r="DQ235" s="87"/>
      <c r="DR235" s="99"/>
      <c r="DS235" s="44"/>
      <c r="DT235" s="83"/>
      <c r="DU235" s="83"/>
      <c r="DV235" s="83"/>
      <c r="DW235" s="44"/>
      <c r="DX235" s="144"/>
      <c r="DY235" s="144"/>
      <c r="DZ235" s="144"/>
    </row>
    <row r="236" spans="1:130" x14ac:dyDescent="0.3">
      <c r="A236" s="139"/>
      <c r="B236" s="139"/>
      <c r="C236" s="139"/>
      <c r="D236" s="139"/>
      <c r="E236" s="139"/>
      <c r="F236" s="139"/>
      <c r="G236" s="139"/>
      <c r="H236" s="139"/>
      <c r="I236" s="139"/>
      <c r="J236" s="139"/>
      <c r="K236" s="139"/>
      <c r="L236" s="44"/>
      <c r="U236" s="44"/>
      <c r="V236" s="44"/>
      <c r="W236" s="44"/>
      <c r="X236" s="44"/>
      <c r="Y236" s="44"/>
      <c r="Z236" s="44"/>
      <c r="AA236" s="44"/>
      <c r="AB236" s="89"/>
      <c r="AC236" s="89"/>
      <c r="AD236" s="58"/>
      <c r="AE236" s="58"/>
      <c r="AF236" s="57"/>
      <c r="AG236" s="57"/>
      <c r="AH236" s="122"/>
      <c r="AI236" s="36"/>
      <c r="CR236" s="44"/>
      <c r="CS236" s="44"/>
      <c r="CT236" s="44"/>
      <c r="CU236" s="48"/>
      <c r="CV236" s="142"/>
      <c r="CW236" s="44"/>
      <c r="CX236" s="83"/>
      <c r="CY236" s="83"/>
      <c r="CZ236" s="83"/>
      <c r="DA236" s="44"/>
      <c r="DB236" s="143"/>
      <c r="DC236" s="44"/>
      <c r="DD236" s="44"/>
      <c r="DE236" s="44"/>
      <c r="DF236" s="44"/>
      <c r="DG236" s="44"/>
      <c r="DH236" s="44"/>
      <c r="DI236" s="75"/>
      <c r="DJ236" s="57"/>
      <c r="DK236" s="57"/>
      <c r="DL236" s="57"/>
      <c r="DM236" s="87"/>
      <c r="DN236" s="99"/>
      <c r="DO236" s="57"/>
      <c r="DP236" s="57"/>
      <c r="DQ236" s="87"/>
      <c r="DR236" s="99"/>
      <c r="DS236" s="44"/>
      <c r="DT236" s="83"/>
      <c r="DU236" s="83"/>
      <c r="DV236" s="83"/>
      <c r="DW236" s="44"/>
      <c r="DX236" s="144"/>
      <c r="DY236" s="144"/>
      <c r="DZ236" s="144"/>
    </row>
    <row r="237" spans="1:130" x14ac:dyDescent="0.3">
      <c r="A237" s="139"/>
      <c r="B237" s="139"/>
      <c r="C237" s="139"/>
      <c r="D237" s="139"/>
      <c r="E237" s="139"/>
      <c r="F237" s="139"/>
      <c r="G237" s="139"/>
      <c r="H237" s="139"/>
      <c r="I237" s="139"/>
      <c r="J237" s="139"/>
      <c r="K237" s="139"/>
      <c r="L237" s="44"/>
      <c r="U237" s="44"/>
      <c r="V237" s="44"/>
      <c r="W237" s="44"/>
      <c r="X237" s="44"/>
      <c r="Y237" s="44"/>
      <c r="Z237" s="44"/>
      <c r="AA237" s="44"/>
      <c r="AB237" s="89"/>
      <c r="AC237" s="89"/>
      <c r="AD237" s="58">
        <f>AD234</f>
        <v>0</v>
      </c>
      <c r="AE237" s="58">
        <f>AD238</f>
        <v>50</v>
      </c>
      <c r="AF237" s="57"/>
      <c r="AG237" s="57"/>
      <c r="AH237" s="122"/>
      <c r="AI237" s="36"/>
      <c r="CR237" s="44"/>
      <c r="CS237" s="44"/>
      <c r="CT237" s="44"/>
      <c r="CU237" s="48"/>
      <c r="CV237" s="142"/>
      <c r="CW237" s="44"/>
      <c r="CX237" s="83"/>
      <c r="CY237" s="83"/>
      <c r="CZ237" s="83"/>
      <c r="DA237" s="44"/>
      <c r="DB237" s="143"/>
      <c r="DC237" s="44"/>
      <c r="DD237" s="44"/>
      <c r="DE237" s="44"/>
      <c r="DF237" s="44"/>
      <c r="DG237" s="44"/>
      <c r="DH237" s="44"/>
      <c r="DI237" s="75"/>
      <c r="DJ237" s="57"/>
      <c r="DK237" s="57"/>
      <c r="DL237" s="57"/>
      <c r="DM237" s="87"/>
      <c r="DN237" s="99"/>
      <c r="DO237" s="57"/>
      <c r="DP237" s="57"/>
      <c r="DQ237" s="87"/>
      <c r="DR237" s="99"/>
      <c r="DS237" s="44"/>
      <c r="DT237" s="83"/>
      <c r="DU237" s="83"/>
      <c r="DV237" s="83"/>
      <c r="DW237" s="44"/>
      <c r="DX237" s="144"/>
      <c r="DY237" s="144"/>
      <c r="DZ237" s="144"/>
    </row>
    <row r="238" spans="1:130" x14ac:dyDescent="0.3">
      <c r="A238" s="139"/>
      <c r="B238" s="139"/>
      <c r="C238" s="139"/>
      <c r="D238" s="139"/>
      <c r="E238" s="139"/>
      <c r="F238" s="139"/>
      <c r="G238" s="139"/>
      <c r="H238" s="139"/>
      <c r="I238" s="139"/>
      <c r="J238" s="139"/>
      <c r="K238" s="139"/>
      <c r="L238" s="44"/>
      <c r="U238" s="44"/>
      <c r="V238" s="44"/>
      <c r="W238" s="44"/>
      <c r="X238" s="44"/>
      <c r="Y238" s="44"/>
      <c r="Z238" s="44"/>
      <c r="AA238" s="44"/>
      <c r="AB238" s="89"/>
      <c r="AC238" s="89"/>
      <c r="AD238" s="58">
        <f>AD235-10</f>
        <v>50</v>
      </c>
      <c r="AE238" s="58">
        <f>AD237</f>
        <v>0</v>
      </c>
      <c r="AF238" s="57"/>
      <c r="AG238" s="57"/>
      <c r="AH238" s="122"/>
      <c r="AI238" s="36"/>
      <c r="CR238" s="44"/>
      <c r="CS238" s="44"/>
      <c r="CT238" s="44"/>
      <c r="CU238" s="48"/>
      <c r="CV238" s="142"/>
      <c r="CW238" s="44"/>
      <c r="CX238" s="83"/>
      <c r="CY238" s="83"/>
      <c r="CZ238" s="83"/>
      <c r="DA238" s="44"/>
      <c r="DB238" s="143"/>
      <c r="DC238" s="44"/>
      <c r="DD238" s="44"/>
      <c r="DE238" s="44"/>
      <c r="DF238" s="44"/>
      <c r="DG238" s="44"/>
      <c r="DH238" s="44"/>
      <c r="DI238" s="75"/>
      <c r="DJ238" s="57"/>
      <c r="DK238" s="57"/>
      <c r="DL238" s="57"/>
      <c r="DM238" s="87"/>
      <c r="DN238" s="99"/>
      <c r="DO238" s="57"/>
      <c r="DP238" s="57"/>
      <c r="DQ238" s="87"/>
      <c r="DR238" s="99"/>
      <c r="DS238" s="44"/>
      <c r="DT238" s="83"/>
      <c r="DU238" s="83"/>
      <c r="DV238" s="83"/>
      <c r="DW238" s="44"/>
      <c r="DX238" s="144"/>
      <c r="DY238" s="144"/>
      <c r="DZ238" s="144"/>
    </row>
    <row r="239" spans="1:130" x14ac:dyDescent="0.3">
      <c r="A239" s="139"/>
      <c r="B239" s="139"/>
      <c r="C239" s="139"/>
      <c r="D239" s="139"/>
      <c r="E239" s="139"/>
      <c r="F239" s="139"/>
      <c r="G239" s="139"/>
      <c r="H239" s="139"/>
      <c r="I239" s="139"/>
      <c r="J239" s="139"/>
      <c r="K239" s="139"/>
      <c r="L239" s="44"/>
      <c r="U239" s="44"/>
      <c r="V239" s="44"/>
      <c r="W239" s="44"/>
      <c r="X239" s="44"/>
      <c r="Y239" s="44"/>
      <c r="Z239" s="44"/>
      <c r="AA239" s="44"/>
      <c r="AB239" s="89"/>
      <c r="AC239" s="89"/>
      <c r="AD239" s="58"/>
      <c r="AE239" s="58"/>
      <c r="AF239" s="57"/>
      <c r="AG239" s="57"/>
      <c r="AH239" s="122"/>
      <c r="AI239" s="36"/>
      <c r="CR239" s="44"/>
      <c r="CS239" s="44"/>
      <c r="CT239" s="44"/>
      <c r="CU239" s="48"/>
      <c r="CV239" s="142"/>
      <c r="CW239" s="44"/>
      <c r="CX239" s="83"/>
      <c r="CY239" s="83"/>
      <c r="CZ239" s="83"/>
      <c r="DA239" s="44"/>
      <c r="DB239" s="143"/>
      <c r="DC239" s="44"/>
      <c r="DD239" s="44"/>
      <c r="DE239" s="44"/>
      <c r="DF239" s="44"/>
      <c r="DG239" s="44"/>
      <c r="DH239" s="44"/>
      <c r="DI239" s="75"/>
      <c r="DJ239" s="57"/>
      <c r="DK239" s="57"/>
      <c r="DL239" s="57"/>
      <c r="DM239" s="87"/>
      <c r="DN239" s="99"/>
      <c r="DO239" s="57"/>
      <c r="DP239" s="57"/>
      <c r="DQ239" s="87"/>
      <c r="DR239" s="99"/>
      <c r="DS239" s="44"/>
      <c r="DT239" s="83"/>
      <c r="DU239" s="83"/>
      <c r="DV239" s="83"/>
      <c r="DW239" s="44"/>
      <c r="DX239" s="144"/>
      <c r="DY239" s="144"/>
      <c r="DZ239" s="144"/>
    </row>
    <row r="240" spans="1:130" x14ac:dyDescent="0.3">
      <c r="A240" s="139"/>
      <c r="B240" s="139"/>
      <c r="C240" s="139"/>
      <c r="D240" s="139"/>
      <c r="E240" s="139"/>
      <c r="F240" s="139"/>
      <c r="G240" s="139"/>
      <c r="H240" s="139"/>
      <c r="I240" s="139"/>
      <c r="J240" s="139"/>
      <c r="K240" s="139"/>
      <c r="L240" s="44"/>
      <c r="U240" s="44"/>
      <c r="V240" s="44"/>
      <c r="W240" s="44"/>
      <c r="X240" s="44"/>
      <c r="Y240" s="44"/>
      <c r="Z240" s="44"/>
      <c r="AA240" s="44"/>
      <c r="AB240" s="89"/>
      <c r="AC240" s="89"/>
      <c r="AD240" s="58">
        <f>AD237</f>
        <v>0</v>
      </c>
      <c r="AE240" s="58">
        <f>AD241</f>
        <v>40</v>
      </c>
      <c r="AF240" s="57"/>
      <c r="AG240" s="57"/>
      <c r="AH240" s="36"/>
      <c r="AI240" s="36"/>
      <c r="CR240" s="44"/>
      <c r="CS240" s="44"/>
      <c r="CT240" s="44"/>
      <c r="CU240" s="48"/>
      <c r="CV240" s="142"/>
      <c r="CW240" s="44"/>
      <c r="CX240" s="83"/>
      <c r="CY240" s="83"/>
      <c r="CZ240" s="83"/>
      <c r="DA240" s="44"/>
      <c r="DB240" s="143"/>
      <c r="DC240" s="44"/>
      <c r="DD240" s="44"/>
      <c r="DE240" s="44"/>
      <c r="DF240" s="44"/>
      <c r="DG240" s="44"/>
      <c r="DH240" s="44"/>
      <c r="DI240" s="75"/>
      <c r="DJ240" s="57"/>
      <c r="DK240" s="57"/>
      <c r="DL240" s="57"/>
      <c r="DM240" s="87"/>
      <c r="DN240" s="99"/>
      <c r="DO240" s="57"/>
      <c r="DP240" s="57"/>
      <c r="DQ240" s="87"/>
      <c r="DR240" s="99"/>
      <c r="DS240" s="44"/>
      <c r="DT240" s="83"/>
      <c r="DU240" s="83"/>
      <c r="DV240" s="83"/>
      <c r="DW240" s="44"/>
      <c r="DX240" s="144"/>
      <c r="DY240" s="144"/>
      <c r="DZ240" s="144"/>
    </row>
    <row r="241" spans="1:255" x14ac:dyDescent="0.3">
      <c r="A241" s="139"/>
      <c r="B241" s="139"/>
      <c r="C241" s="139"/>
      <c r="D241" s="139"/>
      <c r="E241" s="139"/>
      <c r="F241" s="139"/>
      <c r="G241" s="139"/>
      <c r="H241" s="139"/>
      <c r="I241" s="139"/>
      <c r="J241" s="139"/>
      <c r="K241" s="139"/>
      <c r="L241" s="44"/>
      <c r="U241" s="44"/>
      <c r="V241" s="44"/>
      <c r="W241" s="44"/>
      <c r="X241" s="44"/>
      <c r="Y241" s="44"/>
      <c r="Z241" s="44"/>
      <c r="AA241" s="44"/>
      <c r="AB241" s="89"/>
      <c r="AC241" s="89"/>
      <c r="AD241" s="58">
        <f>AD238-10</f>
        <v>40</v>
      </c>
      <c r="AE241" s="58">
        <f>AD240</f>
        <v>0</v>
      </c>
      <c r="AF241" s="57"/>
      <c r="AG241" s="57"/>
      <c r="AH241" s="36"/>
      <c r="AI241" s="36"/>
      <c r="CR241" s="44"/>
      <c r="CS241" s="44"/>
      <c r="CT241" s="44"/>
      <c r="CU241" s="48"/>
      <c r="CV241" s="142"/>
      <c r="CW241" s="44"/>
      <c r="CX241" s="83"/>
      <c r="CY241" s="83"/>
      <c r="CZ241" s="83"/>
      <c r="DA241" s="44"/>
      <c r="DB241" s="143"/>
      <c r="DC241" s="44"/>
      <c r="DD241" s="44"/>
      <c r="DE241" s="44"/>
      <c r="DF241" s="44"/>
      <c r="DG241" s="44"/>
      <c r="DH241" s="44"/>
      <c r="DI241" s="75"/>
      <c r="DJ241" s="57"/>
      <c r="DK241" s="57"/>
      <c r="DL241" s="57"/>
      <c r="DM241" s="87"/>
      <c r="DN241" s="99"/>
      <c r="DO241" s="57"/>
      <c r="DP241" s="57"/>
      <c r="DQ241" s="87"/>
      <c r="DR241" s="99"/>
      <c r="DS241" s="44"/>
      <c r="DT241" s="83"/>
      <c r="DU241" s="83"/>
      <c r="DV241" s="83"/>
      <c r="DW241" s="44"/>
      <c r="DX241" s="144"/>
      <c r="DY241" s="144"/>
      <c r="DZ241" s="144"/>
    </row>
    <row r="242" spans="1:255" x14ac:dyDescent="0.3">
      <c r="A242" s="139"/>
      <c r="B242" s="139"/>
      <c r="C242" s="139"/>
      <c r="D242" s="139"/>
      <c r="E242" s="139"/>
      <c r="F242" s="139"/>
      <c r="G242" s="139"/>
      <c r="H242" s="139"/>
      <c r="I242" s="139"/>
      <c r="J242" s="139"/>
      <c r="K242" s="139"/>
      <c r="L242" s="44"/>
      <c r="U242" s="44"/>
      <c r="V242" s="44"/>
      <c r="W242" s="44"/>
      <c r="X242" s="44"/>
      <c r="Y242" s="44"/>
      <c r="Z242" s="44"/>
      <c r="AA242" s="44"/>
      <c r="AB242" s="89"/>
      <c r="AC242" s="89"/>
      <c r="AD242" s="58"/>
      <c r="AE242" s="58"/>
      <c r="AF242" s="57"/>
      <c r="AG242" s="57"/>
      <c r="AH242" s="36"/>
      <c r="AI242" s="36"/>
      <c r="CR242" s="44"/>
      <c r="CS242" s="44"/>
      <c r="CT242" s="44"/>
      <c r="CU242" s="48"/>
      <c r="CV242" s="142"/>
      <c r="CW242" s="44"/>
      <c r="CX242" s="83"/>
      <c r="CY242" s="83"/>
      <c r="CZ242" s="83"/>
      <c r="DA242" s="44"/>
      <c r="DB242" s="143"/>
      <c r="DC242" s="44"/>
      <c r="DD242" s="44"/>
      <c r="DE242" s="44"/>
      <c r="DF242" s="44"/>
      <c r="DG242" s="44"/>
      <c r="DH242" s="44"/>
      <c r="DI242" s="75"/>
      <c r="DJ242" s="57"/>
      <c r="DK242" s="57"/>
      <c r="DL242" s="57"/>
      <c r="DM242" s="87"/>
      <c r="DN242" s="99"/>
      <c r="DO242" s="57"/>
      <c r="DP242" s="57"/>
      <c r="DQ242" s="87"/>
      <c r="DR242" s="99"/>
      <c r="DS242" s="44"/>
      <c r="DT242" s="83"/>
      <c r="DU242" s="83"/>
      <c r="DV242" s="83"/>
      <c r="DW242" s="44"/>
      <c r="DX242" s="144"/>
      <c r="DY242" s="144"/>
      <c r="DZ242" s="144"/>
    </row>
    <row r="243" spans="1:255" x14ac:dyDescent="0.3">
      <c r="A243" s="139"/>
      <c r="B243" s="139"/>
      <c r="C243" s="139"/>
      <c r="D243" s="139"/>
      <c r="E243" s="139"/>
      <c r="F243" s="139"/>
      <c r="G243" s="139"/>
      <c r="H243" s="139"/>
      <c r="I243" s="139"/>
      <c r="J243" s="139"/>
      <c r="K243" s="139"/>
      <c r="L243" s="44"/>
      <c r="U243" s="44"/>
      <c r="V243" s="44"/>
      <c r="W243" s="44"/>
      <c r="X243" s="44"/>
      <c r="Y243" s="44"/>
      <c r="Z243" s="44"/>
      <c r="AA243" s="44"/>
      <c r="AB243" s="89"/>
      <c r="AC243" s="89"/>
      <c r="AD243" s="58">
        <f>AD240</f>
        <v>0</v>
      </c>
      <c r="AE243" s="58">
        <f>AD244</f>
        <v>30</v>
      </c>
      <c r="AF243" s="57"/>
      <c r="AG243" s="57"/>
      <c r="AH243" s="36"/>
      <c r="AI243" s="36"/>
      <c r="CR243" s="44"/>
      <c r="CS243" s="44"/>
      <c r="CT243" s="44"/>
      <c r="CU243" s="48"/>
      <c r="CV243" s="142"/>
      <c r="CW243" s="44"/>
      <c r="CX243" s="83"/>
      <c r="CY243" s="83"/>
      <c r="CZ243" s="83"/>
      <c r="DA243" s="44"/>
      <c r="DB243" s="143"/>
      <c r="DC243" s="44"/>
      <c r="DD243" s="44"/>
      <c r="DE243" s="44"/>
      <c r="DF243" s="44"/>
      <c r="DG243" s="44"/>
      <c r="DH243" s="44"/>
      <c r="DI243" s="75"/>
      <c r="DJ243" s="57"/>
      <c r="DK243" s="57"/>
      <c r="DL243" s="57"/>
      <c r="DM243" s="87"/>
      <c r="DN243" s="99"/>
      <c r="DO243" s="57"/>
      <c r="DP243" s="57"/>
      <c r="DQ243" s="87"/>
      <c r="DR243" s="99"/>
      <c r="DS243" s="44"/>
      <c r="DT243" s="83"/>
      <c r="DU243" s="83"/>
      <c r="DV243" s="83"/>
      <c r="DW243" s="44"/>
      <c r="DX243" s="144"/>
      <c r="DY243" s="144"/>
      <c r="DZ243" s="144"/>
    </row>
    <row r="244" spans="1:255" x14ac:dyDescent="0.3">
      <c r="A244" s="139"/>
      <c r="B244" s="139"/>
      <c r="C244" s="139"/>
      <c r="D244" s="139"/>
      <c r="E244" s="139"/>
      <c r="F244" s="139"/>
      <c r="G244" s="139"/>
      <c r="H244" s="139"/>
      <c r="I244" s="139"/>
      <c r="J244" s="139"/>
      <c r="K244" s="139"/>
      <c r="L244" s="44"/>
      <c r="U244" s="44"/>
      <c r="V244" s="44"/>
      <c r="W244" s="44"/>
      <c r="X244" s="44"/>
      <c r="Y244" s="44"/>
      <c r="Z244" s="44"/>
      <c r="AA244" s="44"/>
      <c r="AB244" s="89"/>
      <c r="AC244" s="89"/>
      <c r="AD244" s="58">
        <f>AD241-10</f>
        <v>30</v>
      </c>
      <c r="AE244" s="58">
        <f>AD243</f>
        <v>0</v>
      </c>
      <c r="AF244" s="57"/>
      <c r="AG244" s="57"/>
      <c r="AH244" s="36"/>
      <c r="AI244" s="36"/>
      <c r="CR244" s="44"/>
      <c r="CS244" s="44"/>
      <c r="CT244" s="44"/>
      <c r="CU244" s="48"/>
      <c r="CV244" s="142"/>
      <c r="CW244" s="44"/>
      <c r="CX244" s="83"/>
      <c r="CY244" s="83"/>
      <c r="CZ244" s="83"/>
      <c r="DA244" s="44"/>
      <c r="DB244" s="143"/>
      <c r="DC244" s="44"/>
      <c r="DD244" s="44"/>
      <c r="DE244" s="44"/>
      <c r="DF244" s="44"/>
      <c r="DG244" s="44"/>
      <c r="DH244" s="44"/>
      <c r="DI244" s="75"/>
      <c r="DJ244" s="57"/>
      <c r="DK244" s="57"/>
      <c r="DL244" s="57"/>
      <c r="DM244" s="87"/>
      <c r="DN244" s="99"/>
      <c r="DO244" s="57"/>
      <c r="DP244" s="57"/>
      <c r="DQ244" s="87"/>
      <c r="DR244" s="99"/>
      <c r="DS244" s="44"/>
      <c r="DT244" s="83"/>
      <c r="DU244" s="83"/>
      <c r="DV244" s="83"/>
      <c r="DW244" s="44"/>
      <c r="DX244" s="144"/>
      <c r="DY244" s="144"/>
      <c r="DZ244" s="144"/>
    </row>
    <row r="245" spans="1:255" x14ac:dyDescent="0.3">
      <c r="A245" s="139"/>
      <c r="B245" s="139"/>
      <c r="C245" s="139"/>
      <c r="D245" s="139"/>
      <c r="E245" s="139"/>
      <c r="F245" s="139"/>
      <c r="G245" s="139"/>
      <c r="H245" s="139"/>
      <c r="I245" s="139"/>
      <c r="J245" s="139"/>
      <c r="K245" s="139"/>
      <c r="L245" s="44"/>
      <c r="U245" s="44"/>
      <c r="V245" s="44"/>
      <c r="W245" s="44"/>
      <c r="X245" s="44"/>
      <c r="Y245" s="44"/>
      <c r="Z245" s="44"/>
      <c r="AA245" s="44"/>
      <c r="AB245" s="89"/>
      <c r="AC245" s="89"/>
      <c r="AD245" s="58"/>
      <c r="AE245" s="58"/>
      <c r="AF245" s="57"/>
      <c r="AG245" s="57"/>
      <c r="CR245" s="44"/>
      <c r="CS245" s="44"/>
      <c r="CT245" s="44"/>
      <c r="CU245" s="48"/>
      <c r="CV245" s="142"/>
      <c r="CW245" s="44"/>
      <c r="CX245" s="83"/>
      <c r="CY245" s="83"/>
      <c r="CZ245" s="83"/>
      <c r="DA245" s="44"/>
      <c r="DB245" s="143"/>
      <c r="DC245" s="44"/>
      <c r="DD245" s="44"/>
      <c r="DE245" s="44"/>
      <c r="DF245" s="44"/>
      <c r="DG245" s="44"/>
      <c r="DH245" s="44"/>
      <c r="DI245" s="75"/>
      <c r="DJ245" s="57"/>
      <c r="DK245" s="57"/>
      <c r="DL245" s="57"/>
      <c r="DM245" s="87"/>
      <c r="DN245" s="99"/>
      <c r="DO245" s="57"/>
      <c r="DP245" s="57"/>
      <c r="DQ245" s="87"/>
      <c r="DR245" s="99"/>
      <c r="DS245" s="44"/>
      <c r="DT245" s="83"/>
      <c r="DU245" s="83"/>
      <c r="DV245" s="83"/>
      <c r="DW245" s="44"/>
      <c r="DX245" s="144"/>
      <c r="DY245" s="144"/>
      <c r="DZ245" s="144"/>
    </row>
    <row r="246" spans="1:255" ht="15" customHeight="1" x14ac:dyDescent="0.3">
      <c r="A246" s="139"/>
      <c r="B246" s="139"/>
      <c r="C246" s="139"/>
      <c r="D246" s="139"/>
      <c r="E246" s="164"/>
      <c r="F246" s="139"/>
      <c r="G246" s="139"/>
      <c r="H246" s="139"/>
      <c r="I246" s="139"/>
      <c r="J246" s="139"/>
      <c r="K246" s="139"/>
      <c r="L246" s="44"/>
      <c r="U246" s="44"/>
      <c r="V246" s="44"/>
      <c r="W246" s="44"/>
      <c r="X246" s="44"/>
      <c r="Y246" s="44"/>
      <c r="Z246" s="44"/>
      <c r="AA246" s="44"/>
      <c r="AB246" s="89"/>
      <c r="AC246" s="89"/>
      <c r="AD246" s="58">
        <f>AD243</f>
        <v>0</v>
      </c>
      <c r="AE246" s="58">
        <f>AD247</f>
        <v>20</v>
      </c>
      <c r="AF246" s="57"/>
      <c r="AG246" s="57"/>
      <c r="CR246" s="44"/>
      <c r="CS246" s="44"/>
      <c r="CT246" s="44"/>
      <c r="CU246" s="48"/>
      <c r="CV246" s="142"/>
      <c r="CW246" s="44"/>
      <c r="CX246" s="83"/>
      <c r="CY246" s="83"/>
      <c r="CZ246" s="83"/>
      <c r="DA246" s="44"/>
      <c r="DB246" s="143"/>
      <c r="DC246" s="44"/>
      <c r="DD246" s="44"/>
      <c r="DE246" s="44"/>
      <c r="DF246" s="44"/>
      <c r="DG246" s="44"/>
      <c r="DH246" s="44"/>
      <c r="DI246" s="75"/>
      <c r="DJ246" s="57"/>
      <c r="DK246" s="57"/>
      <c r="DL246" s="57"/>
      <c r="DM246" s="87"/>
      <c r="DN246" s="99"/>
      <c r="DO246" s="57"/>
      <c r="DP246" s="57"/>
      <c r="DQ246" s="87"/>
      <c r="DR246" s="99"/>
      <c r="DS246" s="44"/>
      <c r="DT246" s="83"/>
      <c r="DU246" s="83"/>
      <c r="DV246" s="83"/>
      <c r="DW246" s="44"/>
      <c r="DX246" s="144"/>
      <c r="DY246" s="144"/>
      <c r="DZ246" s="144"/>
    </row>
    <row r="247" spans="1:255" x14ac:dyDescent="0.3">
      <c r="A247" s="139"/>
      <c r="B247" s="139"/>
      <c r="C247" s="139"/>
      <c r="D247" s="139"/>
      <c r="E247" s="139"/>
      <c r="F247" s="139"/>
      <c r="G247" s="139"/>
      <c r="H247" s="139"/>
      <c r="I247" s="139"/>
      <c r="J247" s="139"/>
      <c r="K247" s="139"/>
      <c r="L247" s="44"/>
      <c r="U247" s="44"/>
      <c r="V247" s="44"/>
      <c r="W247" s="44"/>
      <c r="X247" s="44"/>
      <c r="Y247" s="44"/>
      <c r="Z247" s="44"/>
      <c r="AA247" s="44"/>
      <c r="AB247" s="89"/>
      <c r="AC247" s="89"/>
      <c r="AD247" s="58">
        <f>AD244-10</f>
        <v>20</v>
      </c>
      <c r="AE247" s="58">
        <f>AD246</f>
        <v>0</v>
      </c>
      <c r="AF247" s="57"/>
      <c r="AG247" s="57"/>
      <c r="CR247" s="44"/>
      <c r="CS247" s="44"/>
      <c r="CT247" s="44"/>
      <c r="CU247" s="48"/>
      <c r="CV247" s="142"/>
      <c r="CW247" s="44"/>
      <c r="CX247" s="83"/>
      <c r="CY247" s="83"/>
      <c r="CZ247" s="83"/>
      <c r="DA247" s="44"/>
      <c r="DB247" s="143"/>
      <c r="DC247" s="44"/>
      <c r="DD247" s="44"/>
      <c r="DE247" s="44"/>
      <c r="DF247" s="44"/>
      <c r="DG247" s="44"/>
      <c r="DH247" s="44"/>
      <c r="DI247" s="75"/>
      <c r="DJ247" s="57"/>
      <c r="DK247" s="57"/>
      <c r="DL247" s="57"/>
      <c r="DM247" s="87"/>
      <c r="DN247" s="99"/>
      <c r="DO247" s="57"/>
      <c r="DP247" s="57"/>
      <c r="DQ247" s="87"/>
      <c r="DR247" s="99"/>
      <c r="DS247" s="44"/>
      <c r="DT247" s="83"/>
      <c r="DU247" s="83"/>
      <c r="DV247" s="83"/>
      <c r="DW247" s="44"/>
      <c r="DX247" s="144"/>
      <c r="DY247" s="144"/>
      <c r="DZ247" s="144"/>
    </row>
    <row r="248" spans="1:255" ht="17.25" customHeight="1" x14ac:dyDescent="0.3">
      <c r="A248" s="139"/>
      <c r="B248" s="139"/>
      <c r="C248" s="139"/>
      <c r="D248" s="139"/>
      <c r="E248" s="139"/>
      <c r="F248" s="139"/>
      <c r="G248" s="139"/>
      <c r="H248" s="139"/>
      <c r="I248" s="139"/>
      <c r="J248" s="139"/>
      <c r="K248" s="139"/>
      <c r="L248" s="44"/>
      <c r="U248" s="44"/>
      <c r="V248" s="44"/>
      <c r="W248" s="44"/>
      <c r="X248" s="44"/>
      <c r="Y248" s="44"/>
      <c r="Z248" s="44"/>
      <c r="AA248" s="44"/>
      <c r="AB248" s="89"/>
      <c r="AC248" s="89"/>
      <c r="AD248" s="58"/>
      <c r="AE248" s="58"/>
      <c r="AF248" s="57"/>
      <c r="AG248" s="57"/>
      <c r="CR248" s="44"/>
      <c r="CS248" s="44"/>
      <c r="CT248" s="44"/>
      <c r="CU248" s="48"/>
      <c r="CV248" s="142"/>
      <c r="CW248" s="44"/>
      <c r="CX248" s="83"/>
      <c r="CY248" s="83"/>
      <c r="CZ248" s="83"/>
      <c r="DA248" s="44"/>
      <c r="DB248" s="143"/>
      <c r="DC248" s="44"/>
      <c r="DD248" s="44"/>
      <c r="DE248" s="44"/>
      <c r="DF248" s="44"/>
      <c r="DG248" s="44"/>
      <c r="DH248" s="44"/>
      <c r="DI248" s="75"/>
      <c r="DJ248" s="57"/>
      <c r="DK248" s="57"/>
      <c r="DL248" s="57"/>
      <c r="DM248" s="87"/>
      <c r="DN248" s="99"/>
      <c r="DO248" s="57"/>
      <c r="DP248" s="57"/>
      <c r="DQ248" s="87"/>
      <c r="DR248" s="99"/>
      <c r="DS248" s="44"/>
      <c r="DT248" s="83"/>
      <c r="DU248" s="83"/>
      <c r="DV248" s="83"/>
      <c r="DW248" s="44"/>
      <c r="DX248" s="144"/>
      <c r="DY248" s="144"/>
      <c r="DZ248" s="144"/>
    </row>
    <row r="249" spans="1:255" s="53" customFormat="1" x14ac:dyDescent="0.3">
      <c r="A249" s="139"/>
      <c r="B249" s="139"/>
      <c r="C249" s="139"/>
      <c r="D249" s="139"/>
      <c r="E249" s="139"/>
      <c r="F249" s="139"/>
      <c r="G249" s="139"/>
      <c r="H249" s="139"/>
      <c r="I249" s="139"/>
      <c r="J249" s="139"/>
      <c r="K249" s="139"/>
      <c r="L249" s="44"/>
      <c r="M249" s="40"/>
      <c r="N249" s="40"/>
      <c r="O249" s="40"/>
      <c r="P249" s="41"/>
      <c r="Q249" s="41"/>
      <c r="R249" s="41"/>
      <c r="S249" s="41"/>
      <c r="T249" s="40"/>
      <c r="U249" s="44"/>
      <c r="V249" s="44"/>
      <c r="W249" s="44"/>
      <c r="X249" s="44"/>
      <c r="Y249" s="44"/>
      <c r="Z249" s="44"/>
      <c r="AA249" s="44"/>
      <c r="AB249" s="89"/>
      <c r="AC249" s="89"/>
      <c r="AD249" s="58">
        <f>AD246</f>
        <v>0</v>
      </c>
      <c r="AE249" s="58">
        <f>AD250</f>
        <v>10</v>
      </c>
      <c r="AF249" s="57"/>
      <c r="AG249" s="57"/>
      <c r="CR249" s="44"/>
      <c r="CS249" s="44"/>
      <c r="CT249" s="44"/>
      <c r="CU249" s="48"/>
      <c r="CV249" s="142"/>
      <c r="CW249" s="44"/>
      <c r="CX249" s="83"/>
      <c r="CY249" s="83"/>
      <c r="CZ249" s="83"/>
      <c r="DA249" s="44"/>
      <c r="DB249" s="143"/>
      <c r="DC249" s="44"/>
      <c r="DD249" s="44"/>
      <c r="DE249" s="44"/>
      <c r="DF249" s="44"/>
      <c r="DG249" s="44"/>
      <c r="DH249" s="44"/>
      <c r="DI249" s="75"/>
      <c r="DJ249" s="57"/>
      <c r="DK249" s="57"/>
      <c r="DL249" s="57"/>
      <c r="DM249" s="87"/>
      <c r="DN249" s="99"/>
      <c r="DO249" s="57"/>
      <c r="DP249" s="57"/>
      <c r="DQ249" s="87"/>
      <c r="DR249" s="99"/>
      <c r="DS249" s="44"/>
      <c r="DT249" s="83"/>
      <c r="DU249" s="83"/>
      <c r="DV249" s="83"/>
      <c r="DW249" s="44"/>
      <c r="DX249" s="144"/>
      <c r="DY249" s="144"/>
      <c r="DZ249" s="144"/>
      <c r="EA249" s="39"/>
      <c r="EB249" s="39"/>
      <c r="EC249" s="39"/>
      <c r="ED249" s="39"/>
      <c r="EE249" s="39"/>
      <c r="EF249" s="39"/>
      <c r="EG249" s="39"/>
      <c r="EH249" s="39"/>
      <c r="EI249" s="39"/>
      <c r="EJ249" s="39"/>
      <c r="EK249" s="39"/>
      <c r="EL249" s="39"/>
      <c r="EM249" s="39"/>
      <c r="EN249" s="39"/>
      <c r="EO249" s="39"/>
      <c r="EP249" s="39"/>
      <c r="EQ249" s="39"/>
      <c r="ER249" s="39"/>
      <c r="ES249" s="39"/>
      <c r="ET249" s="39"/>
      <c r="EU249" s="39"/>
      <c r="EV249" s="39"/>
      <c r="EW249" s="39"/>
      <c r="EX249" s="39"/>
      <c r="EY249" s="39"/>
      <c r="EZ249" s="39"/>
      <c r="FA249" s="39"/>
      <c r="FB249" s="39"/>
      <c r="FC249" s="39"/>
      <c r="FD249" s="39"/>
      <c r="FE249" s="39"/>
      <c r="FF249" s="39"/>
      <c r="FG249" s="39"/>
      <c r="FH249" s="39"/>
      <c r="FI249" s="39"/>
      <c r="FJ249" s="39"/>
      <c r="FK249" s="39"/>
      <c r="FL249" s="39"/>
      <c r="FM249" s="39"/>
      <c r="FN249" s="39"/>
      <c r="FO249" s="39"/>
      <c r="FP249" s="39"/>
      <c r="FQ249" s="39"/>
      <c r="FR249" s="39"/>
      <c r="FS249" s="39"/>
      <c r="FT249" s="39"/>
      <c r="FU249" s="39"/>
      <c r="FV249" s="39"/>
      <c r="FW249" s="39"/>
      <c r="FX249" s="39"/>
      <c r="FY249" s="39"/>
      <c r="FZ249" s="39"/>
      <c r="GA249" s="39"/>
      <c r="GB249" s="39"/>
      <c r="GC249" s="39"/>
      <c r="GD249" s="39"/>
      <c r="GE249" s="39"/>
      <c r="GF249" s="39"/>
      <c r="GG249" s="39"/>
      <c r="GH249" s="39"/>
      <c r="GI249" s="39"/>
      <c r="GJ249" s="39"/>
      <c r="GK249" s="39"/>
      <c r="GL249" s="39"/>
      <c r="GM249" s="39"/>
      <c r="GN249" s="39"/>
      <c r="GO249" s="39"/>
      <c r="GP249" s="39"/>
      <c r="GQ249" s="39"/>
      <c r="GR249" s="39"/>
      <c r="GS249" s="39"/>
      <c r="GT249" s="39"/>
      <c r="GU249" s="39"/>
      <c r="GV249" s="39"/>
      <c r="GW249" s="39"/>
      <c r="GX249" s="39"/>
      <c r="GY249" s="39"/>
      <c r="GZ249" s="39"/>
      <c r="HA249" s="39"/>
      <c r="HB249" s="39"/>
      <c r="HC249" s="39"/>
      <c r="HD249" s="39"/>
      <c r="HE249" s="39"/>
      <c r="HF249" s="39"/>
      <c r="HG249" s="39"/>
      <c r="HH249" s="39"/>
      <c r="HI249" s="39"/>
      <c r="HJ249" s="39"/>
      <c r="HK249" s="39"/>
      <c r="HL249" s="39"/>
      <c r="HM249" s="39"/>
      <c r="HN249" s="39"/>
      <c r="HO249" s="39"/>
      <c r="HP249" s="39"/>
      <c r="HQ249" s="39"/>
      <c r="HR249" s="39"/>
      <c r="HS249" s="39"/>
      <c r="HT249" s="39"/>
      <c r="HU249" s="39"/>
      <c r="HV249" s="39"/>
      <c r="HW249" s="39"/>
      <c r="HX249" s="39"/>
      <c r="HY249" s="39"/>
      <c r="HZ249" s="39"/>
      <c r="IA249" s="39"/>
      <c r="IB249" s="39"/>
      <c r="IC249" s="39"/>
      <c r="ID249" s="39"/>
      <c r="IE249" s="39"/>
      <c r="IF249" s="39"/>
      <c r="IG249" s="39"/>
      <c r="IH249" s="39"/>
      <c r="II249" s="39"/>
      <c r="IJ249" s="39"/>
      <c r="IK249" s="39"/>
      <c r="IL249" s="39"/>
      <c r="IM249" s="39"/>
      <c r="IN249" s="39"/>
      <c r="IO249" s="39"/>
      <c r="IP249" s="39"/>
      <c r="IQ249" s="39"/>
      <c r="IR249" s="39"/>
      <c r="IS249" s="39"/>
      <c r="IT249" s="39"/>
      <c r="IU249" s="39"/>
    </row>
    <row r="250" spans="1:255" x14ac:dyDescent="0.3">
      <c r="A250" s="139"/>
      <c r="B250" s="139"/>
      <c r="C250" s="139"/>
      <c r="D250" s="139"/>
      <c r="E250" s="139"/>
      <c r="F250" s="139"/>
      <c r="G250" s="139"/>
      <c r="H250" s="139"/>
      <c r="I250" s="139"/>
      <c r="J250" s="139"/>
      <c r="K250" s="139"/>
      <c r="L250" s="44"/>
      <c r="U250" s="44"/>
      <c r="V250" s="44"/>
      <c r="W250" s="44"/>
      <c r="X250" s="44"/>
      <c r="Y250" s="44"/>
      <c r="Z250" s="44"/>
      <c r="AA250" s="44"/>
      <c r="AB250" s="89"/>
      <c r="AC250" s="89"/>
      <c r="AD250" s="58">
        <f>AD247-10</f>
        <v>10</v>
      </c>
      <c r="AE250" s="58">
        <f>AD249</f>
        <v>0</v>
      </c>
      <c r="AF250" s="57"/>
      <c r="AG250" s="57"/>
      <c r="CR250" s="44"/>
      <c r="CS250" s="44"/>
      <c r="CT250" s="44"/>
      <c r="CU250" s="48"/>
      <c r="CV250" s="142"/>
      <c r="CW250" s="44"/>
      <c r="CX250" s="83"/>
      <c r="CY250" s="83"/>
      <c r="CZ250" s="83"/>
      <c r="DA250" s="44"/>
      <c r="DB250" s="143"/>
      <c r="DC250" s="44"/>
      <c r="DD250" s="44"/>
      <c r="DE250" s="44"/>
      <c r="DF250" s="44"/>
      <c r="DG250" s="44"/>
      <c r="DH250" s="44"/>
      <c r="DI250" s="75"/>
      <c r="DJ250" s="57"/>
      <c r="DK250" s="57"/>
      <c r="DL250" s="57"/>
      <c r="DM250" s="87"/>
      <c r="DN250" s="99"/>
      <c r="DO250" s="57"/>
      <c r="DP250" s="57"/>
      <c r="DQ250" s="87"/>
      <c r="DR250" s="99"/>
      <c r="DS250" s="44"/>
      <c r="DT250" s="83"/>
      <c r="DU250" s="83"/>
      <c r="DV250" s="83"/>
      <c r="DW250" s="44"/>
      <c r="DX250" s="144"/>
      <c r="DY250" s="144"/>
      <c r="DZ250" s="144"/>
      <c r="EA250" s="53"/>
      <c r="EB250" s="53"/>
      <c r="EC250" s="53"/>
      <c r="ED250" s="53"/>
      <c r="EE250" s="53"/>
      <c r="EF250" s="53"/>
      <c r="EG250" s="53"/>
      <c r="EH250" s="53"/>
      <c r="EI250" s="53"/>
      <c r="EJ250" s="53"/>
      <c r="EK250" s="53"/>
      <c r="EL250" s="53"/>
      <c r="EM250" s="53"/>
      <c r="EN250" s="53"/>
      <c r="EO250" s="53"/>
      <c r="EP250" s="53"/>
      <c r="EQ250" s="53"/>
      <c r="ER250" s="53"/>
      <c r="ES250" s="53"/>
      <c r="ET250" s="53"/>
      <c r="EU250" s="53"/>
      <c r="EV250" s="53"/>
      <c r="EW250" s="53"/>
      <c r="EX250" s="53"/>
      <c r="EY250" s="53"/>
      <c r="EZ250" s="53"/>
      <c r="FA250" s="53"/>
      <c r="FB250" s="53"/>
      <c r="FC250" s="53"/>
      <c r="FD250" s="53"/>
      <c r="FE250" s="53"/>
      <c r="FF250" s="53"/>
      <c r="FG250" s="53"/>
      <c r="FH250" s="53"/>
      <c r="FI250" s="53"/>
      <c r="FJ250" s="53"/>
      <c r="FK250" s="53"/>
      <c r="FL250" s="53"/>
      <c r="FM250" s="53"/>
      <c r="FN250" s="53"/>
      <c r="FO250" s="53"/>
      <c r="FP250" s="53"/>
      <c r="FQ250" s="53"/>
      <c r="FR250" s="53"/>
      <c r="FS250" s="53"/>
      <c r="FT250" s="53"/>
      <c r="FU250" s="53"/>
      <c r="FV250" s="53"/>
      <c r="FW250" s="53"/>
      <c r="FX250" s="53"/>
      <c r="FY250" s="53"/>
      <c r="FZ250" s="53"/>
      <c r="GA250" s="53"/>
      <c r="GB250" s="53"/>
      <c r="GC250" s="53"/>
      <c r="GD250" s="53"/>
      <c r="GE250" s="53"/>
      <c r="GF250" s="53"/>
      <c r="GG250" s="53"/>
      <c r="GH250" s="53"/>
      <c r="GI250" s="53"/>
      <c r="GJ250" s="53"/>
      <c r="GK250" s="53"/>
      <c r="GL250" s="53"/>
      <c r="GM250" s="53"/>
      <c r="GN250" s="53"/>
      <c r="GO250" s="53"/>
      <c r="GP250" s="53"/>
      <c r="GQ250" s="53"/>
      <c r="GR250" s="53"/>
      <c r="GS250" s="53"/>
      <c r="GT250" s="53"/>
      <c r="GU250" s="53"/>
      <c r="GV250" s="53"/>
      <c r="GW250" s="53"/>
      <c r="GX250" s="53"/>
      <c r="GY250" s="53"/>
      <c r="GZ250" s="53"/>
      <c r="HA250" s="53"/>
      <c r="HB250" s="53"/>
      <c r="HC250" s="53"/>
      <c r="HD250" s="53"/>
      <c r="HE250" s="53"/>
      <c r="HF250" s="53"/>
      <c r="HG250" s="53"/>
      <c r="HH250" s="53"/>
      <c r="HI250" s="53"/>
      <c r="HJ250" s="53"/>
      <c r="HK250" s="53"/>
      <c r="HL250" s="53"/>
      <c r="HM250" s="53"/>
      <c r="HN250" s="53"/>
      <c r="HO250" s="53"/>
      <c r="HP250" s="53"/>
      <c r="HQ250" s="53"/>
      <c r="HR250" s="53"/>
      <c r="HS250" s="53"/>
      <c r="HT250" s="53"/>
      <c r="HU250" s="53"/>
      <c r="HV250" s="53"/>
      <c r="HW250" s="53"/>
      <c r="HX250" s="53"/>
      <c r="HY250" s="53"/>
      <c r="HZ250" s="53"/>
      <c r="IA250" s="53"/>
      <c r="IB250" s="53"/>
      <c r="IC250" s="53"/>
      <c r="ID250" s="53"/>
      <c r="IE250" s="53"/>
      <c r="IF250" s="53"/>
      <c r="IG250" s="53"/>
      <c r="IH250" s="53"/>
      <c r="II250" s="53"/>
      <c r="IJ250" s="53"/>
      <c r="IK250" s="53"/>
      <c r="IL250" s="53"/>
      <c r="IM250" s="53"/>
      <c r="IN250" s="53"/>
      <c r="IO250" s="53"/>
      <c r="IP250" s="53"/>
      <c r="IQ250" s="53"/>
      <c r="IR250" s="53"/>
      <c r="IS250" s="53"/>
      <c r="IT250" s="53"/>
      <c r="IU250" s="53"/>
    </row>
    <row r="251" spans="1:255" x14ac:dyDescent="0.3">
      <c r="A251" s="139"/>
      <c r="B251" s="139"/>
      <c r="C251" s="139"/>
      <c r="D251" s="139"/>
      <c r="E251" s="139"/>
      <c r="F251" s="139"/>
      <c r="G251" s="139"/>
      <c r="H251" s="139"/>
      <c r="I251" s="139"/>
      <c r="J251" s="139"/>
      <c r="K251" s="139"/>
      <c r="L251" s="44"/>
      <c r="U251" s="44"/>
      <c r="V251" s="44"/>
      <c r="W251" s="44"/>
      <c r="X251" s="44"/>
      <c r="Y251" s="44"/>
      <c r="Z251" s="44"/>
      <c r="AA251" s="44"/>
      <c r="AB251" s="89"/>
      <c r="AC251" s="89"/>
      <c r="AD251" s="89"/>
      <c r="AE251" s="89"/>
      <c r="AF251" s="89"/>
      <c r="AG251" s="89"/>
      <c r="CR251" s="44"/>
      <c r="CS251" s="44"/>
      <c r="CT251" s="44"/>
      <c r="CU251" s="48"/>
      <c r="CV251" s="142"/>
      <c r="CW251" s="44"/>
      <c r="CX251" s="83"/>
      <c r="CY251" s="83"/>
      <c r="CZ251" s="83"/>
      <c r="DA251" s="44"/>
      <c r="DB251" s="143"/>
      <c r="DC251" s="44"/>
      <c r="DD251" s="44"/>
      <c r="DE251" s="44"/>
      <c r="DF251" s="44"/>
      <c r="DG251" s="44"/>
      <c r="DH251" s="44"/>
      <c r="DI251" s="75"/>
      <c r="DJ251" s="57"/>
      <c r="DK251" s="57"/>
      <c r="DL251" s="57"/>
      <c r="DM251" s="87"/>
      <c r="DN251" s="99"/>
      <c r="DO251" s="57"/>
      <c r="DP251" s="57"/>
      <c r="DQ251" s="87"/>
      <c r="DR251" s="99"/>
      <c r="DS251" s="44"/>
      <c r="DT251" s="83"/>
      <c r="DU251" s="83"/>
      <c r="DV251" s="83"/>
      <c r="DW251" s="44"/>
      <c r="DX251" s="144"/>
      <c r="DY251" s="144"/>
      <c r="DZ251" s="144"/>
    </row>
    <row r="252" spans="1:255" x14ac:dyDescent="0.3">
      <c r="A252" s="139"/>
      <c r="B252" s="165"/>
      <c r="C252" s="139"/>
      <c r="D252" s="139"/>
      <c r="E252" s="139"/>
      <c r="F252" s="139"/>
      <c r="G252" s="139"/>
      <c r="H252" s="139"/>
      <c r="I252" s="139"/>
      <c r="J252" s="139"/>
      <c r="K252" s="139"/>
      <c r="L252" s="44">
        <v>1</v>
      </c>
      <c r="U252" s="44"/>
      <c r="V252" s="44"/>
      <c r="W252" s="44"/>
      <c r="X252" s="44"/>
      <c r="Y252" s="44"/>
      <c r="Z252" s="44"/>
      <c r="AA252" s="44"/>
      <c r="AB252" s="89"/>
      <c r="AC252" s="89"/>
      <c r="AD252" s="89"/>
      <c r="AE252" s="89"/>
      <c r="AF252" s="89"/>
      <c r="AG252" s="89"/>
      <c r="CR252" s="44"/>
      <c r="CS252" s="44"/>
      <c r="CT252" s="44"/>
      <c r="CU252" s="48"/>
      <c r="CV252" s="142"/>
      <c r="CW252" s="44"/>
      <c r="CX252" s="83"/>
      <c r="CY252" s="83"/>
      <c r="CZ252" s="83"/>
      <c r="DA252" s="44"/>
      <c r="DB252" s="143"/>
      <c r="DC252" s="44"/>
      <c r="DD252" s="44"/>
      <c r="DE252" s="44"/>
      <c r="DF252" s="44"/>
      <c r="DG252" s="44"/>
      <c r="DH252" s="44"/>
      <c r="DI252" s="75"/>
      <c r="DJ252" s="57"/>
      <c r="DK252" s="57"/>
      <c r="DL252" s="57"/>
      <c r="DM252" s="87"/>
      <c r="DN252" s="99"/>
      <c r="DO252" s="57"/>
      <c r="DP252" s="57"/>
      <c r="DQ252" s="87"/>
      <c r="DR252" s="99"/>
      <c r="DS252" s="44"/>
      <c r="DT252" s="83"/>
      <c r="DU252" s="83"/>
      <c r="DV252" s="83"/>
      <c r="DW252" s="44"/>
      <c r="DX252" s="144"/>
      <c r="DY252" s="144"/>
      <c r="DZ252" s="144"/>
    </row>
    <row r="253" spans="1:255" ht="13.5" customHeight="1" x14ac:dyDescent="0.3">
      <c r="A253" s="139"/>
      <c r="B253" s="139"/>
      <c r="C253" s="139"/>
      <c r="D253" s="139"/>
      <c r="E253" s="139"/>
      <c r="F253" s="139"/>
      <c r="G253" s="139"/>
      <c r="H253" s="139"/>
      <c r="I253" s="139"/>
      <c r="J253" s="139"/>
      <c r="K253" s="139"/>
      <c r="L253" s="44"/>
      <c r="U253" s="44"/>
      <c r="V253" s="44"/>
      <c r="W253" s="44"/>
      <c r="X253" s="44"/>
      <c r="Y253" s="44"/>
      <c r="Z253" s="44"/>
      <c r="AA253" s="44"/>
      <c r="AB253" s="89"/>
      <c r="AC253" s="89"/>
      <c r="AD253" s="89"/>
      <c r="AE253" s="89"/>
      <c r="AF253" s="89"/>
      <c r="AG253" s="89"/>
      <c r="CR253" s="44"/>
      <c r="CS253" s="44"/>
      <c r="CT253" s="44"/>
      <c r="CU253" s="48"/>
      <c r="CV253" s="142"/>
      <c r="CW253" s="44"/>
      <c r="CX253" s="83"/>
      <c r="CY253" s="83"/>
      <c r="CZ253" s="83"/>
      <c r="DA253" s="44"/>
      <c r="DB253" s="143"/>
      <c r="DC253" s="44"/>
      <c r="DD253" s="44"/>
      <c r="DE253" s="44"/>
      <c r="DF253" s="44"/>
      <c r="DG253" s="44"/>
      <c r="DH253" s="44"/>
      <c r="DI253" s="75"/>
      <c r="DJ253" s="57"/>
      <c r="DK253" s="57"/>
      <c r="DL253" s="57"/>
      <c r="DM253" s="87"/>
      <c r="DN253" s="99"/>
      <c r="DO253" s="57"/>
      <c r="DP253" s="57"/>
      <c r="DQ253" s="87"/>
      <c r="DR253" s="99"/>
      <c r="DS253" s="44"/>
      <c r="DT253" s="83"/>
      <c r="DU253" s="83"/>
      <c r="DV253" s="83"/>
      <c r="DW253" s="44"/>
      <c r="DX253" s="144"/>
      <c r="DY253" s="144"/>
      <c r="DZ253" s="144"/>
    </row>
    <row r="254" spans="1:255" x14ac:dyDescent="0.3">
      <c r="A254" s="152"/>
      <c r="B254" s="152"/>
      <c r="C254" s="152"/>
      <c r="D254" s="152"/>
      <c r="E254" s="152"/>
      <c r="F254" s="152"/>
      <c r="G254" s="152"/>
      <c r="H254" s="152"/>
      <c r="I254" s="152"/>
      <c r="J254" s="152"/>
      <c r="K254" s="152"/>
      <c r="L254" s="44"/>
      <c r="U254" s="44"/>
      <c r="V254" s="44"/>
      <c r="W254" s="44"/>
      <c r="X254" s="44"/>
      <c r="Y254" s="44"/>
      <c r="Z254" s="44"/>
      <c r="AA254" s="44"/>
      <c r="AB254" s="89"/>
      <c r="AC254" s="89"/>
      <c r="AD254" s="89"/>
      <c r="AE254" s="89"/>
      <c r="AF254" s="89"/>
      <c r="AG254" s="89"/>
      <c r="CR254" s="44"/>
      <c r="CS254" s="44"/>
      <c r="CT254" s="44"/>
      <c r="CU254" s="48"/>
      <c r="CV254" s="142"/>
      <c r="CW254" s="44"/>
      <c r="CX254" s="83"/>
      <c r="CY254" s="83"/>
      <c r="CZ254" s="83"/>
      <c r="DA254" s="44"/>
      <c r="DB254" s="143"/>
      <c r="DC254" s="44"/>
      <c r="DD254" s="44"/>
      <c r="DE254" s="44"/>
      <c r="DF254" s="44"/>
      <c r="DG254" s="44"/>
      <c r="DH254" s="44"/>
      <c r="DI254" s="75"/>
      <c r="DJ254" s="57"/>
      <c r="DK254" s="57"/>
      <c r="DL254" s="57"/>
      <c r="DM254" s="87"/>
      <c r="DN254" s="99"/>
      <c r="DO254" s="57"/>
      <c r="DP254" s="57"/>
      <c r="DQ254" s="87"/>
      <c r="DR254" s="99"/>
      <c r="DS254" s="44"/>
      <c r="DT254" s="83"/>
      <c r="DU254" s="83"/>
      <c r="DV254" s="83"/>
      <c r="DW254" s="44"/>
      <c r="DX254" s="144"/>
      <c r="DY254" s="144"/>
      <c r="DZ254" s="144"/>
    </row>
    <row r="255" spans="1:255" x14ac:dyDescent="0.3">
      <c r="A255" s="171"/>
      <c r="B255" s="36"/>
      <c r="C255" s="36"/>
      <c r="D255" s="36"/>
      <c r="E255" s="36"/>
      <c r="F255" s="36"/>
      <c r="G255" s="36"/>
      <c r="H255" s="36"/>
      <c r="I255" s="36"/>
      <c r="J255" s="36"/>
      <c r="K255" s="171"/>
      <c r="L255" s="44"/>
      <c r="U255" s="44"/>
      <c r="V255" s="44"/>
      <c r="W255" s="44"/>
      <c r="X255" s="44"/>
      <c r="Y255" s="44"/>
      <c r="Z255" s="44"/>
      <c r="AA255" s="44"/>
      <c r="AB255" s="89"/>
      <c r="AC255" s="89"/>
      <c r="AD255" s="89"/>
      <c r="AE255" s="89"/>
      <c r="AF255" s="89"/>
      <c r="AG255" s="89"/>
      <c r="CR255" s="44"/>
      <c r="CS255" s="44"/>
      <c r="CT255" s="44"/>
      <c r="CU255" s="48"/>
      <c r="CV255" s="142"/>
      <c r="CW255" s="44"/>
      <c r="CX255" s="83"/>
      <c r="CY255" s="83"/>
      <c r="CZ255" s="83"/>
      <c r="DA255" s="44"/>
      <c r="DB255" s="143"/>
      <c r="DC255" s="44"/>
      <c r="DD255" s="44"/>
      <c r="DE255" s="44"/>
      <c r="DF255" s="44"/>
      <c r="DG255" s="44"/>
      <c r="DH255" s="44"/>
      <c r="DI255" s="75"/>
      <c r="DJ255" s="57"/>
      <c r="DK255" s="57"/>
      <c r="DL255" s="57"/>
      <c r="DM255" s="87"/>
      <c r="DN255" s="99"/>
      <c r="DO255" s="57"/>
      <c r="DP255" s="57"/>
      <c r="DQ255" s="87"/>
      <c r="DR255" s="99"/>
      <c r="DS255" s="44"/>
      <c r="DT255" s="83"/>
      <c r="DU255" s="83"/>
      <c r="DV255" s="83"/>
      <c r="DW255" s="44"/>
      <c r="DX255" s="144"/>
      <c r="DY255" s="144"/>
      <c r="DZ255" s="144"/>
    </row>
    <row r="256" spans="1:255" x14ac:dyDescent="0.3">
      <c r="A256" s="47"/>
      <c r="B256" s="47"/>
      <c r="C256" s="47"/>
      <c r="D256" s="47"/>
      <c r="E256" s="47"/>
      <c r="F256" s="47"/>
      <c r="G256" s="47"/>
      <c r="H256" s="47"/>
      <c r="I256" s="47"/>
      <c r="J256" s="47"/>
      <c r="K256" s="47"/>
      <c r="CR256" s="44"/>
      <c r="CS256" s="44"/>
      <c r="CT256" s="44"/>
      <c r="CU256" s="48"/>
      <c r="CV256" s="142"/>
      <c r="CW256" s="44"/>
      <c r="CX256" s="83"/>
      <c r="CY256" s="83"/>
      <c r="CZ256" s="83"/>
      <c r="DA256" s="44"/>
      <c r="DB256" s="143"/>
      <c r="DC256" s="44"/>
      <c r="DD256" s="44"/>
      <c r="DE256" s="44"/>
      <c r="DF256" s="44"/>
      <c r="DG256" s="44"/>
      <c r="DH256" s="44"/>
      <c r="DI256" s="75"/>
      <c r="DJ256" s="57"/>
      <c r="DK256" s="57"/>
      <c r="DL256" s="57"/>
      <c r="DM256" s="87"/>
      <c r="DN256" s="99"/>
      <c r="DO256" s="57"/>
      <c r="DP256" s="57"/>
      <c r="DQ256" s="87"/>
      <c r="DR256" s="99"/>
      <c r="DS256" s="44"/>
      <c r="DT256" s="83"/>
      <c r="DU256" s="83"/>
      <c r="DV256" s="83"/>
      <c r="DW256" s="44"/>
      <c r="DX256" s="144"/>
      <c r="DY256" s="144"/>
      <c r="DZ256" s="144"/>
    </row>
    <row r="257" spans="1:130" x14ac:dyDescent="0.3">
      <c r="A257" s="150"/>
      <c r="B257" s="150"/>
      <c r="C257" s="150"/>
      <c r="D257" s="150"/>
      <c r="E257" s="150"/>
      <c r="F257" s="150"/>
      <c r="G257" s="150"/>
      <c r="H257" s="150"/>
      <c r="I257" s="150"/>
      <c r="J257" s="150"/>
      <c r="K257" s="150"/>
      <c r="CR257" s="44"/>
      <c r="CS257" s="44"/>
      <c r="CT257" s="44"/>
      <c r="CU257" s="48"/>
      <c r="CV257" s="142"/>
      <c r="CW257" s="44"/>
      <c r="CX257" s="83"/>
      <c r="CY257" s="83"/>
      <c r="CZ257" s="83"/>
      <c r="DA257" s="44"/>
      <c r="DB257" s="143"/>
      <c r="DC257" s="44"/>
      <c r="DD257" s="44"/>
      <c r="DE257" s="44"/>
      <c r="DF257" s="44"/>
      <c r="DG257" s="44"/>
      <c r="DH257" s="44"/>
      <c r="DI257" s="75"/>
      <c r="DJ257" s="57"/>
      <c r="DK257" s="57"/>
      <c r="DL257" s="57"/>
      <c r="DM257" s="87"/>
      <c r="DN257" s="99"/>
      <c r="DO257" s="57"/>
      <c r="DP257" s="57"/>
      <c r="DQ257" s="87"/>
      <c r="DR257" s="99"/>
      <c r="DS257" s="44"/>
      <c r="DT257" s="83"/>
      <c r="DU257" s="83"/>
      <c r="DV257" s="83"/>
      <c r="DW257" s="44"/>
      <c r="DX257" s="144"/>
      <c r="DY257" s="144"/>
      <c r="DZ257" s="144"/>
    </row>
    <row r="258" spans="1:130" x14ac:dyDescent="0.3">
      <c r="A258" s="150"/>
      <c r="B258" s="150"/>
      <c r="C258" s="150"/>
      <c r="D258" s="150"/>
      <c r="E258" s="150"/>
      <c r="F258" s="150"/>
      <c r="G258" s="150"/>
      <c r="H258" s="150"/>
      <c r="I258" s="150"/>
      <c r="J258" s="150"/>
      <c r="K258" s="150"/>
      <c r="CR258" s="44"/>
      <c r="CS258" s="44"/>
      <c r="CT258" s="44"/>
      <c r="CU258" s="48"/>
      <c r="CV258" s="142"/>
      <c r="CW258" s="44"/>
      <c r="CX258" s="83"/>
      <c r="CY258" s="83"/>
      <c r="CZ258" s="83"/>
      <c r="DA258" s="44"/>
      <c r="DB258" s="143"/>
      <c r="DC258" s="44"/>
      <c r="DD258" s="44"/>
      <c r="DE258" s="44"/>
      <c r="DF258" s="44"/>
      <c r="DG258" s="44"/>
      <c r="DH258" s="44"/>
      <c r="DI258" s="75"/>
      <c r="DJ258" s="57"/>
      <c r="DK258" s="57"/>
      <c r="DL258" s="57"/>
      <c r="DM258" s="87"/>
      <c r="DN258" s="99"/>
      <c r="DO258" s="57"/>
      <c r="DP258" s="57"/>
      <c r="DQ258" s="87"/>
      <c r="DR258" s="99"/>
      <c r="DS258" s="44"/>
      <c r="DT258" s="83"/>
      <c r="DU258" s="83"/>
      <c r="DV258" s="83"/>
      <c r="DW258" s="44"/>
      <c r="DX258" s="144"/>
      <c r="DY258" s="144"/>
      <c r="DZ258" s="144"/>
    </row>
    <row r="259" spans="1:130" x14ac:dyDescent="0.3">
      <c r="A259" s="150"/>
      <c r="B259" s="150"/>
      <c r="C259" s="150"/>
      <c r="D259" s="150"/>
      <c r="E259" s="150"/>
      <c r="F259" s="150"/>
      <c r="G259" s="150"/>
      <c r="H259" s="150"/>
      <c r="I259" s="150"/>
      <c r="J259" s="150"/>
      <c r="K259" s="150"/>
      <c r="CR259" s="44"/>
      <c r="CS259" s="44"/>
      <c r="CT259" s="44"/>
      <c r="CU259" s="48"/>
      <c r="CV259" s="142"/>
      <c r="CW259" s="44"/>
      <c r="CX259" s="83"/>
      <c r="CY259" s="83"/>
      <c r="CZ259" s="83"/>
      <c r="DA259" s="44"/>
      <c r="DB259" s="143"/>
      <c r="DC259" s="44"/>
      <c r="DD259" s="44"/>
      <c r="DE259" s="44"/>
      <c r="DF259" s="44"/>
      <c r="DG259" s="44"/>
      <c r="DH259" s="44"/>
      <c r="DI259" s="75"/>
      <c r="DJ259" s="57"/>
      <c r="DK259" s="57"/>
      <c r="DL259" s="57"/>
      <c r="DM259" s="87"/>
      <c r="DN259" s="99"/>
      <c r="DO259" s="57"/>
      <c r="DP259" s="57"/>
      <c r="DQ259" s="87"/>
      <c r="DR259" s="99"/>
      <c r="DS259" s="44"/>
      <c r="DT259" s="83"/>
      <c r="DU259" s="83"/>
      <c r="DV259" s="83"/>
      <c r="DW259" s="44"/>
      <c r="DX259" s="144"/>
      <c r="DY259" s="144"/>
      <c r="DZ259" s="144"/>
    </row>
    <row r="260" spans="1:130" x14ac:dyDescent="0.3">
      <c r="A260" s="150"/>
      <c r="B260" s="150"/>
      <c r="C260" s="150"/>
      <c r="D260" s="150"/>
      <c r="E260" s="150"/>
      <c r="F260" s="150"/>
      <c r="G260" s="150"/>
      <c r="H260" s="150"/>
      <c r="I260" s="150"/>
      <c r="J260" s="150"/>
      <c r="K260" s="150"/>
      <c r="CR260" s="44"/>
      <c r="CS260" s="44"/>
      <c r="CT260" s="44"/>
      <c r="CU260" s="48"/>
      <c r="CV260" s="142"/>
      <c r="CW260" s="44"/>
      <c r="CX260" s="83"/>
      <c r="CY260" s="83"/>
      <c r="CZ260" s="83"/>
      <c r="DA260" s="44"/>
      <c r="DB260" s="143"/>
      <c r="DC260" s="44"/>
      <c r="DD260" s="44"/>
      <c r="DE260" s="44"/>
      <c r="DF260" s="44"/>
      <c r="DG260" s="44"/>
      <c r="DH260" s="44"/>
      <c r="DI260" s="75"/>
      <c r="DJ260" s="57"/>
      <c r="DK260" s="57"/>
      <c r="DL260" s="57"/>
      <c r="DM260" s="87"/>
      <c r="DN260" s="99"/>
      <c r="DO260" s="57"/>
      <c r="DP260" s="57"/>
      <c r="DQ260" s="87"/>
      <c r="DR260" s="99"/>
      <c r="DS260" s="44"/>
      <c r="DT260" s="83"/>
      <c r="DU260" s="83"/>
      <c r="DV260" s="83"/>
      <c r="DW260" s="44"/>
      <c r="DX260" s="144"/>
      <c r="DY260" s="144"/>
      <c r="DZ260" s="144"/>
    </row>
    <row r="261" spans="1:130" x14ac:dyDescent="0.3">
      <c r="A261" s="150"/>
      <c r="B261" s="150"/>
      <c r="C261" s="150"/>
      <c r="D261" s="150"/>
      <c r="E261" s="150"/>
      <c r="F261" s="150"/>
      <c r="G261" s="150"/>
      <c r="H261" s="150"/>
      <c r="I261" s="150"/>
      <c r="J261" s="150"/>
      <c r="K261" s="150"/>
      <c r="CR261" s="44"/>
      <c r="CS261" s="44"/>
      <c r="CT261" s="44"/>
      <c r="CU261" s="48"/>
      <c r="CV261" s="142"/>
      <c r="CW261" s="44"/>
      <c r="CX261" s="83"/>
      <c r="CY261" s="83"/>
      <c r="CZ261" s="83"/>
      <c r="DA261" s="44"/>
      <c r="DB261" s="143"/>
      <c r="DC261" s="44"/>
      <c r="DD261" s="44"/>
      <c r="DE261" s="44"/>
      <c r="DF261" s="44"/>
      <c r="DG261" s="44"/>
      <c r="DH261" s="44"/>
      <c r="DI261" s="75"/>
      <c r="DJ261" s="57"/>
      <c r="DK261" s="57"/>
      <c r="DL261" s="57"/>
      <c r="DM261" s="87"/>
      <c r="DN261" s="99"/>
      <c r="DO261" s="57"/>
      <c r="DP261" s="57"/>
      <c r="DQ261" s="87"/>
      <c r="DR261" s="99"/>
      <c r="DS261" s="44"/>
      <c r="DT261" s="83"/>
      <c r="DU261" s="83"/>
      <c r="DV261" s="83"/>
      <c r="DW261" s="44"/>
      <c r="DX261" s="144"/>
      <c r="DY261" s="144"/>
      <c r="DZ261" s="144"/>
    </row>
    <row r="262" spans="1:130" x14ac:dyDescent="0.3">
      <c r="A262" s="150"/>
      <c r="B262" s="150"/>
      <c r="C262" s="150"/>
      <c r="D262" s="150"/>
      <c r="E262" s="150"/>
      <c r="F262" s="150"/>
      <c r="G262" s="150"/>
      <c r="H262" s="150"/>
      <c r="I262" s="150"/>
      <c r="J262" s="150"/>
      <c r="K262" s="150"/>
      <c r="CR262" s="44"/>
      <c r="CS262" s="44"/>
      <c r="CT262" s="44"/>
      <c r="CU262" s="48"/>
      <c r="CV262" s="142"/>
      <c r="CW262" s="44"/>
      <c r="CX262" s="83"/>
      <c r="CY262" s="83"/>
      <c r="CZ262" s="83"/>
      <c r="DA262" s="44"/>
      <c r="DB262" s="143"/>
      <c r="DC262" s="44"/>
      <c r="DD262" s="44"/>
      <c r="DE262" s="44"/>
      <c r="DF262" s="44"/>
      <c r="DG262" s="44"/>
      <c r="DH262" s="44"/>
      <c r="DI262" s="75"/>
      <c r="DJ262" s="57"/>
      <c r="DK262" s="57"/>
      <c r="DL262" s="57"/>
      <c r="DM262" s="87"/>
      <c r="DN262" s="99"/>
      <c r="DO262" s="57"/>
      <c r="DP262" s="57"/>
      <c r="DQ262" s="87"/>
      <c r="DR262" s="99"/>
      <c r="DS262" s="44"/>
      <c r="DT262" s="83"/>
      <c r="DU262" s="83"/>
      <c r="DV262" s="83"/>
      <c r="DW262" s="44"/>
      <c r="DX262" s="144"/>
      <c r="DY262" s="144"/>
      <c r="DZ262" s="144"/>
    </row>
    <row r="263" spans="1:130" x14ac:dyDescent="0.3">
      <c r="A263" s="150"/>
      <c r="B263" s="150"/>
      <c r="C263" s="150"/>
      <c r="D263" s="150"/>
      <c r="E263" s="150"/>
      <c r="F263" s="150"/>
      <c r="G263" s="150"/>
      <c r="H263" s="150"/>
      <c r="I263" s="150"/>
      <c r="J263" s="150"/>
      <c r="K263" s="150"/>
      <c r="CR263" s="44"/>
      <c r="CS263" s="44"/>
      <c r="CT263" s="44"/>
      <c r="CU263" s="48"/>
      <c r="CV263" s="142"/>
      <c r="CW263" s="44"/>
      <c r="CX263" s="83"/>
      <c r="CY263" s="83"/>
      <c r="CZ263" s="83"/>
      <c r="DA263" s="44"/>
      <c r="DB263" s="143"/>
      <c r="DC263" s="44"/>
      <c r="DD263" s="44"/>
      <c r="DE263" s="44"/>
      <c r="DF263" s="44"/>
      <c r="DG263" s="44"/>
      <c r="DH263" s="44"/>
      <c r="DI263" s="75"/>
      <c r="DJ263" s="57"/>
      <c r="DK263" s="57"/>
      <c r="DL263" s="57"/>
      <c r="DM263" s="87"/>
      <c r="DN263" s="99"/>
      <c r="DO263" s="57"/>
      <c r="DP263" s="57"/>
      <c r="DQ263" s="87"/>
      <c r="DR263" s="99"/>
      <c r="DS263" s="44"/>
      <c r="DT263" s="83"/>
      <c r="DU263" s="83"/>
      <c r="DV263" s="83"/>
      <c r="DW263" s="44"/>
      <c r="DX263" s="144"/>
      <c r="DY263" s="144"/>
      <c r="DZ263" s="144"/>
    </row>
    <row r="264" spans="1:130" x14ac:dyDescent="0.3">
      <c r="A264" s="150"/>
      <c r="B264" s="150"/>
      <c r="C264" s="150"/>
      <c r="D264" s="150"/>
      <c r="E264" s="150"/>
      <c r="F264" s="150"/>
      <c r="G264" s="150"/>
      <c r="H264" s="150"/>
      <c r="I264" s="150"/>
      <c r="J264" s="150"/>
      <c r="K264" s="150"/>
      <c r="CR264" s="44"/>
      <c r="CS264" s="44"/>
      <c r="CT264" s="44"/>
      <c r="CU264" s="48"/>
      <c r="CV264" s="142"/>
      <c r="CW264" s="44"/>
      <c r="CX264" s="83"/>
      <c r="CY264" s="83"/>
      <c r="CZ264" s="83"/>
      <c r="DA264" s="44"/>
      <c r="DB264" s="143"/>
      <c r="DC264" s="44"/>
      <c r="DD264" s="44"/>
      <c r="DE264" s="44"/>
      <c r="DF264" s="44"/>
      <c r="DG264" s="44"/>
      <c r="DH264" s="44"/>
      <c r="DI264" s="75"/>
      <c r="DJ264" s="57"/>
      <c r="DK264" s="57"/>
      <c r="DL264" s="57"/>
      <c r="DM264" s="87"/>
      <c r="DN264" s="99"/>
      <c r="DO264" s="57"/>
      <c r="DP264" s="57"/>
      <c r="DQ264" s="87"/>
      <c r="DR264" s="99"/>
      <c r="DS264" s="44"/>
      <c r="DT264" s="83"/>
      <c r="DU264" s="83"/>
      <c r="DV264" s="83"/>
      <c r="DW264" s="44"/>
      <c r="DX264" s="144"/>
      <c r="DY264" s="144"/>
      <c r="DZ264" s="144"/>
    </row>
    <row r="265" spans="1:130" x14ac:dyDescent="0.3">
      <c r="A265" s="150"/>
      <c r="B265" s="150"/>
      <c r="C265" s="150"/>
      <c r="D265" s="150"/>
      <c r="E265" s="150"/>
      <c r="F265" s="150"/>
      <c r="G265" s="150"/>
      <c r="H265" s="150"/>
      <c r="I265" s="150"/>
      <c r="J265" s="150"/>
      <c r="K265" s="150"/>
      <c r="CR265" s="44"/>
      <c r="CS265" s="44"/>
      <c r="CT265" s="44"/>
      <c r="CU265" s="48"/>
      <c r="CV265" s="142"/>
      <c r="CW265" s="44"/>
      <c r="CX265" s="83"/>
      <c r="CY265" s="83"/>
      <c r="CZ265" s="83"/>
      <c r="DA265" s="44"/>
      <c r="DB265" s="143"/>
      <c r="DC265" s="44"/>
      <c r="DD265" s="44"/>
      <c r="DE265" s="44"/>
      <c r="DF265" s="44"/>
      <c r="DG265" s="44"/>
      <c r="DH265" s="44"/>
      <c r="DI265" s="75"/>
      <c r="DJ265" s="57"/>
      <c r="DK265" s="57"/>
      <c r="DL265" s="57"/>
      <c r="DM265" s="87"/>
      <c r="DN265" s="99"/>
      <c r="DO265" s="57"/>
      <c r="DP265" s="57"/>
      <c r="DQ265" s="87"/>
      <c r="DR265" s="99"/>
      <c r="DS265" s="44"/>
      <c r="DT265" s="83"/>
      <c r="DU265" s="83"/>
      <c r="DV265" s="83"/>
      <c r="DW265" s="44"/>
      <c r="DX265" s="144"/>
      <c r="DY265" s="144"/>
      <c r="DZ265" s="144"/>
    </row>
    <row r="266" spans="1:130" x14ac:dyDescent="0.3">
      <c r="A266" s="150"/>
      <c r="B266" s="150"/>
      <c r="C266" s="150"/>
      <c r="D266" s="150"/>
      <c r="E266" s="150"/>
      <c r="F266" s="150"/>
      <c r="G266" s="150"/>
      <c r="H266" s="150"/>
      <c r="I266" s="150"/>
      <c r="J266" s="150"/>
      <c r="K266" s="150"/>
      <c r="CR266" s="44"/>
      <c r="CS266" s="44"/>
      <c r="CT266" s="44"/>
      <c r="CU266" s="48"/>
      <c r="CV266" s="142"/>
      <c r="CW266" s="44"/>
      <c r="CX266" s="83"/>
      <c r="CY266" s="83"/>
      <c r="CZ266" s="83"/>
      <c r="DA266" s="44"/>
      <c r="DB266" s="143"/>
      <c r="DC266" s="44"/>
      <c r="DD266" s="44"/>
      <c r="DE266" s="44"/>
      <c r="DF266" s="44"/>
      <c r="DG266" s="44"/>
      <c r="DH266" s="44"/>
      <c r="DI266" s="75"/>
      <c r="DJ266" s="57"/>
      <c r="DK266" s="57"/>
      <c r="DL266" s="57"/>
      <c r="DM266" s="87"/>
      <c r="DN266" s="99"/>
      <c r="DO266" s="57"/>
      <c r="DP266" s="57"/>
      <c r="DQ266" s="87"/>
      <c r="DR266" s="99"/>
      <c r="DS266" s="44"/>
      <c r="DT266" s="83"/>
      <c r="DU266" s="83"/>
      <c r="DV266" s="83"/>
      <c r="DW266" s="44"/>
      <c r="DX266" s="144"/>
      <c r="DY266" s="144"/>
      <c r="DZ266" s="144"/>
    </row>
    <row r="267" spans="1:130" x14ac:dyDescent="0.3">
      <c r="A267" s="150"/>
      <c r="B267" s="150"/>
      <c r="C267" s="150"/>
      <c r="D267" s="150"/>
      <c r="E267" s="150"/>
      <c r="F267" s="150"/>
      <c r="G267" s="150"/>
      <c r="H267" s="150"/>
      <c r="I267" s="150"/>
      <c r="J267" s="150"/>
      <c r="K267" s="150"/>
      <c r="CR267" s="44"/>
      <c r="CS267" s="44"/>
      <c r="CT267" s="44"/>
      <c r="CU267" s="48"/>
      <c r="CV267" s="142"/>
      <c r="CW267" s="44"/>
      <c r="CX267" s="83"/>
      <c r="CY267" s="83"/>
      <c r="CZ267" s="83"/>
      <c r="DA267" s="44"/>
      <c r="DB267" s="143"/>
      <c r="DC267" s="44"/>
      <c r="DD267" s="44"/>
      <c r="DE267" s="44"/>
      <c r="DF267" s="44"/>
      <c r="DG267" s="44"/>
      <c r="DH267" s="44"/>
      <c r="DI267" s="75"/>
      <c r="DJ267" s="57"/>
      <c r="DK267" s="57"/>
      <c r="DL267" s="57"/>
      <c r="DM267" s="87"/>
      <c r="DN267" s="99"/>
      <c r="DO267" s="57"/>
      <c r="DP267" s="57"/>
      <c r="DQ267" s="87"/>
      <c r="DR267" s="99"/>
      <c r="DS267" s="44"/>
      <c r="DT267" s="83"/>
      <c r="DU267" s="83"/>
      <c r="DV267" s="83"/>
      <c r="DW267" s="44"/>
      <c r="DX267" s="144"/>
      <c r="DY267" s="144"/>
      <c r="DZ267" s="144"/>
    </row>
    <row r="268" spans="1:130" x14ac:dyDescent="0.3">
      <c r="A268" s="150"/>
      <c r="B268" s="150"/>
      <c r="C268" s="150"/>
      <c r="D268" s="150"/>
      <c r="E268" s="150"/>
      <c r="F268" s="150"/>
      <c r="G268" s="150"/>
      <c r="H268" s="150"/>
      <c r="I268" s="150"/>
      <c r="J268" s="150"/>
      <c r="K268" s="150"/>
      <c r="CR268" s="44"/>
      <c r="CS268" s="44"/>
      <c r="CT268" s="44"/>
      <c r="CU268" s="48"/>
      <c r="CV268" s="142"/>
      <c r="CW268" s="44"/>
      <c r="CX268" s="83"/>
      <c r="CY268" s="83"/>
      <c r="CZ268" s="83"/>
      <c r="DA268" s="44"/>
      <c r="DB268" s="143"/>
      <c r="DC268" s="44"/>
      <c r="DD268" s="44"/>
      <c r="DE268" s="44"/>
      <c r="DF268" s="44"/>
      <c r="DG268" s="44"/>
      <c r="DH268" s="44"/>
      <c r="DI268" s="75"/>
      <c r="DJ268" s="57"/>
      <c r="DK268" s="57"/>
      <c r="DL268" s="57"/>
      <c r="DM268" s="87"/>
      <c r="DN268" s="99"/>
      <c r="DO268" s="57"/>
      <c r="DP268" s="57"/>
      <c r="DQ268" s="87"/>
      <c r="DR268" s="99"/>
      <c r="DS268" s="44"/>
      <c r="DT268" s="83"/>
      <c r="DU268" s="83"/>
      <c r="DV268" s="83"/>
      <c r="DW268" s="44"/>
      <c r="DX268" s="144"/>
      <c r="DY268" s="144"/>
      <c r="DZ268" s="144"/>
    </row>
    <row r="269" spans="1:130" x14ac:dyDescent="0.3">
      <c r="A269" s="150"/>
      <c r="B269" s="150"/>
      <c r="C269" s="150"/>
      <c r="D269" s="150"/>
      <c r="E269" s="150"/>
      <c r="F269" s="150"/>
      <c r="G269" s="150"/>
      <c r="H269" s="150"/>
      <c r="I269" s="150"/>
      <c r="J269" s="150"/>
      <c r="K269" s="150"/>
      <c r="CR269" s="44"/>
      <c r="CS269" s="44"/>
      <c r="CT269" s="44"/>
      <c r="CU269" s="48"/>
      <c r="CV269" s="142"/>
      <c r="CW269" s="44"/>
      <c r="CX269" s="83"/>
      <c r="CY269" s="83"/>
      <c r="CZ269" s="83"/>
      <c r="DA269" s="44"/>
      <c r="DB269" s="143"/>
      <c r="DC269" s="44"/>
      <c r="DD269" s="44"/>
      <c r="DE269" s="44"/>
      <c r="DF269" s="44"/>
      <c r="DG269" s="44"/>
      <c r="DH269" s="44"/>
      <c r="DI269" s="75"/>
      <c r="DJ269" s="57"/>
      <c r="DK269" s="57"/>
      <c r="DL269" s="57"/>
      <c r="DM269" s="87"/>
      <c r="DN269" s="99"/>
      <c r="DO269" s="57"/>
      <c r="DP269" s="57"/>
      <c r="DQ269" s="87"/>
      <c r="DR269" s="99"/>
      <c r="DS269" s="44"/>
      <c r="DT269" s="83"/>
      <c r="DU269" s="83"/>
      <c r="DV269" s="83"/>
      <c r="DW269" s="44"/>
      <c r="DX269" s="144"/>
      <c r="DY269" s="144"/>
      <c r="DZ269" s="144"/>
    </row>
    <row r="270" spans="1:130" x14ac:dyDescent="0.3">
      <c r="A270" s="150"/>
      <c r="B270" s="150"/>
      <c r="C270" s="150"/>
      <c r="D270" s="150"/>
      <c r="E270" s="150"/>
      <c r="F270" s="150"/>
      <c r="G270" s="150"/>
      <c r="H270" s="150"/>
      <c r="I270" s="150"/>
      <c r="J270" s="150"/>
      <c r="K270" s="150"/>
      <c r="CR270" s="44"/>
      <c r="CS270" s="44"/>
      <c r="CT270" s="44"/>
      <c r="CU270" s="48"/>
      <c r="CV270" s="142"/>
      <c r="CW270" s="44"/>
      <c r="CX270" s="83"/>
      <c r="CY270" s="83"/>
      <c r="CZ270" s="83"/>
      <c r="DA270" s="44"/>
      <c r="DB270" s="143"/>
      <c r="DC270" s="44"/>
      <c r="DD270" s="44"/>
      <c r="DE270" s="44"/>
      <c r="DF270" s="44"/>
      <c r="DG270" s="44"/>
      <c r="DH270" s="44"/>
      <c r="DI270" s="75"/>
      <c r="DJ270" s="57"/>
      <c r="DK270" s="57"/>
      <c r="DL270" s="57"/>
      <c r="DM270" s="87"/>
      <c r="DN270" s="99"/>
      <c r="DO270" s="57"/>
      <c r="DP270" s="57"/>
      <c r="DQ270" s="87"/>
      <c r="DR270" s="99"/>
      <c r="DS270" s="44"/>
      <c r="DT270" s="83"/>
      <c r="DU270" s="83"/>
      <c r="DV270" s="83"/>
      <c r="DW270" s="44"/>
      <c r="DX270" s="144"/>
      <c r="DY270" s="144"/>
      <c r="DZ270" s="144"/>
    </row>
    <row r="271" spans="1:130" x14ac:dyDescent="0.3">
      <c r="A271" s="150"/>
      <c r="B271" s="150"/>
      <c r="C271" s="150"/>
      <c r="D271" s="150"/>
      <c r="E271" s="150"/>
      <c r="F271" s="150"/>
      <c r="G271" s="150"/>
      <c r="H271" s="150"/>
      <c r="I271" s="150"/>
      <c r="J271" s="150"/>
      <c r="K271" s="150"/>
      <c r="CR271" s="44"/>
      <c r="CS271" s="44"/>
      <c r="CT271" s="44"/>
      <c r="CU271" s="48"/>
      <c r="CV271" s="142"/>
      <c r="CW271" s="44"/>
      <c r="CX271" s="83"/>
      <c r="CY271" s="83"/>
      <c r="CZ271" s="83"/>
      <c r="DA271" s="44"/>
      <c r="DB271" s="143"/>
      <c r="DC271" s="44"/>
      <c r="DD271" s="44"/>
      <c r="DE271" s="44"/>
      <c r="DF271" s="44"/>
      <c r="DG271" s="44"/>
      <c r="DH271" s="44"/>
      <c r="DI271" s="75"/>
      <c r="DJ271" s="57"/>
      <c r="DK271" s="57"/>
      <c r="DL271" s="57"/>
      <c r="DM271" s="87"/>
      <c r="DN271" s="99"/>
      <c r="DO271" s="57"/>
      <c r="DP271" s="57"/>
      <c r="DQ271" s="87"/>
      <c r="DR271" s="99"/>
      <c r="DS271" s="44"/>
      <c r="DT271" s="83"/>
      <c r="DU271" s="83"/>
      <c r="DV271" s="83"/>
      <c r="DW271" s="44"/>
      <c r="DX271" s="144"/>
      <c r="DY271" s="144"/>
      <c r="DZ271" s="144"/>
    </row>
    <row r="272" spans="1:130" x14ac:dyDescent="0.3">
      <c r="A272" s="150"/>
      <c r="B272" s="150"/>
      <c r="C272" s="150"/>
      <c r="D272" s="150"/>
      <c r="E272" s="150"/>
      <c r="F272" s="150"/>
      <c r="G272" s="150"/>
      <c r="H272" s="150"/>
      <c r="I272" s="150"/>
      <c r="J272" s="150"/>
      <c r="K272" s="150"/>
      <c r="CR272" s="44"/>
      <c r="CS272" s="44"/>
      <c r="CT272" s="44"/>
      <c r="CU272" s="48"/>
      <c r="CV272" s="142"/>
      <c r="CW272" s="44"/>
      <c r="CX272" s="83"/>
      <c r="CY272" s="83"/>
      <c r="CZ272" s="83"/>
      <c r="DA272" s="44"/>
      <c r="DB272" s="143"/>
      <c r="DC272" s="44"/>
      <c r="DD272" s="44"/>
      <c r="DE272" s="44"/>
      <c r="DF272" s="44"/>
      <c r="DG272" s="44"/>
      <c r="DH272" s="44"/>
      <c r="DI272" s="75"/>
      <c r="DJ272" s="57"/>
      <c r="DK272" s="57"/>
      <c r="DL272" s="57"/>
      <c r="DM272" s="87"/>
      <c r="DN272" s="99"/>
      <c r="DO272" s="57"/>
      <c r="DP272" s="57"/>
      <c r="DQ272" s="87"/>
      <c r="DR272" s="99"/>
      <c r="DS272" s="44"/>
      <c r="DT272" s="83"/>
      <c r="DU272" s="83"/>
      <c r="DV272" s="83"/>
      <c r="DW272" s="44"/>
      <c r="DX272" s="144"/>
      <c r="DY272" s="144"/>
      <c r="DZ272" s="144"/>
    </row>
    <row r="273" spans="1:130" x14ac:dyDescent="0.3">
      <c r="A273" s="150"/>
      <c r="B273" s="150"/>
      <c r="C273" s="150"/>
      <c r="D273" s="150"/>
      <c r="E273" s="150"/>
      <c r="F273" s="150"/>
      <c r="G273" s="150"/>
      <c r="H273" s="150"/>
      <c r="I273" s="150"/>
      <c r="J273" s="150"/>
      <c r="K273" s="150"/>
      <c r="AB273" s="36"/>
      <c r="AC273" s="36"/>
      <c r="AD273" s="36"/>
      <c r="AE273" s="36"/>
      <c r="AF273" s="36"/>
      <c r="AG273" s="36"/>
      <c r="AH273" s="36"/>
      <c r="AI273" s="36"/>
      <c r="CR273" s="44"/>
      <c r="CS273" s="44"/>
      <c r="CT273" s="44"/>
      <c r="CU273" s="48"/>
      <c r="CV273" s="142"/>
      <c r="CW273" s="44"/>
      <c r="CX273" s="83"/>
      <c r="CY273" s="83"/>
      <c r="CZ273" s="83"/>
      <c r="DA273" s="44"/>
      <c r="DB273" s="143"/>
      <c r="DC273" s="44"/>
      <c r="DD273" s="44"/>
      <c r="DE273" s="44"/>
      <c r="DF273" s="44"/>
      <c r="DG273" s="44"/>
      <c r="DH273" s="44"/>
      <c r="DI273" s="75"/>
      <c r="DJ273" s="57"/>
      <c r="DK273" s="57"/>
      <c r="DL273" s="57"/>
      <c r="DM273" s="87"/>
      <c r="DN273" s="99"/>
      <c r="DO273" s="57"/>
      <c r="DP273" s="57"/>
      <c r="DQ273" s="87"/>
      <c r="DR273" s="99"/>
      <c r="DS273" s="44"/>
      <c r="DT273" s="83"/>
      <c r="DU273" s="83"/>
      <c r="DV273" s="83"/>
      <c r="DW273" s="44"/>
      <c r="DX273" s="144"/>
      <c r="DY273" s="144"/>
      <c r="DZ273" s="144"/>
    </row>
    <row r="274" spans="1:130" x14ac:dyDescent="0.3">
      <c r="A274" s="150"/>
      <c r="B274" s="150"/>
      <c r="C274" s="150"/>
      <c r="D274" s="150"/>
      <c r="E274" s="150"/>
      <c r="F274" s="150"/>
      <c r="G274" s="150"/>
      <c r="H274" s="150"/>
      <c r="I274" s="150"/>
      <c r="J274" s="150"/>
      <c r="K274" s="150"/>
      <c r="AB274" s="36"/>
      <c r="AC274" s="36"/>
      <c r="AD274" s="36"/>
      <c r="AE274" s="36"/>
      <c r="AF274" s="36"/>
      <c r="AG274" s="36"/>
      <c r="AH274" s="36"/>
      <c r="AI274" s="36"/>
      <c r="CR274" s="44"/>
      <c r="CS274" s="44"/>
      <c r="CT274" s="44"/>
      <c r="CU274" s="48"/>
      <c r="CV274" s="142"/>
      <c r="CW274" s="44"/>
      <c r="CX274" s="83"/>
      <c r="CY274" s="83"/>
      <c r="CZ274" s="83"/>
      <c r="DA274" s="44"/>
      <c r="DB274" s="143"/>
      <c r="DC274" s="44"/>
      <c r="DD274" s="44"/>
      <c r="DE274" s="44"/>
      <c r="DF274" s="44"/>
      <c r="DG274" s="44"/>
      <c r="DH274" s="44"/>
      <c r="DI274" s="75"/>
      <c r="DJ274" s="57"/>
      <c r="DK274" s="57"/>
      <c r="DL274" s="57"/>
      <c r="DM274" s="87"/>
      <c r="DN274" s="99"/>
      <c r="DO274" s="57"/>
      <c r="DP274" s="57"/>
      <c r="DQ274" s="87"/>
      <c r="DR274" s="99"/>
      <c r="DS274" s="44"/>
      <c r="DT274" s="83"/>
      <c r="DU274" s="83"/>
      <c r="DV274" s="83"/>
      <c r="DW274" s="44"/>
      <c r="DX274" s="144"/>
      <c r="DY274" s="144"/>
      <c r="DZ274" s="144"/>
    </row>
    <row r="275" spans="1:130" x14ac:dyDescent="0.3">
      <c r="A275" s="150"/>
      <c r="B275" s="150"/>
      <c r="C275" s="193"/>
      <c r="D275" s="150"/>
      <c r="E275" s="150"/>
      <c r="F275" s="193"/>
      <c r="G275" s="150"/>
      <c r="H275" s="150"/>
      <c r="I275" s="150"/>
      <c r="J275" s="150"/>
      <c r="K275" s="150"/>
      <c r="AB275" s="36"/>
      <c r="AC275" s="36"/>
      <c r="AD275" s="36"/>
      <c r="AE275" s="36"/>
      <c r="AF275" s="36"/>
      <c r="AG275" s="36"/>
      <c r="AH275" s="36"/>
      <c r="AI275" s="36"/>
      <c r="CR275" s="44"/>
      <c r="CS275" s="44"/>
      <c r="CT275" s="44"/>
      <c r="CU275" s="48"/>
      <c r="CV275" s="142"/>
      <c r="CW275" s="44"/>
      <c r="CX275" s="83"/>
      <c r="CY275" s="83"/>
      <c r="CZ275" s="83"/>
      <c r="DA275" s="44"/>
      <c r="DB275" s="143"/>
      <c r="DC275" s="44"/>
      <c r="DD275" s="44"/>
      <c r="DE275" s="44"/>
      <c r="DF275" s="44"/>
      <c r="DG275" s="44"/>
      <c r="DH275" s="44"/>
      <c r="DI275" s="75"/>
      <c r="DJ275" s="57"/>
      <c r="DK275" s="57"/>
      <c r="DL275" s="57"/>
      <c r="DM275" s="87"/>
      <c r="DN275" s="99"/>
      <c r="DO275" s="57"/>
      <c r="DP275" s="57"/>
      <c r="DQ275" s="87"/>
      <c r="DR275" s="99"/>
      <c r="DS275" s="44"/>
      <c r="DT275" s="83"/>
      <c r="DU275" s="83"/>
      <c r="DV275" s="83"/>
      <c r="DW275" s="44"/>
      <c r="DX275" s="144"/>
      <c r="DY275" s="144"/>
      <c r="DZ275" s="144"/>
    </row>
    <row r="276" spans="1:130" x14ac:dyDescent="0.3">
      <c r="A276" s="150"/>
      <c r="B276" s="150"/>
      <c r="C276" s="150"/>
      <c r="D276" s="150"/>
      <c r="E276" s="150"/>
      <c r="F276" s="150"/>
      <c r="G276" s="150"/>
      <c r="H276" s="150"/>
      <c r="I276" s="150"/>
      <c r="J276" s="150"/>
      <c r="K276" s="150"/>
      <c r="AB276" s="36"/>
      <c r="AC276" s="122"/>
      <c r="AD276" s="122"/>
      <c r="AE276" s="122"/>
      <c r="AF276" s="122"/>
      <c r="AG276" s="122"/>
      <c r="AH276" s="122"/>
      <c r="AI276" s="36"/>
      <c r="CR276" s="44"/>
      <c r="CS276" s="44"/>
      <c r="CT276" s="44"/>
      <c r="CU276" s="48"/>
      <c r="CV276" s="142"/>
      <c r="CW276" s="44"/>
      <c r="CX276" s="83"/>
      <c r="CY276" s="83"/>
      <c r="CZ276" s="83"/>
      <c r="DA276" s="44"/>
      <c r="DB276" s="143"/>
      <c r="DC276" s="44"/>
      <c r="DD276" s="44"/>
      <c r="DE276" s="44"/>
      <c r="DF276" s="44"/>
      <c r="DG276" s="44"/>
      <c r="DH276" s="44"/>
      <c r="DI276" s="75"/>
      <c r="DJ276" s="57"/>
      <c r="DK276" s="57"/>
      <c r="DL276" s="57"/>
      <c r="DM276" s="87"/>
      <c r="DN276" s="99"/>
      <c r="DO276" s="57"/>
      <c r="DP276" s="57"/>
      <c r="DQ276" s="87"/>
      <c r="DR276" s="99"/>
      <c r="DS276" s="44"/>
      <c r="DT276" s="83"/>
      <c r="DU276" s="83"/>
      <c r="DV276" s="83"/>
      <c r="DW276" s="44"/>
      <c r="DX276" s="144"/>
      <c r="DY276" s="144"/>
      <c r="DZ276" s="144"/>
    </row>
    <row r="277" spans="1:130" x14ac:dyDescent="0.3">
      <c r="A277" s="150"/>
      <c r="B277" s="150"/>
      <c r="C277" s="150"/>
      <c r="D277" s="150"/>
      <c r="E277" s="150"/>
      <c r="F277" s="150"/>
      <c r="G277" s="150"/>
      <c r="H277" s="150"/>
      <c r="I277" s="150"/>
      <c r="J277" s="150"/>
      <c r="K277" s="150"/>
      <c r="AB277" s="36"/>
      <c r="AC277" s="122"/>
      <c r="AD277" s="122"/>
      <c r="AE277" s="122"/>
      <c r="AF277" s="122"/>
      <c r="AG277" s="122"/>
      <c r="AH277" s="122"/>
      <c r="AI277" s="36"/>
      <c r="CR277" s="44"/>
      <c r="CS277" s="44"/>
      <c r="CT277" s="44"/>
      <c r="CU277" s="48"/>
      <c r="CV277" s="142"/>
      <c r="CW277" s="44"/>
      <c r="CX277" s="83"/>
      <c r="CY277" s="83"/>
      <c r="CZ277" s="83"/>
      <c r="DA277" s="44"/>
      <c r="DB277" s="143"/>
      <c r="DC277" s="44"/>
      <c r="DD277" s="44"/>
      <c r="DE277" s="44"/>
      <c r="DF277" s="44"/>
      <c r="DG277" s="44"/>
      <c r="DH277" s="44"/>
      <c r="DI277" s="75"/>
      <c r="DJ277" s="57"/>
      <c r="DK277" s="57"/>
      <c r="DL277" s="57"/>
      <c r="DM277" s="87"/>
      <c r="DN277" s="99"/>
      <c r="DO277" s="57"/>
      <c r="DP277" s="57"/>
      <c r="DQ277" s="87"/>
      <c r="DR277" s="99"/>
      <c r="DS277" s="44"/>
      <c r="DT277" s="83"/>
      <c r="DU277" s="83"/>
      <c r="DV277" s="83"/>
      <c r="DW277" s="44"/>
      <c r="DX277" s="144"/>
      <c r="DY277" s="144"/>
      <c r="DZ277" s="144"/>
    </row>
    <row r="278" spans="1:130" x14ac:dyDescent="0.3">
      <c r="A278" s="150"/>
      <c r="B278" s="150"/>
      <c r="C278" s="150"/>
      <c r="D278" s="150"/>
      <c r="E278" s="150"/>
      <c r="F278" s="150"/>
      <c r="G278" s="150"/>
      <c r="H278" s="150"/>
      <c r="I278" s="150"/>
      <c r="J278" s="150"/>
      <c r="K278" s="150"/>
      <c r="AB278" s="36"/>
      <c r="AC278" s="122"/>
      <c r="AD278" s="122"/>
      <c r="AE278" s="122"/>
      <c r="AF278" s="122"/>
      <c r="AG278" s="122"/>
      <c r="AH278" s="122"/>
      <c r="AI278" s="36"/>
      <c r="CR278" s="44"/>
      <c r="CS278" s="44"/>
      <c r="CT278" s="44"/>
      <c r="CU278" s="48"/>
      <c r="CV278" s="142"/>
      <c r="CW278" s="44"/>
      <c r="CX278" s="83"/>
      <c r="CY278" s="83"/>
      <c r="CZ278" s="83"/>
      <c r="DA278" s="44"/>
      <c r="DB278" s="143"/>
      <c r="DC278" s="44"/>
      <c r="DD278" s="44"/>
      <c r="DE278" s="44"/>
      <c r="DF278" s="44"/>
      <c r="DG278" s="44"/>
      <c r="DH278" s="44"/>
      <c r="DI278" s="75"/>
      <c r="DJ278" s="57"/>
      <c r="DK278" s="57"/>
      <c r="DL278" s="57"/>
      <c r="DM278" s="87"/>
      <c r="DN278" s="99"/>
      <c r="DO278" s="57"/>
      <c r="DP278" s="57"/>
      <c r="DQ278" s="87"/>
      <c r="DR278" s="99"/>
      <c r="DS278" s="44"/>
      <c r="DT278" s="83"/>
      <c r="DU278" s="83"/>
      <c r="DV278" s="83"/>
      <c r="DW278" s="44"/>
      <c r="DX278" s="144"/>
      <c r="DY278" s="144"/>
      <c r="DZ278" s="144"/>
    </row>
    <row r="279" spans="1:130" x14ac:dyDescent="0.3">
      <c r="A279" s="150"/>
      <c r="B279" s="150"/>
      <c r="C279" s="150"/>
      <c r="D279" s="150"/>
      <c r="E279" s="150"/>
      <c r="F279" s="150"/>
      <c r="G279" s="150"/>
      <c r="H279" s="150"/>
      <c r="I279" s="150"/>
      <c r="J279" s="150"/>
      <c r="K279" s="150"/>
      <c r="AB279" s="36"/>
      <c r="AC279" s="122"/>
      <c r="AD279" s="122"/>
      <c r="AE279" s="122"/>
      <c r="AF279" s="122"/>
      <c r="AG279" s="122"/>
      <c r="AH279" s="122"/>
      <c r="AI279" s="36"/>
      <c r="CR279" s="44"/>
      <c r="CS279" s="44"/>
      <c r="CT279" s="44"/>
      <c r="CU279" s="48"/>
      <c r="CV279" s="142"/>
      <c r="CW279" s="44"/>
      <c r="CX279" s="83"/>
      <c r="CY279" s="83"/>
      <c r="CZ279" s="83"/>
      <c r="DA279" s="44"/>
      <c r="DB279" s="143"/>
      <c r="DC279" s="44"/>
      <c r="DD279" s="44"/>
      <c r="DE279" s="44"/>
      <c r="DF279" s="44"/>
      <c r="DG279" s="44"/>
      <c r="DH279" s="44"/>
      <c r="DI279" s="75"/>
      <c r="DJ279" s="57"/>
      <c r="DK279" s="57"/>
      <c r="DL279" s="57"/>
      <c r="DM279" s="87"/>
      <c r="DN279" s="99"/>
      <c r="DO279" s="57"/>
      <c r="DP279" s="57"/>
      <c r="DQ279" s="87"/>
      <c r="DR279" s="99"/>
      <c r="DS279" s="44"/>
      <c r="DT279" s="83"/>
      <c r="DU279" s="83"/>
      <c r="DV279" s="83"/>
      <c r="DW279" s="44"/>
      <c r="DX279" s="144"/>
      <c r="DY279" s="144"/>
      <c r="DZ279" s="144"/>
    </row>
    <row r="280" spans="1:130" x14ac:dyDescent="0.3">
      <c r="A280" s="150"/>
      <c r="B280" s="150"/>
      <c r="C280" s="150"/>
      <c r="D280" s="150"/>
      <c r="E280" s="150"/>
      <c r="F280" s="150"/>
      <c r="G280" s="150"/>
      <c r="H280" s="150"/>
      <c r="I280" s="150"/>
      <c r="J280" s="150"/>
      <c r="K280" s="150"/>
      <c r="AB280" s="36"/>
      <c r="AC280" s="122"/>
      <c r="AD280" s="122"/>
      <c r="AE280" s="122"/>
      <c r="AF280" s="122"/>
      <c r="AG280" s="122"/>
      <c r="AH280" s="122"/>
      <c r="AI280" s="36"/>
      <c r="CR280" s="44"/>
      <c r="CS280" s="44"/>
      <c r="CT280" s="44"/>
      <c r="CU280" s="48"/>
      <c r="CV280" s="142"/>
      <c r="CW280" s="44"/>
      <c r="CX280" s="83"/>
      <c r="CY280" s="83"/>
      <c r="CZ280" s="83"/>
      <c r="DA280" s="44"/>
      <c r="DB280" s="143"/>
      <c r="DC280" s="44"/>
      <c r="DD280" s="44"/>
      <c r="DE280" s="44"/>
      <c r="DF280" s="44"/>
      <c r="DG280" s="44"/>
      <c r="DH280" s="44"/>
      <c r="DI280" s="75"/>
      <c r="DJ280" s="57"/>
      <c r="DK280" s="57"/>
      <c r="DL280" s="57"/>
      <c r="DM280" s="87"/>
      <c r="DN280" s="99"/>
      <c r="DO280" s="57"/>
      <c r="DP280" s="57"/>
      <c r="DQ280" s="87"/>
      <c r="DR280" s="99"/>
      <c r="DS280" s="44"/>
      <c r="DT280" s="83"/>
      <c r="DU280" s="83"/>
      <c r="DV280" s="83"/>
      <c r="DW280" s="44"/>
      <c r="DX280" s="144"/>
      <c r="DY280" s="144"/>
      <c r="DZ280" s="144"/>
    </row>
    <row r="281" spans="1:130" x14ac:dyDescent="0.3">
      <c r="A281" s="150"/>
      <c r="B281" s="150"/>
      <c r="C281" s="150"/>
      <c r="D281" s="150"/>
      <c r="E281" s="150"/>
      <c r="F281" s="150"/>
      <c r="G281" s="150"/>
      <c r="H281" s="150"/>
      <c r="I281" s="150"/>
      <c r="J281" s="150"/>
      <c r="K281" s="150"/>
      <c r="AB281" s="36"/>
      <c r="AC281" s="122"/>
      <c r="AD281" s="122"/>
      <c r="AE281" s="122"/>
      <c r="AF281" s="122"/>
      <c r="AG281" s="122"/>
      <c r="AH281" s="122"/>
      <c r="AI281" s="36"/>
      <c r="CR281" s="44"/>
      <c r="CS281" s="44"/>
      <c r="CT281" s="44"/>
      <c r="CU281" s="48"/>
      <c r="CV281" s="142"/>
      <c r="CW281" s="44"/>
      <c r="CX281" s="83"/>
      <c r="CY281" s="83"/>
      <c r="CZ281" s="83"/>
      <c r="DA281" s="44"/>
      <c r="DB281" s="143"/>
      <c r="DC281" s="44"/>
      <c r="DD281" s="44"/>
      <c r="DE281" s="44"/>
      <c r="DF281" s="44"/>
      <c r="DG281" s="44"/>
      <c r="DH281" s="44"/>
      <c r="DI281" s="75"/>
      <c r="DJ281" s="57"/>
      <c r="DK281" s="57"/>
      <c r="DL281" s="57"/>
      <c r="DM281" s="87"/>
      <c r="DN281" s="99"/>
      <c r="DO281" s="57"/>
      <c r="DP281" s="57"/>
      <c r="DQ281" s="87"/>
      <c r="DR281" s="99"/>
      <c r="DS281" s="44"/>
      <c r="DT281" s="83"/>
      <c r="DU281" s="83"/>
      <c r="DV281" s="83"/>
      <c r="DW281" s="44"/>
      <c r="DX281" s="144"/>
      <c r="DY281" s="144"/>
      <c r="DZ281" s="144"/>
    </row>
    <row r="282" spans="1:130" x14ac:dyDescent="0.3">
      <c r="A282" s="150"/>
      <c r="B282" s="150"/>
      <c r="C282" s="150"/>
      <c r="D282" s="150"/>
      <c r="E282" s="150"/>
      <c r="F282" s="150"/>
      <c r="G282" s="150"/>
      <c r="H282" s="150"/>
      <c r="I282" s="150"/>
      <c r="J282" s="150"/>
      <c r="K282" s="150"/>
      <c r="AB282" s="36"/>
      <c r="AC282" s="122"/>
      <c r="AD282" s="122"/>
      <c r="AE282" s="122"/>
      <c r="AF282" s="122"/>
      <c r="AG282" s="122"/>
      <c r="AH282" s="122"/>
      <c r="AI282" s="36"/>
      <c r="CR282" s="44"/>
      <c r="CS282" s="44"/>
      <c r="CT282" s="44"/>
      <c r="CU282" s="48"/>
      <c r="CV282" s="142"/>
      <c r="CW282" s="44"/>
      <c r="CX282" s="83"/>
      <c r="CY282" s="83"/>
      <c r="CZ282" s="83"/>
      <c r="DA282" s="44"/>
      <c r="DB282" s="143"/>
      <c r="DC282" s="44"/>
      <c r="DD282" s="44"/>
      <c r="DE282" s="44"/>
      <c r="DF282" s="44"/>
      <c r="DG282" s="44"/>
      <c r="DH282" s="44"/>
      <c r="DI282" s="75"/>
      <c r="DJ282" s="57"/>
      <c r="DK282" s="57"/>
      <c r="DL282" s="57"/>
      <c r="DM282" s="87"/>
      <c r="DN282" s="99"/>
      <c r="DO282" s="57"/>
      <c r="DP282" s="57"/>
      <c r="DQ282" s="87"/>
      <c r="DR282" s="99"/>
      <c r="DS282" s="44"/>
      <c r="DT282" s="83"/>
      <c r="DU282" s="83"/>
      <c r="DV282" s="83"/>
      <c r="DW282" s="44"/>
      <c r="DX282" s="144"/>
      <c r="DY282" s="144"/>
      <c r="DZ282" s="144"/>
    </row>
    <row r="283" spans="1:130" x14ac:dyDescent="0.3">
      <c r="A283" s="150"/>
      <c r="B283" s="150"/>
      <c r="C283" s="150"/>
      <c r="D283" s="150"/>
      <c r="E283" s="150"/>
      <c r="F283" s="150"/>
      <c r="G283" s="150"/>
      <c r="H283" s="150"/>
      <c r="I283" s="150"/>
      <c r="J283" s="150"/>
      <c r="K283" s="150"/>
      <c r="AB283" s="36"/>
      <c r="AC283" s="122"/>
      <c r="AD283" s="122"/>
      <c r="AE283" s="122"/>
      <c r="AF283" s="122"/>
      <c r="AG283" s="122"/>
      <c r="AH283" s="122"/>
      <c r="AI283" s="36"/>
      <c r="CR283" s="44"/>
      <c r="CS283" s="44"/>
      <c r="CT283" s="44"/>
      <c r="CU283" s="48"/>
      <c r="CV283" s="142"/>
      <c r="CW283" s="44"/>
      <c r="CX283" s="83"/>
      <c r="CY283" s="83"/>
      <c r="CZ283" s="83"/>
      <c r="DA283" s="44"/>
      <c r="DB283" s="143"/>
      <c r="DC283" s="44"/>
      <c r="DD283" s="44"/>
      <c r="DE283" s="44"/>
      <c r="DF283" s="44"/>
      <c r="DG283" s="44"/>
      <c r="DH283" s="44"/>
      <c r="DI283" s="75"/>
      <c r="DJ283" s="57"/>
      <c r="DK283" s="57"/>
      <c r="DL283" s="57"/>
      <c r="DM283" s="87"/>
      <c r="DN283" s="99"/>
      <c r="DO283" s="57"/>
      <c r="DP283" s="57"/>
      <c r="DQ283" s="87"/>
      <c r="DR283" s="99"/>
      <c r="DS283" s="44"/>
      <c r="DT283" s="83"/>
      <c r="DU283" s="83"/>
      <c r="DV283" s="83"/>
      <c r="DW283" s="44"/>
      <c r="DX283" s="144"/>
      <c r="DY283" s="144"/>
      <c r="DZ283" s="144"/>
    </row>
    <row r="284" spans="1:130" x14ac:dyDescent="0.3">
      <c r="A284" s="150"/>
      <c r="B284" s="150"/>
      <c r="C284" s="150"/>
      <c r="D284" s="150"/>
      <c r="E284" s="150"/>
      <c r="F284" s="150"/>
      <c r="G284" s="150"/>
      <c r="H284" s="150"/>
      <c r="I284" s="150"/>
      <c r="J284" s="150"/>
      <c r="K284" s="150"/>
      <c r="AB284" s="36"/>
      <c r="AC284" s="122"/>
      <c r="AD284" s="122"/>
      <c r="AE284" s="122"/>
      <c r="AF284" s="122"/>
      <c r="AG284" s="122"/>
      <c r="AH284" s="122"/>
      <c r="AI284" s="36"/>
      <c r="CR284" s="44"/>
      <c r="CS284" s="44"/>
      <c r="CT284" s="44"/>
      <c r="CU284" s="48"/>
      <c r="CV284" s="142"/>
      <c r="CW284" s="44"/>
      <c r="CX284" s="83"/>
      <c r="CY284" s="83"/>
      <c r="CZ284" s="83"/>
      <c r="DA284" s="44"/>
      <c r="DB284" s="143"/>
      <c r="DC284" s="44"/>
      <c r="DD284" s="44"/>
      <c r="DE284" s="44"/>
      <c r="DF284" s="44"/>
      <c r="DG284" s="44"/>
      <c r="DH284" s="44"/>
      <c r="DI284" s="75"/>
      <c r="DJ284" s="57"/>
      <c r="DK284" s="57"/>
      <c r="DL284" s="57"/>
      <c r="DM284" s="87"/>
      <c r="DN284" s="99"/>
      <c r="DO284" s="57"/>
      <c r="DP284" s="57"/>
      <c r="DQ284" s="87"/>
      <c r="DR284" s="99"/>
      <c r="DS284" s="44"/>
      <c r="DT284" s="83"/>
      <c r="DU284" s="83"/>
      <c r="DV284" s="83"/>
      <c r="DW284" s="44"/>
      <c r="DX284" s="144"/>
      <c r="DY284" s="144"/>
      <c r="DZ284" s="144"/>
    </row>
    <row r="285" spans="1:130" x14ac:dyDescent="0.3">
      <c r="A285" s="150"/>
      <c r="B285" s="150"/>
      <c r="C285" s="150"/>
      <c r="D285" s="150"/>
      <c r="E285" s="150"/>
      <c r="F285" s="150"/>
      <c r="G285" s="150"/>
      <c r="H285" s="150"/>
      <c r="I285" s="150"/>
      <c r="J285" s="150"/>
      <c r="K285" s="150"/>
      <c r="AB285" s="36"/>
      <c r="AC285" s="122"/>
      <c r="AD285" s="122"/>
      <c r="AE285" s="122"/>
      <c r="AF285" s="122"/>
      <c r="AG285" s="122"/>
      <c r="AH285" s="122"/>
      <c r="AI285" s="36"/>
      <c r="CR285" s="44"/>
      <c r="CS285" s="44"/>
      <c r="CT285" s="44"/>
      <c r="CU285" s="48"/>
      <c r="CV285" s="142"/>
      <c r="CW285" s="44"/>
      <c r="CX285" s="83"/>
      <c r="CY285" s="83"/>
      <c r="CZ285" s="83"/>
      <c r="DA285" s="44"/>
      <c r="DB285" s="143"/>
      <c r="DC285" s="44"/>
      <c r="DD285" s="44"/>
      <c r="DE285" s="44"/>
      <c r="DF285" s="44"/>
      <c r="DG285" s="44"/>
      <c r="DH285" s="44"/>
      <c r="DI285" s="75"/>
      <c r="DJ285" s="57"/>
      <c r="DK285" s="57"/>
      <c r="DL285" s="57"/>
      <c r="DM285" s="87"/>
      <c r="DN285" s="99"/>
      <c r="DO285" s="57"/>
      <c r="DP285" s="57"/>
      <c r="DQ285" s="87"/>
      <c r="DR285" s="99"/>
      <c r="DS285" s="44"/>
      <c r="DT285" s="83"/>
      <c r="DU285" s="83"/>
      <c r="DV285" s="83"/>
      <c r="DW285" s="44"/>
      <c r="DX285" s="144"/>
      <c r="DY285" s="144"/>
      <c r="DZ285" s="144"/>
    </row>
    <row r="286" spans="1:130" x14ac:dyDescent="0.3">
      <c r="A286" s="150"/>
      <c r="B286" s="150"/>
      <c r="C286" s="150"/>
      <c r="D286" s="150"/>
      <c r="E286" s="150"/>
      <c r="F286" s="150"/>
      <c r="G286" s="150"/>
      <c r="H286" s="150"/>
      <c r="I286" s="150"/>
      <c r="J286" s="150"/>
      <c r="K286" s="150"/>
      <c r="AB286" s="36"/>
      <c r="AC286" s="122"/>
      <c r="AD286" s="122"/>
      <c r="AE286" s="122"/>
      <c r="AF286" s="122"/>
      <c r="AG286" s="122"/>
      <c r="AH286" s="122"/>
      <c r="AI286" s="36"/>
      <c r="CR286" s="44"/>
      <c r="CS286" s="44"/>
      <c r="CT286" s="44"/>
      <c r="CU286" s="48"/>
      <c r="CV286" s="142"/>
      <c r="CW286" s="44"/>
      <c r="CX286" s="83"/>
      <c r="CY286" s="83"/>
      <c r="CZ286" s="83"/>
      <c r="DA286" s="44"/>
      <c r="DB286" s="143"/>
      <c r="DC286" s="44"/>
      <c r="DD286" s="44"/>
      <c r="DE286" s="44"/>
      <c r="DF286" s="44"/>
      <c r="DG286" s="44"/>
      <c r="DH286" s="44"/>
      <c r="DI286" s="75"/>
      <c r="DJ286" s="57"/>
      <c r="DK286" s="57"/>
      <c r="DL286" s="57"/>
      <c r="DM286" s="87"/>
      <c r="DN286" s="99"/>
      <c r="DO286" s="57"/>
      <c r="DP286" s="57"/>
      <c r="DQ286" s="87"/>
      <c r="DR286" s="99"/>
      <c r="DS286" s="44"/>
      <c r="DT286" s="83"/>
      <c r="DU286" s="83"/>
      <c r="DV286" s="83"/>
      <c r="DW286" s="44"/>
      <c r="DX286" s="144"/>
      <c r="DY286" s="144"/>
      <c r="DZ286" s="144"/>
    </row>
    <row r="287" spans="1:130" x14ac:dyDescent="0.3">
      <c r="A287" s="150"/>
      <c r="B287" s="150"/>
      <c r="C287" s="150"/>
      <c r="D287" s="150"/>
      <c r="E287" s="150"/>
      <c r="F287" s="150"/>
      <c r="G287" s="150"/>
      <c r="H287" s="150"/>
      <c r="I287" s="150"/>
      <c r="J287" s="150"/>
      <c r="K287" s="150"/>
      <c r="AB287" s="36"/>
      <c r="AC287" s="122"/>
      <c r="AD287" s="122"/>
      <c r="AE287" s="122"/>
      <c r="AF287" s="122"/>
      <c r="AG287" s="122"/>
      <c r="AH287" s="122"/>
      <c r="AI287" s="36"/>
      <c r="CR287" s="44"/>
      <c r="CS287" s="44"/>
      <c r="CT287" s="44"/>
      <c r="CU287" s="48"/>
      <c r="CV287" s="142"/>
      <c r="CW287" s="44"/>
      <c r="CX287" s="83"/>
      <c r="CY287" s="83"/>
      <c r="CZ287" s="83"/>
      <c r="DA287" s="44"/>
      <c r="DB287" s="143"/>
      <c r="DC287" s="44"/>
      <c r="DD287" s="44"/>
      <c r="DE287" s="44"/>
      <c r="DF287" s="44"/>
      <c r="DG287" s="44"/>
      <c r="DH287" s="44"/>
      <c r="DI287" s="75"/>
      <c r="DJ287" s="57"/>
      <c r="DK287" s="57"/>
      <c r="DL287" s="57"/>
      <c r="DM287" s="87"/>
      <c r="DN287" s="99"/>
      <c r="DO287" s="57"/>
      <c r="DP287" s="57"/>
      <c r="DQ287" s="87"/>
      <c r="DR287" s="99"/>
      <c r="DS287" s="44"/>
      <c r="DT287" s="83"/>
      <c r="DU287" s="83"/>
      <c r="DV287" s="83"/>
      <c r="DW287" s="44"/>
      <c r="DX287" s="144"/>
      <c r="DY287" s="144"/>
      <c r="DZ287" s="144"/>
    </row>
    <row r="288" spans="1:130" x14ac:dyDescent="0.3">
      <c r="A288" s="150"/>
      <c r="B288" s="150"/>
      <c r="C288" s="150"/>
      <c r="D288" s="150"/>
      <c r="E288" s="150"/>
      <c r="F288" s="150"/>
      <c r="G288" s="150"/>
      <c r="H288" s="150"/>
      <c r="I288" s="150"/>
      <c r="J288" s="150"/>
      <c r="K288" s="150"/>
      <c r="AB288" s="36"/>
      <c r="AC288" s="36"/>
      <c r="AD288" s="36"/>
      <c r="AE288" s="36"/>
      <c r="AF288" s="36"/>
      <c r="AG288" s="36"/>
      <c r="AH288" s="36"/>
      <c r="AI288" s="36"/>
      <c r="CR288" s="44"/>
      <c r="CS288" s="44"/>
      <c r="CT288" s="44"/>
      <c r="CU288" s="48"/>
      <c r="CV288" s="142"/>
      <c r="CW288" s="44"/>
      <c r="CX288" s="83"/>
      <c r="CY288" s="83"/>
      <c r="CZ288" s="83"/>
      <c r="DA288" s="44"/>
      <c r="DB288" s="143"/>
      <c r="DC288" s="44"/>
      <c r="DD288" s="44"/>
      <c r="DE288" s="44"/>
      <c r="DF288" s="44"/>
      <c r="DG288" s="44"/>
      <c r="DH288" s="44"/>
      <c r="DI288" s="75"/>
      <c r="DJ288" s="57"/>
      <c r="DK288" s="57"/>
      <c r="DL288" s="57"/>
      <c r="DM288" s="87"/>
      <c r="DN288" s="99"/>
      <c r="DO288" s="57"/>
      <c r="DP288" s="57"/>
      <c r="DQ288" s="87"/>
      <c r="DR288" s="99"/>
      <c r="DS288" s="44"/>
      <c r="DT288" s="83"/>
      <c r="DU288" s="83"/>
      <c r="DV288" s="83"/>
      <c r="DW288" s="44"/>
      <c r="DX288" s="144"/>
      <c r="DY288" s="144"/>
      <c r="DZ288" s="144"/>
    </row>
    <row r="289" spans="1:130" x14ac:dyDescent="0.3">
      <c r="A289" s="150"/>
      <c r="B289" s="150"/>
      <c r="C289" s="150"/>
      <c r="D289" s="150"/>
      <c r="E289" s="150"/>
      <c r="F289" s="150"/>
      <c r="G289" s="150"/>
      <c r="H289" s="150"/>
      <c r="I289" s="150"/>
      <c r="J289" s="150"/>
      <c r="K289" s="150"/>
      <c r="AB289" s="36"/>
      <c r="AC289" s="36"/>
      <c r="AD289" s="36"/>
      <c r="AE289" s="36"/>
      <c r="AF289" s="36"/>
      <c r="AG289" s="36"/>
      <c r="AH289" s="36"/>
      <c r="AI289" s="36"/>
      <c r="CR289" s="44"/>
      <c r="CS289" s="44"/>
      <c r="CT289" s="44"/>
      <c r="CU289" s="48"/>
      <c r="CV289" s="142"/>
      <c r="CW289" s="44"/>
      <c r="CX289" s="83"/>
      <c r="CY289" s="83"/>
      <c r="CZ289" s="83"/>
      <c r="DA289" s="44"/>
      <c r="DB289" s="143"/>
      <c r="DC289" s="44"/>
      <c r="DD289" s="44"/>
      <c r="DE289" s="44"/>
      <c r="DF289" s="44"/>
      <c r="DG289" s="44"/>
      <c r="DH289" s="44"/>
      <c r="DI289" s="75"/>
      <c r="DJ289" s="57"/>
      <c r="DK289" s="57"/>
      <c r="DL289" s="57"/>
      <c r="DM289" s="87"/>
      <c r="DN289" s="99"/>
      <c r="DO289" s="57"/>
      <c r="DP289" s="57"/>
      <c r="DQ289" s="87"/>
      <c r="DR289" s="99"/>
      <c r="DS289" s="44"/>
      <c r="DT289" s="83"/>
      <c r="DU289" s="83"/>
      <c r="DV289" s="83"/>
      <c r="DW289" s="44"/>
      <c r="DX289" s="144"/>
      <c r="DY289" s="144"/>
      <c r="DZ289" s="144"/>
    </row>
    <row r="290" spans="1:130" x14ac:dyDescent="0.3">
      <c r="A290" s="150"/>
      <c r="B290" s="150"/>
      <c r="C290" s="150"/>
      <c r="D290" s="150"/>
      <c r="E290" s="150"/>
      <c r="F290" s="150"/>
      <c r="G290" s="150"/>
      <c r="H290" s="150"/>
      <c r="I290" s="150"/>
      <c r="J290" s="150"/>
      <c r="K290" s="150"/>
      <c r="AB290" s="36"/>
      <c r="AC290" s="36"/>
      <c r="AD290" s="36"/>
      <c r="AE290" s="36"/>
      <c r="AF290" s="36"/>
      <c r="AG290" s="36"/>
      <c r="AH290" s="36"/>
      <c r="AI290" s="36"/>
      <c r="CR290" s="44"/>
      <c r="CS290" s="44"/>
      <c r="CT290" s="44"/>
      <c r="CU290" s="48"/>
      <c r="CV290" s="142"/>
      <c r="CW290" s="44"/>
      <c r="CX290" s="83"/>
      <c r="CY290" s="83"/>
      <c r="CZ290" s="83"/>
      <c r="DA290" s="44"/>
      <c r="DB290" s="143"/>
      <c r="DC290" s="44"/>
      <c r="DD290" s="44"/>
      <c r="DE290" s="44"/>
      <c r="DF290" s="44"/>
      <c r="DG290" s="44"/>
      <c r="DH290" s="44"/>
      <c r="DI290" s="75"/>
      <c r="DJ290" s="57"/>
      <c r="DK290" s="57"/>
      <c r="DL290" s="57"/>
      <c r="DM290" s="87"/>
      <c r="DN290" s="99"/>
      <c r="DO290" s="57"/>
      <c r="DP290" s="57"/>
      <c r="DQ290" s="87"/>
      <c r="DR290" s="99"/>
      <c r="DS290" s="44"/>
      <c r="DT290" s="83"/>
      <c r="DU290" s="83"/>
      <c r="DV290" s="83"/>
      <c r="DW290" s="44"/>
      <c r="DX290" s="144"/>
      <c r="DY290" s="144"/>
      <c r="DZ290" s="144"/>
    </row>
    <row r="291" spans="1:130" x14ac:dyDescent="0.3">
      <c r="A291" s="150"/>
      <c r="B291" s="150"/>
      <c r="C291" s="150"/>
      <c r="D291" s="150"/>
      <c r="E291" s="150"/>
      <c r="F291" s="150"/>
      <c r="G291" s="150"/>
      <c r="H291" s="150"/>
      <c r="I291" s="150"/>
      <c r="J291" s="150"/>
      <c r="K291" s="150"/>
      <c r="AB291" s="36"/>
      <c r="AC291" s="36"/>
      <c r="AD291" s="36"/>
      <c r="AE291" s="36"/>
      <c r="AF291" s="36"/>
      <c r="AG291" s="36"/>
      <c r="AH291" s="36"/>
      <c r="AI291" s="36"/>
      <c r="CR291" s="44"/>
      <c r="CS291" s="44"/>
      <c r="CT291" s="44"/>
      <c r="CU291" s="48"/>
      <c r="CV291" s="142"/>
      <c r="CW291" s="44"/>
      <c r="CX291" s="83"/>
      <c r="CY291" s="83"/>
      <c r="CZ291" s="83"/>
      <c r="DA291" s="44"/>
      <c r="DB291" s="143"/>
      <c r="DC291" s="44"/>
      <c r="DD291" s="44"/>
      <c r="DE291" s="44"/>
      <c r="DF291" s="44"/>
      <c r="DG291" s="44"/>
      <c r="DH291" s="44"/>
      <c r="DI291" s="75"/>
      <c r="DJ291" s="57"/>
      <c r="DK291" s="57"/>
      <c r="DL291" s="57"/>
      <c r="DM291" s="87"/>
      <c r="DN291" s="99"/>
      <c r="DO291" s="57"/>
      <c r="DP291" s="57"/>
      <c r="DQ291" s="87"/>
      <c r="DR291" s="99"/>
      <c r="DS291" s="44"/>
      <c r="DT291" s="83"/>
      <c r="DU291" s="83"/>
      <c r="DV291" s="83"/>
      <c r="DW291" s="44"/>
      <c r="DX291" s="144"/>
      <c r="DY291" s="144"/>
      <c r="DZ291" s="144"/>
    </row>
    <row r="292" spans="1:130" x14ac:dyDescent="0.3">
      <c r="A292" s="150"/>
      <c r="B292" s="150"/>
      <c r="C292" s="150"/>
      <c r="D292" s="150"/>
      <c r="E292" s="150"/>
      <c r="F292" s="150"/>
      <c r="G292" s="150"/>
      <c r="H292" s="150"/>
      <c r="I292" s="150"/>
      <c r="J292" s="150"/>
      <c r="K292" s="150"/>
      <c r="AB292" s="36"/>
      <c r="AC292" s="36"/>
      <c r="AD292" s="36"/>
      <c r="AE292" s="36"/>
      <c r="AF292" s="36"/>
      <c r="AG292" s="36"/>
      <c r="AH292" s="36"/>
      <c r="AI292" s="36"/>
      <c r="CR292" s="44"/>
      <c r="CS292" s="44"/>
      <c r="CT292" s="44"/>
      <c r="CU292" s="48"/>
      <c r="CV292" s="142"/>
      <c r="CW292" s="44"/>
      <c r="CX292" s="83"/>
      <c r="CY292" s="83"/>
      <c r="CZ292" s="83"/>
      <c r="DA292" s="44"/>
      <c r="DB292" s="143"/>
      <c r="DC292" s="44"/>
      <c r="DD292" s="44"/>
      <c r="DE292" s="44"/>
      <c r="DF292" s="44"/>
      <c r="DG292" s="44"/>
      <c r="DH292" s="44"/>
      <c r="DI292" s="75"/>
      <c r="DJ292" s="57"/>
      <c r="DK292" s="57"/>
      <c r="DL292" s="57"/>
      <c r="DM292" s="87"/>
      <c r="DN292" s="99"/>
      <c r="DO292" s="57"/>
      <c r="DP292" s="57"/>
      <c r="DQ292" s="87"/>
      <c r="DR292" s="99"/>
      <c r="DS292" s="44"/>
      <c r="DT292" s="83"/>
      <c r="DU292" s="83"/>
      <c r="DV292" s="83"/>
      <c r="DW292" s="44"/>
      <c r="DX292" s="144"/>
      <c r="DY292" s="144"/>
      <c r="DZ292" s="144"/>
    </row>
    <row r="293" spans="1:130" x14ac:dyDescent="0.3">
      <c r="A293" s="47"/>
      <c r="B293" s="47"/>
      <c r="C293" s="47"/>
      <c r="D293" s="47"/>
      <c r="E293" s="47"/>
      <c r="F293" s="47"/>
      <c r="G293" s="47"/>
      <c r="H293" s="47"/>
      <c r="I293" s="47"/>
      <c r="J293" s="47"/>
      <c r="K293" s="47"/>
      <c r="CR293" s="44"/>
      <c r="CS293" s="44"/>
      <c r="CT293" s="44"/>
      <c r="CU293" s="48"/>
      <c r="CV293" s="142"/>
      <c r="CW293" s="44"/>
      <c r="CX293" s="83"/>
      <c r="CY293" s="83"/>
      <c r="CZ293" s="83"/>
      <c r="DA293" s="44"/>
      <c r="DB293" s="143"/>
      <c r="DC293" s="44"/>
      <c r="DD293" s="44"/>
      <c r="DE293" s="44"/>
      <c r="DF293" s="44"/>
      <c r="DG293" s="44"/>
      <c r="DH293" s="44"/>
      <c r="DI293" s="75"/>
      <c r="DJ293" s="57"/>
      <c r="DK293" s="57"/>
      <c r="DL293" s="57"/>
      <c r="DM293" s="87"/>
      <c r="DN293" s="99"/>
      <c r="DO293" s="57"/>
      <c r="DP293" s="57"/>
      <c r="DQ293" s="87"/>
      <c r="DR293" s="99"/>
      <c r="DS293" s="44"/>
      <c r="DT293" s="83"/>
      <c r="DU293" s="83"/>
      <c r="DV293" s="83"/>
      <c r="DW293" s="44"/>
      <c r="DX293" s="144"/>
      <c r="DY293" s="144"/>
      <c r="DZ293" s="144"/>
    </row>
    <row r="294" spans="1:130" ht="15" customHeight="1" x14ac:dyDescent="0.3">
      <c r="A294" s="36"/>
      <c r="B294" s="36"/>
      <c r="C294" s="36"/>
      <c r="D294" s="36"/>
      <c r="E294" s="36"/>
      <c r="F294" s="36"/>
      <c r="G294" s="36"/>
      <c r="H294" s="36"/>
      <c r="I294" s="36"/>
      <c r="J294" s="36"/>
      <c r="K294" s="36"/>
      <c r="CR294" s="44"/>
      <c r="CS294" s="44"/>
      <c r="CT294" s="44"/>
      <c r="CU294" s="48"/>
      <c r="CV294" s="142"/>
      <c r="CW294" s="44"/>
      <c r="CX294" s="83"/>
      <c r="CY294" s="83"/>
      <c r="CZ294" s="83"/>
      <c r="DA294" s="44"/>
      <c r="DB294" s="143"/>
      <c r="DC294" s="44"/>
      <c r="DD294" s="44"/>
      <c r="DE294" s="44"/>
      <c r="DF294" s="44"/>
      <c r="DG294" s="44"/>
      <c r="DH294" s="44"/>
      <c r="DI294" s="75"/>
      <c r="DJ294" s="57"/>
      <c r="DK294" s="57"/>
      <c r="DL294" s="57"/>
      <c r="DM294" s="87"/>
      <c r="DN294" s="99"/>
      <c r="DO294" s="57"/>
      <c r="DP294" s="57"/>
      <c r="DQ294" s="87"/>
      <c r="DR294" s="99"/>
      <c r="DS294" s="44"/>
      <c r="DT294" s="83"/>
      <c r="DU294" s="83"/>
      <c r="DV294" s="83"/>
      <c r="DW294" s="44"/>
      <c r="DX294" s="144"/>
      <c r="DY294" s="144"/>
      <c r="DZ294" s="144"/>
    </row>
    <row r="295" spans="1:130" x14ac:dyDescent="0.3">
      <c r="A295" s="171"/>
      <c r="B295" s="36"/>
      <c r="C295" s="36"/>
      <c r="D295" s="36"/>
      <c r="E295" s="36"/>
      <c r="F295" s="36"/>
      <c r="G295" s="36"/>
      <c r="H295" s="36"/>
      <c r="I295" s="36"/>
      <c r="J295" s="36"/>
      <c r="K295" s="171"/>
      <c r="CR295" s="44"/>
      <c r="CS295" s="44"/>
      <c r="CT295" s="44"/>
      <c r="CU295" s="48"/>
      <c r="CV295" s="142"/>
      <c r="CW295" s="44"/>
      <c r="CX295" s="83"/>
      <c r="CY295" s="83"/>
      <c r="CZ295" s="83"/>
      <c r="DA295" s="44"/>
      <c r="DB295" s="143"/>
      <c r="DC295" s="44"/>
      <c r="DD295" s="44"/>
      <c r="DE295" s="44"/>
      <c r="DF295" s="44"/>
      <c r="DG295" s="44"/>
      <c r="DH295" s="44"/>
      <c r="DI295" s="75"/>
      <c r="DJ295" s="57"/>
      <c r="DK295" s="57"/>
      <c r="DL295" s="57"/>
      <c r="DM295" s="87"/>
      <c r="DN295" s="99"/>
      <c r="DO295" s="57"/>
      <c r="DP295" s="57"/>
      <c r="DQ295" s="87"/>
      <c r="DR295" s="99"/>
      <c r="DS295" s="44"/>
      <c r="DT295" s="83"/>
      <c r="DU295" s="83"/>
      <c r="DV295" s="83"/>
      <c r="DW295" s="44"/>
      <c r="DX295" s="144"/>
      <c r="DY295" s="144"/>
      <c r="DZ295" s="144"/>
    </row>
    <row r="296" spans="1:130" x14ac:dyDescent="0.3">
      <c r="A296" s="36"/>
      <c r="B296" s="36"/>
      <c r="C296" s="36"/>
      <c r="D296" s="36"/>
      <c r="E296" s="36"/>
      <c r="F296" s="36"/>
      <c r="G296" s="36"/>
      <c r="H296" s="36"/>
      <c r="I296" s="36"/>
      <c r="J296" s="36"/>
      <c r="K296" s="36"/>
      <c r="CR296" s="44"/>
      <c r="CS296" s="44"/>
      <c r="CT296" s="44"/>
      <c r="CU296" s="48"/>
      <c r="CV296" s="142"/>
      <c r="CW296" s="44"/>
      <c r="CX296" s="83"/>
      <c r="CY296" s="83"/>
      <c r="CZ296" s="83"/>
      <c r="DA296" s="44"/>
      <c r="DB296" s="143"/>
      <c r="DC296" s="44"/>
      <c r="DD296" s="44"/>
      <c r="DE296" s="44"/>
      <c r="DF296" s="44"/>
      <c r="DG296" s="44"/>
      <c r="DH296" s="44"/>
      <c r="DI296" s="75"/>
      <c r="DJ296" s="57"/>
      <c r="DK296" s="57"/>
      <c r="DL296" s="57"/>
      <c r="DM296" s="87"/>
      <c r="DN296" s="99"/>
      <c r="DO296" s="57"/>
      <c r="DP296" s="57"/>
      <c r="DQ296" s="87"/>
      <c r="DR296" s="99"/>
      <c r="DS296" s="44"/>
      <c r="DT296" s="83"/>
      <c r="DU296" s="83"/>
      <c r="DV296" s="83"/>
      <c r="DW296" s="44"/>
      <c r="DX296" s="144"/>
      <c r="DY296" s="144"/>
      <c r="DZ296" s="144"/>
    </row>
    <row r="297" spans="1:130" x14ac:dyDescent="0.3">
      <c r="A297" s="36"/>
      <c r="B297" s="36"/>
      <c r="C297" s="36"/>
      <c r="D297" s="36"/>
      <c r="E297" s="36"/>
      <c r="F297" s="36"/>
      <c r="G297" s="36"/>
      <c r="H297" s="36"/>
      <c r="I297" s="36"/>
      <c r="J297" s="36"/>
      <c r="K297" s="36"/>
      <c r="CR297" s="44"/>
      <c r="CS297" s="44"/>
      <c r="CT297" s="44"/>
      <c r="CU297" s="48"/>
      <c r="CV297" s="142"/>
      <c r="CW297" s="44"/>
      <c r="CX297" s="83"/>
      <c r="CY297" s="83"/>
      <c r="CZ297" s="83"/>
      <c r="DA297" s="44"/>
      <c r="DB297" s="143"/>
      <c r="DC297" s="44"/>
      <c r="DD297" s="44"/>
      <c r="DE297" s="44"/>
      <c r="DF297" s="44"/>
      <c r="DG297" s="44"/>
      <c r="DH297" s="44"/>
      <c r="DI297" s="75"/>
      <c r="DJ297" s="57"/>
      <c r="DK297" s="57"/>
      <c r="DL297" s="57"/>
      <c r="DM297" s="87"/>
      <c r="DN297" s="99"/>
      <c r="DO297" s="57"/>
      <c r="DP297" s="57"/>
      <c r="DQ297" s="87"/>
      <c r="DR297" s="99"/>
      <c r="DS297" s="44"/>
      <c r="DT297" s="83"/>
      <c r="DU297" s="83"/>
      <c r="DV297" s="83"/>
      <c r="DW297" s="44"/>
      <c r="DX297" s="144"/>
      <c r="DY297" s="144"/>
      <c r="DZ297" s="144"/>
    </row>
    <row r="298" spans="1:130" x14ac:dyDescent="0.3">
      <c r="A298" s="36"/>
      <c r="B298" s="36"/>
      <c r="C298" s="36"/>
      <c r="D298" s="36"/>
      <c r="E298" s="36"/>
      <c r="F298" s="36"/>
      <c r="G298" s="36"/>
      <c r="H298" s="36"/>
      <c r="I298" s="36"/>
      <c r="J298" s="36"/>
      <c r="K298" s="36"/>
      <c r="CR298" s="44"/>
      <c r="CS298" s="44"/>
      <c r="CT298" s="44"/>
      <c r="CU298" s="48"/>
      <c r="CV298" s="142"/>
      <c r="CW298" s="44"/>
      <c r="CX298" s="83"/>
      <c r="CY298" s="83"/>
      <c r="CZ298" s="83"/>
      <c r="DA298" s="44"/>
      <c r="DB298" s="143"/>
      <c r="DC298" s="44"/>
      <c r="DD298" s="44"/>
      <c r="DE298" s="44"/>
      <c r="DF298" s="44"/>
      <c r="DG298" s="44"/>
      <c r="DH298" s="44"/>
      <c r="DI298" s="75"/>
      <c r="DJ298" s="57"/>
      <c r="DK298" s="57"/>
      <c r="DL298" s="57"/>
      <c r="DM298" s="87"/>
      <c r="DN298" s="99"/>
      <c r="DO298" s="57"/>
      <c r="DP298" s="57"/>
      <c r="DQ298" s="87"/>
      <c r="DR298" s="99"/>
      <c r="DS298" s="44"/>
      <c r="DT298" s="83"/>
      <c r="DU298" s="83"/>
      <c r="DV298" s="83"/>
      <c r="DW298" s="44"/>
      <c r="DX298" s="144"/>
      <c r="DY298" s="144"/>
      <c r="DZ298" s="144"/>
    </row>
    <row r="299" spans="1:130" x14ac:dyDescent="0.3">
      <c r="A299" s="36"/>
      <c r="B299" s="36"/>
      <c r="C299" s="36"/>
      <c r="D299" s="36"/>
      <c r="E299" s="36"/>
      <c r="F299" s="36"/>
      <c r="G299" s="36"/>
      <c r="H299" s="36"/>
      <c r="I299" s="36"/>
      <c r="J299" s="36"/>
      <c r="K299" s="36"/>
      <c r="CR299" s="44"/>
      <c r="CS299" s="44"/>
      <c r="CT299" s="44"/>
      <c r="CU299" s="48"/>
      <c r="CV299" s="142"/>
      <c r="CW299" s="44"/>
      <c r="CX299" s="83"/>
      <c r="CY299" s="83"/>
      <c r="CZ299" s="83"/>
      <c r="DA299" s="44"/>
      <c r="DB299" s="143"/>
      <c r="DC299" s="44"/>
      <c r="DD299" s="44"/>
      <c r="DE299" s="44"/>
      <c r="DF299" s="44"/>
      <c r="DG299" s="44"/>
      <c r="DH299" s="44"/>
      <c r="DI299" s="75"/>
      <c r="DJ299" s="57"/>
      <c r="DK299" s="57"/>
      <c r="DL299" s="57"/>
      <c r="DM299" s="87"/>
      <c r="DN299" s="99"/>
      <c r="DO299" s="57"/>
      <c r="DP299" s="57"/>
      <c r="DQ299" s="87"/>
      <c r="DR299" s="99"/>
      <c r="DS299" s="44"/>
      <c r="DT299" s="83"/>
      <c r="DU299" s="83"/>
      <c r="DV299" s="83"/>
      <c r="DW299" s="44"/>
      <c r="DX299" s="144"/>
      <c r="DY299" s="144"/>
      <c r="DZ299" s="144"/>
    </row>
    <row r="300" spans="1:130" x14ac:dyDescent="0.3">
      <c r="A300" s="36"/>
      <c r="B300" s="36"/>
      <c r="C300" s="36"/>
      <c r="D300" s="36"/>
      <c r="E300" s="36"/>
      <c r="F300" s="36"/>
      <c r="G300" s="36"/>
      <c r="H300" s="36"/>
      <c r="I300" s="36"/>
      <c r="J300" s="36"/>
      <c r="K300" s="36"/>
      <c r="CR300" s="44"/>
      <c r="CS300" s="44"/>
      <c r="CT300" s="44"/>
      <c r="CU300" s="48"/>
      <c r="CV300" s="142"/>
      <c r="CW300" s="44"/>
      <c r="CX300" s="83"/>
      <c r="CY300" s="83"/>
      <c r="CZ300" s="83"/>
      <c r="DA300" s="44"/>
      <c r="DB300" s="143"/>
      <c r="DC300" s="44"/>
      <c r="DD300" s="44"/>
      <c r="DE300" s="44"/>
      <c r="DF300" s="44"/>
      <c r="DG300" s="44"/>
      <c r="DH300" s="44"/>
      <c r="DI300" s="75"/>
      <c r="DJ300" s="57"/>
      <c r="DK300" s="57"/>
      <c r="DL300" s="57"/>
      <c r="DM300" s="87"/>
      <c r="DN300" s="99"/>
      <c r="DO300" s="57"/>
      <c r="DP300" s="57"/>
      <c r="DQ300" s="87"/>
      <c r="DR300" s="99"/>
      <c r="DS300" s="44"/>
      <c r="DT300" s="83"/>
      <c r="DU300" s="83"/>
      <c r="DV300" s="83"/>
      <c r="DW300" s="44"/>
      <c r="DX300" s="144"/>
      <c r="DY300" s="144"/>
      <c r="DZ300" s="144"/>
    </row>
    <row r="301" spans="1:130" x14ac:dyDescent="0.3">
      <c r="A301" s="36"/>
      <c r="B301" s="36"/>
      <c r="C301" s="36"/>
      <c r="D301" s="36"/>
      <c r="E301" s="36"/>
      <c r="F301" s="36"/>
      <c r="G301" s="36"/>
      <c r="H301" s="36"/>
      <c r="I301" s="36"/>
      <c r="J301" s="36"/>
      <c r="K301" s="36"/>
      <c r="CR301" s="44"/>
      <c r="CS301" s="44"/>
      <c r="CT301" s="44"/>
      <c r="CU301" s="48"/>
      <c r="CV301" s="142"/>
      <c r="CW301" s="44"/>
      <c r="CX301" s="83"/>
      <c r="CY301" s="83"/>
      <c r="CZ301" s="83"/>
      <c r="DA301" s="44"/>
      <c r="DB301" s="143"/>
      <c r="DC301" s="44"/>
      <c r="DD301" s="44"/>
      <c r="DE301" s="44"/>
      <c r="DF301" s="44"/>
      <c r="DG301" s="44"/>
      <c r="DH301" s="44"/>
      <c r="DI301" s="75"/>
      <c r="DJ301" s="57"/>
      <c r="DK301" s="57"/>
      <c r="DL301" s="57"/>
      <c r="DM301" s="87"/>
      <c r="DN301" s="99"/>
      <c r="DO301" s="57"/>
      <c r="DP301" s="57"/>
      <c r="DQ301" s="87"/>
      <c r="DR301" s="99"/>
      <c r="DS301" s="44"/>
      <c r="DT301" s="83"/>
      <c r="DU301" s="83"/>
      <c r="DV301" s="83"/>
      <c r="DW301" s="44"/>
      <c r="DX301" s="144"/>
      <c r="DY301" s="144"/>
      <c r="DZ301" s="144"/>
    </row>
    <row r="302" spans="1:130" x14ac:dyDescent="0.3">
      <c r="CR302" s="44"/>
      <c r="CS302" s="44"/>
      <c r="CT302" s="44"/>
      <c r="CU302" s="48"/>
      <c r="CV302" s="142"/>
      <c r="CW302" s="44"/>
      <c r="CX302" s="83"/>
      <c r="CY302" s="83"/>
      <c r="CZ302" s="83"/>
      <c r="DA302" s="44"/>
      <c r="DB302" s="143"/>
      <c r="DC302" s="44"/>
      <c r="DD302" s="44"/>
      <c r="DE302" s="44"/>
      <c r="DF302" s="44"/>
      <c r="DG302" s="44"/>
      <c r="DH302" s="44"/>
      <c r="DI302" s="75"/>
      <c r="DJ302" s="57"/>
      <c r="DK302" s="57"/>
      <c r="DL302" s="57"/>
      <c r="DM302" s="87"/>
      <c r="DN302" s="99"/>
      <c r="DO302" s="57"/>
      <c r="DP302" s="57"/>
      <c r="DQ302" s="87"/>
      <c r="DR302" s="99"/>
      <c r="DS302" s="44"/>
      <c r="DT302" s="83"/>
      <c r="DU302" s="83"/>
      <c r="DV302" s="83"/>
      <c r="DW302" s="44"/>
      <c r="DX302" s="144"/>
      <c r="DY302" s="144"/>
      <c r="DZ302" s="144"/>
    </row>
    <row r="303" spans="1:130" x14ac:dyDescent="0.3">
      <c r="CR303" s="44"/>
      <c r="CS303" s="44"/>
      <c r="CT303" s="44"/>
      <c r="CU303" s="48"/>
      <c r="CV303" s="142"/>
      <c r="CW303" s="44"/>
      <c r="CX303" s="83"/>
      <c r="CY303" s="83"/>
      <c r="CZ303" s="83"/>
      <c r="DA303" s="44"/>
      <c r="DB303" s="143"/>
      <c r="DC303" s="44"/>
      <c r="DD303" s="44"/>
      <c r="DE303" s="44"/>
      <c r="DF303" s="44"/>
      <c r="DG303" s="44"/>
      <c r="DH303" s="44"/>
      <c r="DI303" s="75"/>
      <c r="DJ303" s="57"/>
      <c r="DK303" s="57"/>
      <c r="DL303" s="57"/>
      <c r="DM303" s="87"/>
      <c r="DN303" s="99"/>
      <c r="DO303" s="57"/>
      <c r="DP303" s="57"/>
      <c r="DQ303" s="87"/>
      <c r="DR303" s="99"/>
      <c r="DS303" s="44"/>
      <c r="DT303" s="83"/>
      <c r="DU303" s="83"/>
      <c r="DV303" s="83"/>
      <c r="DW303" s="44"/>
      <c r="DX303" s="144"/>
      <c r="DY303" s="144"/>
      <c r="DZ303" s="144"/>
    </row>
    <row r="304" spans="1:130" x14ac:dyDescent="0.3">
      <c r="CR304" s="44"/>
      <c r="CS304" s="44"/>
      <c r="CT304" s="44"/>
      <c r="CU304" s="48"/>
      <c r="CV304" s="142"/>
      <c r="CW304" s="44"/>
      <c r="CX304" s="83"/>
      <c r="CY304" s="83"/>
      <c r="CZ304" s="83"/>
      <c r="DA304" s="44"/>
      <c r="DB304" s="143"/>
      <c r="DC304" s="44"/>
      <c r="DD304" s="44"/>
      <c r="DE304" s="44"/>
      <c r="DF304" s="44"/>
      <c r="DG304" s="44"/>
      <c r="DH304" s="44"/>
      <c r="DI304" s="75"/>
      <c r="DJ304" s="57"/>
      <c r="DK304" s="57"/>
      <c r="DL304" s="57"/>
      <c r="DM304" s="87"/>
      <c r="DN304" s="99"/>
      <c r="DO304" s="57"/>
      <c r="DP304" s="57"/>
      <c r="DQ304" s="87"/>
      <c r="DR304" s="99"/>
      <c r="DS304" s="44"/>
      <c r="DT304" s="83"/>
      <c r="DU304" s="83"/>
      <c r="DV304" s="83"/>
      <c r="DW304" s="44"/>
      <c r="DX304" s="144"/>
      <c r="DY304" s="144"/>
      <c r="DZ304" s="144"/>
    </row>
    <row r="305" spans="96:130" x14ac:dyDescent="0.3">
      <c r="CR305" s="44"/>
      <c r="CS305" s="44"/>
      <c r="CT305" s="44"/>
      <c r="CU305" s="48"/>
      <c r="CV305" s="142"/>
      <c r="CW305" s="44"/>
      <c r="CX305" s="83"/>
      <c r="CY305" s="83"/>
      <c r="CZ305" s="83"/>
      <c r="DA305" s="44"/>
      <c r="DB305" s="143"/>
      <c r="DC305" s="44"/>
      <c r="DD305" s="44"/>
      <c r="DE305" s="44"/>
      <c r="DF305" s="44"/>
      <c r="DG305" s="44"/>
      <c r="DH305" s="44"/>
      <c r="DI305" s="75"/>
      <c r="DJ305" s="57"/>
      <c r="DK305" s="57"/>
      <c r="DL305" s="57"/>
      <c r="DM305" s="87"/>
      <c r="DN305" s="99"/>
      <c r="DO305" s="57"/>
      <c r="DP305" s="57"/>
      <c r="DQ305" s="87"/>
      <c r="DR305" s="99"/>
      <c r="DS305" s="44"/>
      <c r="DT305" s="83"/>
      <c r="DU305" s="83"/>
      <c r="DV305" s="83"/>
      <c r="DW305" s="44"/>
      <c r="DX305" s="144"/>
      <c r="DY305" s="144"/>
      <c r="DZ305" s="144"/>
    </row>
    <row r="306" spans="96:130" x14ac:dyDescent="0.3">
      <c r="CR306" s="44"/>
      <c r="CS306" s="44"/>
      <c r="CT306" s="44"/>
      <c r="CU306" s="48"/>
      <c r="CV306" s="142"/>
      <c r="CW306" s="44"/>
      <c r="CX306" s="83"/>
      <c r="CY306" s="83"/>
      <c r="CZ306" s="83"/>
      <c r="DA306" s="44"/>
      <c r="DB306" s="143"/>
      <c r="DC306" s="44"/>
      <c r="DD306" s="44"/>
      <c r="DE306" s="44"/>
      <c r="DF306" s="44"/>
      <c r="DG306" s="44"/>
      <c r="DH306" s="44"/>
      <c r="DI306" s="75"/>
      <c r="DJ306" s="57"/>
      <c r="DK306" s="57"/>
      <c r="DL306" s="57"/>
      <c r="DM306" s="87"/>
      <c r="DN306" s="99"/>
      <c r="DO306" s="57"/>
      <c r="DP306" s="57"/>
      <c r="DQ306" s="87"/>
      <c r="DR306" s="99"/>
      <c r="DS306" s="44"/>
      <c r="DT306" s="83"/>
      <c r="DU306" s="83"/>
      <c r="DV306" s="83"/>
      <c r="DW306" s="44"/>
      <c r="DX306" s="144"/>
      <c r="DY306" s="144"/>
      <c r="DZ306" s="144"/>
    </row>
    <row r="307" spans="96:130" x14ac:dyDescent="0.3">
      <c r="CR307" s="44"/>
      <c r="CS307" s="44"/>
      <c r="CT307" s="44"/>
      <c r="CU307" s="48"/>
      <c r="CV307" s="142"/>
      <c r="CW307" s="44"/>
      <c r="CX307" s="83"/>
      <c r="CY307" s="83"/>
      <c r="CZ307" s="83"/>
      <c r="DA307" s="44"/>
      <c r="DB307" s="143"/>
      <c r="DC307" s="44"/>
      <c r="DD307" s="44"/>
      <c r="DE307" s="44"/>
      <c r="DF307" s="44"/>
      <c r="DG307" s="44"/>
      <c r="DH307" s="44"/>
      <c r="DI307" s="75"/>
      <c r="DJ307" s="57"/>
      <c r="DK307" s="57"/>
      <c r="DL307" s="57"/>
      <c r="DM307" s="87"/>
      <c r="DN307" s="99"/>
      <c r="DO307" s="57"/>
      <c r="DP307" s="57"/>
      <c r="DQ307" s="87"/>
      <c r="DR307" s="99"/>
      <c r="DS307" s="44"/>
      <c r="DT307" s="83"/>
      <c r="DU307" s="83"/>
      <c r="DV307" s="83"/>
      <c r="DW307" s="44"/>
      <c r="DX307" s="144"/>
      <c r="DY307" s="144"/>
      <c r="DZ307" s="144"/>
    </row>
    <row r="308" spans="96:130" x14ac:dyDescent="0.3">
      <c r="CR308" s="44"/>
      <c r="CS308" s="44"/>
      <c r="CT308" s="44"/>
      <c r="CU308" s="48"/>
      <c r="CV308" s="142"/>
      <c r="CW308" s="44"/>
      <c r="CX308" s="83"/>
      <c r="CY308" s="83"/>
      <c r="CZ308" s="83"/>
      <c r="DA308" s="44"/>
      <c r="DB308" s="143"/>
      <c r="DC308" s="44"/>
      <c r="DD308" s="44"/>
      <c r="DE308" s="44"/>
      <c r="DF308" s="44"/>
      <c r="DG308" s="44"/>
      <c r="DH308" s="44"/>
      <c r="DI308" s="75"/>
      <c r="DJ308" s="57"/>
      <c r="DK308" s="57"/>
      <c r="DL308" s="57"/>
      <c r="DM308" s="87"/>
      <c r="DN308" s="99"/>
      <c r="DO308" s="57"/>
      <c r="DP308" s="57"/>
      <c r="DQ308" s="87"/>
      <c r="DR308" s="99"/>
      <c r="DS308" s="44"/>
      <c r="DT308" s="83"/>
      <c r="DU308" s="83"/>
      <c r="DV308" s="83"/>
      <c r="DW308" s="44"/>
      <c r="DX308" s="144"/>
      <c r="DY308" s="144"/>
      <c r="DZ308" s="144"/>
    </row>
    <row r="309" spans="96:130" x14ac:dyDescent="0.3">
      <c r="CR309" s="44"/>
      <c r="CS309" s="44"/>
      <c r="CT309" s="44"/>
      <c r="CU309" s="48"/>
      <c r="CV309" s="142"/>
      <c r="CW309" s="44"/>
      <c r="CX309" s="83"/>
      <c r="CY309" s="83"/>
      <c r="CZ309" s="83"/>
      <c r="DA309" s="44"/>
      <c r="DB309" s="143"/>
      <c r="DC309" s="44"/>
      <c r="DD309" s="44"/>
      <c r="DE309" s="44"/>
      <c r="DF309" s="44"/>
      <c r="DG309" s="44"/>
      <c r="DH309" s="44"/>
      <c r="DI309" s="75"/>
      <c r="DJ309" s="57"/>
      <c r="DK309" s="57"/>
      <c r="DL309" s="57"/>
      <c r="DM309" s="87"/>
      <c r="DN309" s="99"/>
      <c r="DO309" s="57"/>
      <c r="DP309" s="57"/>
      <c r="DQ309" s="87"/>
      <c r="DR309" s="99"/>
      <c r="DS309" s="44"/>
      <c r="DT309" s="83"/>
      <c r="DU309" s="83"/>
      <c r="DV309" s="83"/>
      <c r="DW309" s="44"/>
      <c r="DX309" s="144"/>
      <c r="DY309" s="144"/>
      <c r="DZ309" s="144"/>
    </row>
    <row r="310" spans="96:130" x14ac:dyDescent="0.3">
      <c r="CR310" s="44"/>
      <c r="CS310" s="44"/>
      <c r="CT310" s="44"/>
      <c r="CU310" s="48"/>
      <c r="CV310" s="142"/>
      <c r="CW310" s="44"/>
      <c r="CX310" s="83"/>
      <c r="CY310" s="83"/>
      <c r="CZ310" s="83"/>
      <c r="DA310" s="44"/>
      <c r="DB310" s="143"/>
      <c r="DC310" s="44"/>
      <c r="DD310" s="44"/>
      <c r="DE310" s="44"/>
      <c r="DF310" s="44"/>
      <c r="DG310" s="44"/>
      <c r="DH310" s="44"/>
      <c r="DI310" s="75"/>
      <c r="DJ310" s="57"/>
      <c r="DK310" s="57"/>
      <c r="DL310" s="57"/>
      <c r="DM310" s="87"/>
      <c r="DN310" s="99"/>
      <c r="DO310" s="57"/>
      <c r="DP310" s="57"/>
      <c r="DQ310" s="87"/>
      <c r="DR310" s="99"/>
      <c r="DS310" s="44"/>
      <c r="DT310" s="83"/>
      <c r="DU310" s="83"/>
      <c r="DV310" s="83"/>
      <c r="DW310" s="44"/>
      <c r="DX310" s="144"/>
      <c r="DY310" s="144"/>
      <c r="DZ310" s="144"/>
    </row>
    <row r="311" spans="96:130" x14ac:dyDescent="0.3">
      <c r="CR311" s="44"/>
      <c r="CS311" s="44"/>
      <c r="CT311" s="44"/>
      <c r="CU311" s="48"/>
      <c r="CV311" s="142"/>
      <c r="CW311" s="44"/>
      <c r="CX311" s="83"/>
      <c r="CY311" s="83"/>
      <c r="CZ311" s="83"/>
      <c r="DA311" s="44"/>
      <c r="DB311" s="143"/>
      <c r="DC311" s="44"/>
      <c r="DD311" s="44"/>
      <c r="DE311" s="44"/>
      <c r="DF311" s="44"/>
      <c r="DG311" s="44"/>
      <c r="DH311" s="44"/>
      <c r="DI311" s="75"/>
      <c r="DJ311" s="57"/>
      <c r="DK311" s="57"/>
      <c r="DL311" s="57"/>
      <c r="DM311" s="87"/>
      <c r="DN311" s="99"/>
      <c r="DO311" s="57"/>
      <c r="DP311" s="57"/>
      <c r="DQ311" s="87"/>
      <c r="DR311" s="99"/>
      <c r="DS311" s="44"/>
      <c r="DT311" s="83"/>
      <c r="DU311" s="83"/>
      <c r="DV311" s="83"/>
      <c r="DW311" s="44"/>
      <c r="DX311" s="144"/>
      <c r="DY311" s="144"/>
      <c r="DZ311" s="144"/>
    </row>
    <row r="312" spans="96:130" x14ac:dyDescent="0.3">
      <c r="CR312" s="44"/>
      <c r="CS312" s="44"/>
      <c r="CT312" s="44"/>
      <c r="CU312" s="48"/>
      <c r="CV312" s="142"/>
      <c r="CW312" s="44"/>
      <c r="CX312" s="83"/>
      <c r="CY312" s="83"/>
      <c r="CZ312" s="83"/>
      <c r="DA312" s="44"/>
      <c r="DB312" s="143"/>
      <c r="DC312" s="44"/>
      <c r="DD312" s="44"/>
      <c r="DE312" s="44"/>
      <c r="DF312" s="44"/>
      <c r="DG312" s="44"/>
      <c r="DH312" s="44"/>
      <c r="DI312" s="75"/>
      <c r="DJ312" s="57"/>
      <c r="DK312" s="57"/>
      <c r="DL312" s="57"/>
      <c r="DM312" s="87"/>
      <c r="DN312" s="99"/>
      <c r="DO312" s="57"/>
      <c r="DP312" s="57"/>
      <c r="DQ312" s="87"/>
      <c r="DR312" s="99"/>
      <c r="DS312" s="44"/>
      <c r="DT312" s="83"/>
      <c r="DU312" s="83"/>
      <c r="DV312" s="83"/>
      <c r="DW312" s="44"/>
      <c r="DX312" s="144"/>
      <c r="DY312" s="144"/>
      <c r="DZ312" s="144"/>
    </row>
    <row r="313" spans="96:130" x14ac:dyDescent="0.3">
      <c r="CR313" s="44"/>
      <c r="CS313" s="44"/>
      <c r="CT313" s="44"/>
      <c r="CU313" s="48"/>
      <c r="CV313" s="142"/>
      <c r="CW313" s="44"/>
      <c r="CX313" s="83"/>
      <c r="CY313" s="83"/>
      <c r="CZ313" s="83"/>
      <c r="DA313" s="44"/>
      <c r="DB313" s="143"/>
      <c r="DC313" s="44"/>
      <c r="DD313" s="44"/>
      <c r="DE313" s="44"/>
      <c r="DF313" s="44"/>
      <c r="DG313" s="44"/>
      <c r="DH313" s="44"/>
      <c r="DI313" s="75"/>
      <c r="DJ313" s="57"/>
      <c r="DK313" s="57"/>
      <c r="DL313" s="57"/>
      <c r="DM313" s="87"/>
      <c r="DN313" s="99"/>
      <c r="DO313" s="57"/>
      <c r="DP313" s="57"/>
      <c r="DQ313" s="87"/>
      <c r="DR313" s="99"/>
      <c r="DS313" s="44"/>
      <c r="DT313" s="83"/>
      <c r="DU313" s="83"/>
      <c r="DV313" s="83"/>
      <c r="DW313" s="44"/>
      <c r="DX313" s="144"/>
      <c r="DY313" s="144"/>
      <c r="DZ313" s="144"/>
    </row>
    <row r="314" spans="96:130" x14ac:dyDescent="0.3">
      <c r="CR314" s="44"/>
      <c r="CS314" s="44"/>
      <c r="CT314" s="44"/>
      <c r="CU314" s="48"/>
      <c r="CV314" s="142"/>
      <c r="CW314" s="44"/>
      <c r="CX314" s="83"/>
      <c r="CY314" s="83"/>
      <c r="CZ314" s="83"/>
      <c r="DA314" s="44"/>
      <c r="DB314" s="143"/>
      <c r="DC314" s="44"/>
      <c r="DD314" s="44"/>
      <c r="DE314" s="44"/>
      <c r="DF314" s="44"/>
      <c r="DG314" s="44"/>
      <c r="DH314" s="44"/>
      <c r="DI314" s="75"/>
      <c r="DJ314" s="57"/>
      <c r="DK314" s="57"/>
      <c r="DL314" s="57"/>
      <c r="DM314" s="87"/>
      <c r="DN314" s="99"/>
      <c r="DO314" s="57"/>
      <c r="DP314" s="57"/>
      <c r="DQ314" s="87"/>
      <c r="DR314" s="99"/>
      <c r="DS314" s="44"/>
      <c r="DT314" s="83"/>
      <c r="DU314" s="83"/>
      <c r="DV314" s="83"/>
      <c r="DW314" s="44"/>
      <c r="DX314" s="144"/>
      <c r="DY314" s="144"/>
      <c r="DZ314" s="144"/>
    </row>
    <row r="315" spans="96:130" x14ac:dyDescent="0.3">
      <c r="CR315" s="44"/>
      <c r="CS315" s="44"/>
      <c r="CT315" s="44"/>
      <c r="CU315" s="48"/>
      <c r="CV315" s="142"/>
      <c r="CW315" s="44"/>
      <c r="CX315" s="83"/>
      <c r="CY315" s="83"/>
      <c r="CZ315" s="83"/>
      <c r="DA315" s="44"/>
      <c r="DB315" s="143"/>
      <c r="DC315" s="44"/>
      <c r="DD315" s="44"/>
      <c r="DE315" s="44"/>
      <c r="DF315" s="44"/>
      <c r="DG315" s="44"/>
      <c r="DH315" s="44"/>
      <c r="DI315" s="75"/>
      <c r="DJ315" s="57"/>
      <c r="DK315" s="57"/>
      <c r="DL315" s="57"/>
      <c r="DM315" s="87"/>
      <c r="DN315" s="99"/>
      <c r="DO315" s="57"/>
      <c r="DP315" s="57"/>
      <c r="DQ315" s="87"/>
      <c r="DR315" s="99"/>
      <c r="DS315" s="44"/>
      <c r="DT315" s="83"/>
      <c r="DU315" s="83"/>
      <c r="DV315" s="83"/>
      <c r="DW315" s="44"/>
      <c r="DX315" s="144"/>
      <c r="DY315" s="144"/>
      <c r="DZ315" s="144"/>
    </row>
    <row r="316" spans="96:130" x14ac:dyDescent="0.3">
      <c r="CR316" s="44"/>
      <c r="CS316" s="44"/>
      <c r="CT316" s="44"/>
      <c r="CU316" s="44"/>
      <c r="CV316" s="44"/>
      <c r="CW316" s="44"/>
      <c r="CX316" s="44"/>
      <c r="CY316" s="44"/>
      <c r="CZ316" s="44"/>
      <c r="DA316" s="44"/>
      <c r="DB316" s="143"/>
      <c r="DC316" s="44"/>
      <c r="DD316" s="44"/>
      <c r="DE316" s="44"/>
      <c r="DF316" s="44"/>
      <c r="DG316" s="44"/>
      <c r="DH316" s="44"/>
      <c r="DI316" s="75"/>
      <c r="DJ316" s="57"/>
      <c r="DK316" s="57"/>
      <c r="DL316" s="57"/>
      <c r="DM316" s="57"/>
      <c r="DN316" s="79"/>
      <c r="DO316" s="57"/>
      <c r="DP316" s="57"/>
      <c r="DQ316" s="57"/>
      <c r="DR316" s="79"/>
      <c r="DS316" s="44"/>
      <c r="DT316" s="44"/>
      <c r="DU316" s="44"/>
      <c r="DV316" s="44"/>
      <c r="DW316" s="44"/>
      <c r="DX316" s="144"/>
      <c r="DY316" s="144"/>
      <c r="DZ316" s="144"/>
    </row>
    <row r="317" spans="96:130" x14ac:dyDescent="0.3">
      <c r="CR317" s="44"/>
      <c r="CS317" s="44"/>
      <c r="CT317" s="44"/>
      <c r="CU317" s="44"/>
      <c r="CV317" s="44"/>
      <c r="CW317" s="44"/>
      <c r="CX317" s="44"/>
      <c r="CY317" s="44"/>
      <c r="CZ317" s="44"/>
      <c r="DA317" s="44"/>
      <c r="DB317" s="143"/>
      <c r="DC317" s="44"/>
      <c r="DD317" s="44"/>
      <c r="DE317" s="44"/>
      <c r="DF317" s="44"/>
      <c r="DG317" s="44"/>
      <c r="DH317" s="44"/>
      <c r="DI317" s="75"/>
      <c r="DJ317" s="57"/>
      <c r="DK317" s="57"/>
      <c r="DL317" s="57"/>
      <c r="DM317" s="57"/>
      <c r="DN317" s="79"/>
      <c r="DO317" s="57"/>
      <c r="DP317" s="57"/>
      <c r="DQ317" s="57"/>
      <c r="DR317" s="79"/>
      <c r="DS317" s="44"/>
      <c r="DT317" s="44"/>
      <c r="DU317" s="44"/>
      <c r="DV317" s="44"/>
      <c r="DW317" s="44"/>
      <c r="DX317" s="144"/>
      <c r="DY317" s="144"/>
      <c r="DZ317" s="144"/>
    </row>
    <row r="318" spans="96:130" x14ac:dyDescent="0.3">
      <c r="CR318" s="44"/>
      <c r="CS318" s="44"/>
      <c r="CT318" s="44"/>
      <c r="CU318" s="44"/>
      <c r="CV318" s="44"/>
      <c r="CW318" s="44"/>
      <c r="CX318" s="44"/>
      <c r="CY318" s="44"/>
      <c r="CZ318" s="44"/>
      <c r="DA318" s="44"/>
      <c r="DB318" s="143"/>
      <c r="DC318" s="44"/>
      <c r="DD318" s="44"/>
      <c r="DE318" s="44"/>
      <c r="DF318" s="44"/>
      <c r="DG318" s="44"/>
      <c r="DH318" s="44"/>
      <c r="DI318" s="75"/>
      <c r="DJ318" s="57"/>
      <c r="DK318" s="57"/>
      <c r="DL318" s="57"/>
      <c r="DM318" s="57"/>
      <c r="DN318" s="79"/>
      <c r="DO318" s="57"/>
      <c r="DP318" s="57"/>
      <c r="DQ318" s="57"/>
      <c r="DR318" s="79"/>
      <c r="DS318" s="44"/>
      <c r="DT318" s="44"/>
      <c r="DU318" s="44"/>
      <c r="DV318" s="44"/>
      <c r="DW318" s="44"/>
      <c r="DX318" s="144"/>
      <c r="DY318" s="144"/>
      <c r="DZ318" s="144"/>
    </row>
    <row r="319" spans="96:130" x14ac:dyDescent="0.3">
      <c r="CR319" s="44"/>
      <c r="CS319" s="44"/>
      <c r="CT319" s="44"/>
      <c r="CU319" s="44"/>
      <c r="CV319" s="44"/>
      <c r="CW319" s="44"/>
      <c r="CX319" s="44"/>
      <c r="CY319" s="44"/>
      <c r="CZ319" s="44"/>
      <c r="DA319" s="44"/>
      <c r="DB319" s="143"/>
      <c r="DC319" s="44"/>
      <c r="DD319" s="44"/>
      <c r="DE319" s="44"/>
      <c r="DF319" s="44"/>
      <c r="DG319" s="44"/>
      <c r="DH319" s="44"/>
      <c r="DI319" s="75"/>
      <c r="DJ319" s="57"/>
      <c r="DK319" s="57"/>
      <c r="DL319" s="57"/>
      <c r="DM319" s="57"/>
      <c r="DN319" s="79"/>
      <c r="DO319" s="57"/>
      <c r="DP319" s="57"/>
      <c r="DQ319" s="57"/>
      <c r="DR319" s="79"/>
      <c r="DS319" s="44"/>
      <c r="DT319" s="44"/>
      <c r="DU319" s="44"/>
      <c r="DV319" s="44"/>
      <c r="DW319" s="44"/>
      <c r="DX319" s="144"/>
      <c r="DY319" s="144"/>
      <c r="DZ319" s="144"/>
    </row>
    <row r="320" spans="96:130" x14ac:dyDescent="0.3">
      <c r="CR320" s="44"/>
      <c r="CS320" s="44"/>
      <c r="CT320" s="44"/>
      <c r="CU320" s="44"/>
      <c r="CV320" s="44"/>
      <c r="CW320" s="44"/>
      <c r="CX320" s="44"/>
      <c r="CY320" s="44"/>
      <c r="CZ320" s="44"/>
      <c r="DA320" s="44"/>
      <c r="DB320" s="143"/>
      <c r="DC320" s="44"/>
      <c r="DD320" s="44"/>
      <c r="DE320" s="44"/>
      <c r="DF320" s="44"/>
      <c r="DG320" s="44"/>
      <c r="DH320" s="44"/>
      <c r="DI320" s="75"/>
      <c r="DJ320" s="57"/>
      <c r="DK320" s="57"/>
      <c r="DL320" s="57"/>
      <c r="DM320" s="57"/>
      <c r="DN320" s="79"/>
      <c r="DO320" s="57"/>
      <c r="DP320" s="57"/>
      <c r="DQ320" s="57"/>
      <c r="DR320" s="79"/>
      <c r="DS320" s="44"/>
      <c r="DT320" s="44"/>
      <c r="DU320" s="44"/>
      <c r="DV320" s="44"/>
      <c r="DW320" s="44"/>
      <c r="DX320" s="144"/>
      <c r="DY320" s="144"/>
      <c r="DZ320" s="144"/>
    </row>
    <row r="321" spans="96:130" x14ac:dyDescent="0.3">
      <c r="CR321" s="44"/>
      <c r="CS321" s="44"/>
      <c r="CT321" s="44"/>
      <c r="CU321" s="44"/>
      <c r="CV321" s="44"/>
      <c r="CW321" s="44"/>
      <c r="CX321" s="44"/>
      <c r="CY321" s="44"/>
      <c r="CZ321" s="44"/>
      <c r="DA321" s="44"/>
      <c r="DB321" s="143"/>
      <c r="DC321" s="44"/>
      <c r="DD321" s="44"/>
      <c r="DE321" s="44"/>
      <c r="DF321" s="44"/>
      <c r="DG321" s="44"/>
      <c r="DH321" s="44"/>
      <c r="DI321" s="75"/>
      <c r="DJ321" s="57"/>
      <c r="DK321" s="57"/>
      <c r="DL321" s="57"/>
      <c r="DM321" s="57"/>
      <c r="DN321" s="79"/>
      <c r="DO321" s="57"/>
      <c r="DP321" s="57"/>
      <c r="DQ321" s="57"/>
      <c r="DR321" s="79"/>
      <c r="DS321" s="44"/>
      <c r="DT321" s="44"/>
      <c r="DU321" s="44"/>
      <c r="DV321" s="44"/>
      <c r="DW321" s="44"/>
      <c r="DX321" s="144"/>
      <c r="DY321" s="144"/>
      <c r="DZ321" s="144"/>
    </row>
    <row r="322" spans="96:130" x14ac:dyDescent="0.3">
      <c r="CR322" s="44"/>
      <c r="CS322" s="44"/>
      <c r="CT322" s="44"/>
      <c r="CU322" s="44"/>
      <c r="CV322" s="44"/>
      <c r="CW322" s="44"/>
      <c r="CX322" s="44"/>
      <c r="CY322" s="44"/>
      <c r="CZ322" s="44"/>
      <c r="DA322" s="44"/>
      <c r="DB322" s="143"/>
      <c r="DC322" s="44"/>
      <c r="DD322" s="44"/>
      <c r="DE322" s="44"/>
      <c r="DF322" s="44"/>
      <c r="DG322" s="44"/>
      <c r="DH322" s="44"/>
      <c r="DI322" s="75"/>
      <c r="DJ322" s="57"/>
      <c r="DK322" s="57"/>
      <c r="DL322" s="57"/>
      <c r="DM322" s="57"/>
      <c r="DN322" s="79"/>
      <c r="DO322" s="57"/>
      <c r="DP322" s="57"/>
      <c r="DQ322" s="57"/>
      <c r="DR322" s="79"/>
      <c r="DS322" s="44"/>
      <c r="DT322" s="44"/>
      <c r="DU322" s="44"/>
      <c r="DV322" s="44"/>
      <c r="DW322" s="44"/>
      <c r="DX322" s="144"/>
      <c r="DY322" s="144"/>
      <c r="DZ322" s="144"/>
    </row>
    <row r="323" spans="96:130" x14ac:dyDescent="0.3">
      <c r="CR323" s="44"/>
      <c r="CS323" s="44"/>
      <c r="CT323" s="44"/>
      <c r="CU323" s="44"/>
      <c r="CV323" s="44"/>
      <c r="CW323" s="44"/>
      <c r="CX323" s="44"/>
      <c r="CY323" s="44"/>
      <c r="CZ323" s="44"/>
      <c r="DA323" s="44"/>
      <c r="DB323" s="143"/>
      <c r="DC323" s="44"/>
      <c r="DD323" s="44"/>
      <c r="DE323" s="44"/>
      <c r="DF323" s="44"/>
      <c r="DG323" s="44"/>
      <c r="DH323" s="44"/>
      <c r="DI323" s="75"/>
      <c r="DJ323" s="57"/>
      <c r="DK323" s="57"/>
      <c r="DL323" s="57"/>
      <c r="DM323" s="57"/>
      <c r="DN323" s="79"/>
      <c r="DO323" s="57"/>
      <c r="DP323" s="57"/>
      <c r="DQ323" s="57"/>
      <c r="DR323" s="79"/>
      <c r="DS323" s="44"/>
      <c r="DT323" s="44"/>
      <c r="DU323" s="44"/>
      <c r="DV323" s="44"/>
      <c r="DW323" s="44"/>
      <c r="DX323" s="144"/>
      <c r="DY323" s="144"/>
      <c r="DZ323" s="144"/>
    </row>
    <row r="324" spans="96:130" x14ac:dyDescent="0.3">
      <c r="CR324" s="44"/>
      <c r="CS324" s="44"/>
      <c r="CT324" s="44"/>
      <c r="CU324" s="44"/>
      <c r="CV324" s="44"/>
      <c r="CW324" s="44"/>
      <c r="CX324" s="44"/>
      <c r="CY324" s="44"/>
      <c r="CZ324" s="44"/>
      <c r="DA324" s="44"/>
      <c r="DB324" s="143"/>
      <c r="DC324" s="44"/>
      <c r="DD324" s="44"/>
      <c r="DE324" s="44"/>
      <c r="DF324" s="44"/>
      <c r="DG324" s="44"/>
      <c r="DH324" s="44"/>
      <c r="DI324" s="75"/>
      <c r="DJ324" s="57"/>
      <c r="DK324" s="57"/>
      <c r="DL324" s="57"/>
      <c r="DM324" s="57"/>
      <c r="DN324" s="79"/>
      <c r="DO324" s="57"/>
      <c r="DP324" s="57"/>
      <c r="DQ324" s="57"/>
      <c r="DR324" s="79"/>
      <c r="DS324" s="44"/>
      <c r="DT324" s="44"/>
      <c r="DU324" s="44"/>
      <c r="DV324" s="44"/>
      <c r="DW324" s="44"/>
      <c r="DX324" s="144"/>
      <c r="DY324" s="144"/>
      <c r="DZ324" s="144"/>
    </row>
    <row r="325" spans="96:130" x14ac:dyDescent="0.3">
      <c r="CR325" s="44"/>
      <c r="CS325" s="44"/>
      <c r="CT325" s="44"/>
      <c r="CU325" s="44"/>
      <c r="CV325" s="44"/>
      <c r="CW325" s="44"/>
      <c r="CX325" s="44"/>
      <c r="CY325" s="44"/>
      <c r="CZ325" s="44"/>
      <c r="DA325" s="44"/>
      <c r="DB325" s="143"/>
      <c r="DC325" s="44"/>
      <c r="DD325" s="44"/>
      <c r="DE325" s="44"/>
      <c r="DF325" s="44"/>
      <c r="DG325" s="44"/>
      <c r="DH325" s="44"/>
      <c r="DI325" s="75"/>
      <c r="DJ325" s="57"/>
      <c r="DK325" s="57"/>
      <c r="DL325" s="57"/>
      <c r="DM325" s="57"/>
      <c r="DN325" s="79"/>
      <c r="DO325" s="57"/>
      <c r="DP325" s="57"/>
      <c r="DQ325" s="57"/>
      <c r="DR325" s="79"/>
      <c r="DS325" s="44"/>
      <c r="DT325" s="44"/>
      <c r="DU325" s="44"/>
      <c r="DV325" s="44"/>
      <c r="DW325" s="44"/>
      <c r="DX325" s="144"/>
      <c r="DY325" s="144"/>
      <c r="DZ325" s="144"/>
    </row>
    <row r="326" spans="96:130" x14ac:dyDescent="0.3">
      <c r="CR326" s="44"/>
      <c r="CS326" s="44"/>
      <c r="CT326" s="44"/>
      <c r="CU326" s="44"/>
      <c r="CV326" s="44"/>
      <c r="CW326" s="44"/>
      <c r="CX326" s="44"/>
      <c r="CY326" s="44"/>
      <c r="CZ326" s="44"/>
      <c r="DA326" s="44"/>
      <c r="DB326" s="143"/>
      <c r="DC326" s="44"/>
      <c r="DD326" s="44"/>
      <c r="DE326" s="44"/>
      <c r="DF326" s="44"/>
      <c r="DG326" s="44"/>
      <c r="DH326" s="44"/>
      <c r="DI326" s="75"/>
      <c r="DJ326" s="57"/>
      <c r="DK326" s="57"/>
      <c r="DL326" s="57"/>
      <c r="DM326" s="57"/>
      <c r="DN326" s="79"/>
      <c r="DO326" s="57"/>
      <c r="DP326" s="57"/>
      <c r="DQ326" s="57"/>
      <c r="DR326" s="79"/>
      <c r="DS326" s="44"/>
      <c r="DT326" s="44"/>
      <c r="DU326" s="44"/>
      <c r="DV326" s="44"/>
      <c r="DW326" s="44"/>
      <c r="DX326" s="144"/>
      <c r="DY326" s="144"/>
      <c r="DZ326" s="144"/>
    </row>
    <row r="327" spans="96:130" x14ac:dyDescent="0.3">
      <c r="CR327" s="44"/>
      <c r="CS327" s="44"/>
      <c r="CT327" s="44"/>
      <c r="CU327" s="44"/>
      <c r="CV327" s="44"/>
      <c r="CW327" s="44"/>
      <c r="CX327" s="44"/>
      <c r="CY327" s="44"/>
      <c r="CZ327" s="44"/>
      <c r="DA327" s="44"/>
      <c r="DB327" s="143"/>
      <c r="DC327" s="44"/>
      <c r="DD327" s="44"/>
      <c r="DE327" s="44"/>
      <c r="DF327" s="44"/>
      <c r="DG327" s="44"/>
      <c r="DH327" s="44"/>
      <c r="DI327" s="75"/>
      <c r="DJ327" s="57"/>
      <c r="DK327" s="57"/>
      <c r="DL327" s="57"/>
      <c r="DM327" s="57"/>
      <c r="DN327" s="79"/>
      <c r="DO327" s="57"/>
      <c r="DP327" s="57"/>
      <c r="DQ327" s="57"/>
      <c r="DR327" s="79"/>
      <c r="DS327" s="44"/>
      <c r="DT327" s="44"/>
      <c r="DU327" s="44"/>
      <c r="DV327" s="44"/>
      <c r="DW327" s="44"/>
      <c r="DX327" s="144"/>
      <c r="DY327" s="144"/>
      <c r="DZ327" s="144"/>
    </row>
    <row r="328" spans="96:130" x14ac:dyDescent="0.3">
      <c r="CR328" s="44"/>
      <c r="CS328" s="44"/>
      <c r="CT328" s="44"/>
      <c r="CU328" s="44"/>
      <c r="CV328" s="44"/>
      <c r="CW328" s="44"/>
      <c r="CX328" s="44"/>
      <c r="CY328" s="44"/>
      <c r="CZ328" s="44"/>
      <c r="DA328" s="44"/>
      <c r="DB328" s="143"/>
      <c r="DC328" s="44"/>
      <c r="DD328" s="44"/>
      <c r="DE328" s="44"/>
      <c r="DF328" s="44"/>
      <c r="DG328" s="44"/>
      <c r="DH328" s="44"/>
      <c r="DI328" s="75"/>
      <c r="DJ328" s="57"/>
      <c r="DK328" s="57"/>
      <c r="DL328" s="57"/>
      <c r="DM328" s="57"/>
      <c r="DN328" s="79"/>
      <c r="DO328" s="57"/>
      <c r="DP328" s="57"/>
      <c r="DQ328" s="57"/>
      <c r="DR328" s="79"/>
      <c r="DS328" s="44"/>
      <c r="DT328" s="44"/>
      <c r="DU328" s="44"/>
      <c r="DV328" s="44"/>
      <c r="DW328" s="44"/>
      <c r="DX328" s="144"/>
      <c r="DY328" s="144"/>
      <c r="DZ328" s="144"/>
    </row>
    <row r="329" spans="96:130" x14ac:dyDescent="0.3">
      <c r="CR329" s="44"/>
      <c r="CS329" s="44"/>
      <c r="CT329" s="44"/>
      <c r="CU329" s="44"/>
      <c r="CV329" s="44"/>
      <c r="CW329" s="44"/>
      <c r="CX329" s="44"/>
      <c r="CY329" s="44"/>
      <c r="CZ329" s="44"/>
      <c r="DA329" s="44"/>
      <c r="DB329" s="143"/>
      <c r="DC329" s="44"/>
      <c r="DD329" s="44"/>
      <c r="DE329" s="44"/>
      <c r="DF329" s="44"/>
      <c r="DG329" s="44"/>
      <c r="DH329" s="44"/>
      <c r="DI329" s="75"/>
      <c r="DJ329" s="57"/>
      <c r="DK329" s="57"/>
      <c r="DL329" s="57"/>
      <c r="DM329" s="57"/>
      <c r="DN329" s="79"/>
      <c r="DO329" s="57"/>
      <c r="DP329" s="57"/>
      <c r="DQ329" s="57"/>
      <c r="DR329" s="79"/>
      <c r="DS329" s="44"/>
      <c r="DT329" s="44"/>
      <c r="DU329" s="44"/>
      <c r="DV329" s="44"/>
      <c r="DW329" s="44"/>
      <c r="DX329" s="144"/>
      <c r="DY329" s="144"/>
      <c r="DZ329" s="144"/>
    </row>
    <row r="330" spans="96:130" x14ac:dyDescent="0.3">
      <c r="CR330" s="44"/>
      <c r="CS330" s="44"/>
      <c r="CT330" s="44"/>
      <c r="CU330" s="44"/>
      <c r="CV330" s="44"/>
      <c r="CW330" s="44"/>
      <c r="CX330" s="44"/>
      <c r="CY330" s="44"/>
      <c r="CZ330" s="44"/>
      <c r="DA330" s="44"/>
      <c r="DB330" s="143"/>
      <c r="DC330" s="44"/>
      <c r="DD330" s="44"/>
      <c r="DE330" s="44"/>
      <c r="DF330" s="44"/>
      <c r="DG330" s="44"/>
      <c r="DH330" s="44"/>
      <c r="DI330" s="75"/>
      <c r="DJ330" s="57"/>
      <c r="DK330" s="57"/>
      <c r="DL330" s="57"/>
      <c r="DM330" s="57"/>
      <c r="DN330" s="79"/>
      <c r="DO330" s="57"/>
      <c r="DP330" s="57"/>
      <c r="DQ330" s="57"/>
      <c r="DR330" s="79"/>
      <c r="DS330" s="44"/>
      <c r="DT330" s="44"/>
      <c r="DU330" s="44"/>
      <c r="DV330" s="44"/>
      <c r="DW330" s="44"/>
      <c r="DX330" s="144"/>
      <c r="DY330" s="144"/>
      <c r="DZ330" s="144"/>
    </row>
    <row r="331" spans="96:130" x14ac:dyDescent="0.3">
      <c r="CR331" s="44"/>
      <c r="CS331" s="44"/>
      <c r="CT331" s="44"/>
      <c r="CU331" s="44"/>
      <c r="CV331" s="44"/>
      <c r="CW331" s="44"/>
      <c r="CX331" s="44"/>
      <c r="CY331" s="44"/>
      <c r="CZ331" s="44"/>
      <c r="DA331" s="44"/>
      <c r="DB331" s="143"/>
      <c r="DC331" s="44"/>
      <c r="DD331" s="44"/>
      <c r="DE331" s="44"/>
      <c r="DF331" s="44"/>
      <c r="DG331" s="44"/>
      <c r="DH331" s="44"/>
      <c r="DI331" s="75"/>
      <c r="DJ331" s="57"/>
      <c r="DK331" s="57"/>
      <c r="DL331" s="57"/>
      <c r="DM331" s="57"/>
      <c r="DN331" s="79"/>
      <c r="DO331" s="57"/>
      <c r="DP331" s="57"/>
      <c r="DQ331" s="57"/>
      <c r="DR331" s="79"/>
      <c r="DS331" s="44"/>
      <c r="DT331" s="44"/>
      <c r="DU331" s="44"/>
      <c r="DV331" s="44"/>
      <c r="DW331" s="44"/>
      <c r="DX331" s="144"/>
      <c r="DY331" s="144"/>
      <c r="DZ331" s="144"/>
    </row>
    <row r="332" spans="96:130" x14ac:dyDescent="0.3">
      <c r="CR332" s="44"/>
      <c r="CS332" s="44"/>
      <c r="CT332" s="44"/>
      <c r="CU332" s="44"/>
      <c r="CV332" s="44"/>
      <c r="CW332" s="44"/>
      <c r="CX332" s="44"/>
      <c r="CY332" s="44"/>
      <c r="CZ332" s="44"/>
      <c r="DA332" s="44"/>
      <c r="DB332" s="143"/>
      <c r="DC332" s="44"/>
      <c r="DD332" s="44"/>
      <c r="DE332" s="44"/>
      <c r="DF332" s="44"/>
      <c r="DG332" s="44"/>
      <c r="DH332" s="44"/>
      <c r="DI332" s="75"/>
      <c r="DJ332" s="57"/>
      <c r="DK332" s="57"/>
      <c r="DL332" s="57"/>
      <c r="DM332" s="57"/>
      <c r="DN332" s="79"/>
      <c r="DO332" s="57"/>
      <c r="DP332" s="57"/>
      <c r="DQ332" s="57"/>
      <c r="DR332" s="79"/>
      <c r="DS332" s="44"/>
      <c r="DT332" s="44"/>
      <c r="DU332" s="44"/>
      <c r="DV332" s="44"/>
      <c r="DW332" s="44"/>
      <c r="DX332" s="144"/>
      <c r="DY332" s="144"/>
      <c r="DZ332" s="144"/>
    </row>
    <row r="333" spans="96:130" x14ac:dyDescent="0.3">
      <c r="CR333" s="44"/>
      <c r="CS333" s="44"/>
      <c r="CT333" s="44"/>
      <c r="CU333" s="44"/>
      <c r="CV333" s="44"/>
      <c r="CW333" s="44"/>
      <c r="CX333" s="44"/>
      <c r="CY333" s="44"/>
      <c r="CZ333" s="44"/>
      <c r="DA333" s="44"/>
      <c r="DB333" s="143"/>
      <c r="DC333" s="44"/>
      <c r="DD333" s="44"/>
      <c r="DE333" s="44"/>
      <c r="DF333" s="44"/>
      <c r="DG333" s="44"/>
      <c r="DH333" s="44"/>
      <c r="DI333" s="75"/>
      <c r="DJ333" s="57"/>
      <c r="DK333" s="57"/>
      <c r="DL333" s="57"/>
      <c r="DM333" s="57"/>
      <c r="DN333" s="79"/>
      <c r="DO333" s="57"/>
      <c r="DP333" s="57"/>
      <c r="DQ333" s="57"/>
      <c r="DR333" s="79"/>
      <c r="DS333" s="44"/>
      <c r="DT333" s="44"/>
      <c r="DU333" s="44"/>
      <c r="DV333" s="44"/>
      <c r="DW333" s="44"/>
      <c r="DX333" s="144"/>
      <c r="DY333" s="144"/>
      <c r="DZ333" s="144"/>
    </row>
    <row r="334" spans="96:130" x14ac:dyDescent="0.3">
      <c r="CR334" s="44"/>
      <c r="CS334" s="44"/>
      <c r="CT334" s="44"/>
      <c r="CU334" s="44"/>
      <c r="CV334" s="44"/>
      <c r="CW334" s="44"/>
      <c r="CX334" s="44"/>
      <c r="CY334" s="44"/>
      <c r="CZ334" s="44"/>
      <c r="DA334" s="44"/>
      <c r="DB334" s="143"/>
      <c r="DC334" s="44"/>
      <c r="DD334" s="44"/>
      <c r="DE334" s="44"/>
      <c r="DF334" s="44"/>
      <c r="DG334" s="44"/>
      <c r="DH334" s="44"/>
      <c r="DI334" s="75"/>
      <c r="DJ334" s="57"/>
      <c r="DK334" s="57"/>
      <c r="DL334" s="57"/>
      <c r="DM334" s="57"/>
      <c r="DN334" s="79"/>
      <c r="DO334" s="57"/>
      <c r="DP334" s="57"/>
      <c r="DQ334" s="57"/>
      <c r="DR334" s="79"/>
      <c r="DS334" s="44"/>
      <c r="DT334" s="44"/>
      <c r="DU334" s="44"/>
      <c r="DV334" s="44"/>
      <c r="DW334" s="44"/>
      <c r="DX334" s="144"/>
      <c r="DY334" s="144"/>
      <c r="DZ334" s="144"/>
    </row>
    <row r="335" spans="96:130" x14ac:dyDescent="0.3">
      <c r="CR335" s="44"/>
      <c r="CS335" s="44"/>
      <c r="CT335" s="44"/>
      <c r="CU335" s="44"/>
      <c r="CV335" s="44"/>
      <c r="CW335" s="44"/>
      <c r="CX335" s="44"/>
      <c r="CY335" s="44"/>
      <c r="CZ335" s="44"/>
      <c r="DA335" s="44"/>
      <c r="DB335" s="143"/>
      <c r="DC335" s="44"/>
      <c r="DD335" s="44"/>
      <c r="DE335" s="44"/>
      <c r="DF335" s="44"/>
      <c r="DG335" s="44"/>
      <c r="DH335" s="44"/>
      <c r="DI335" s="75"/>
      <c r="DJ335" s="57"/>
      <c r="DK335" s="57"/>
      <c r="DL335" s="57"/>
      <c r="DM335" s="57"/>
      <c r="DN335" s="79"/>
      <c r="DO335" s="57"/>
      <c r="DP335" s="57"/>
      <c r="DQ335" s="57"/>
      <c r="DR335" s="79"/>
      <c r="DS335" s="44"/>
      <c r="DT335" s="44"/>
      <c r="DU335" s="44"/>
      <c r="DV335" s="44"/>
      <c r="DW335" s="44"/>
      <c r="DX335" s="144"/>
      <c r="DY335" s="144"/>
      <c r="DZ335" s="144"/>
    </row>
    <row r="336" spans="96:130" x14ac:dyDescent="0.3">
      <c r="CR336" s="44"/>
      <c r="CS336" s="44"/>
      <c r="CT336" s="44"/>
      <c r="CU336" s="44"/>
      <c r="CV336" s="44"/>
      <c r="CW336" s="44"/>
      <c r="CX336" s="44"/>
      <c r="CY336" s="44"/>
      <c r="CZ336" s="44"/>
      <c r="DA336" s="44"/>
      <c r="DB336" s="143"/>
      <c r="DC336" s="44"/>
      <c r="DD336" s="44"/>
      <c r="DE336" s="44"/>
      <c r="DF336" s="44"/>
      <c r="DG336" s="44"/>
      <c r="DH336" s="44"/>
      <c r="DI336" s="75"/>
      <c r="DJ336" s="57"/>
      <c r="DK336" s="57"/>
      <c r="DL336" s="57"/>
      <c r="DM336" s="57"/>
      <c r="DN336" s="79"/>
      <c r="DO336" s="57"/>
      <c r="DP336" s="57"/>
      <c r="DQ336" s="57"/>
      <c r="DR336" s="79"/>
      <c r="DS336" s="44"/>
      <c r="DT336" s="44"/>
      <c r="DU336" s="44"/>
      <c r="DV336" s="44"/>
      <c r="DW336" s="44"/>
      <c r="DX336" s="144"/>
      <c r="DY336" s="144"/>
      <c r="DZ336" s="144"/>
    </row>
    <row r="337" spans="96:130" x14ac:dyDescent="0.3">
      <c r="CR337" s="44"/>
      <c r="CS337" s="44"/>
      <c r="CT337" s="44"/>
      <c r="CU337" s="44"/>
      <c r="CV337" s="44"/>
      <c r="CW337" s="44"/>
      <c r="CX337" s="44"/>
      <c r="CY337" s="44"/>
      <c r="CZ337" s="44"/>
      <c r="DA337" s="44"/>
      <c r="DB337" s="143"/>
      <c r="DC337" s="44"/>
      <c r="DD337" s="44"/>
      <c r="DE337" s="44"/>
      <c r="DF337" s="44"/>
      <c r="DG337" s="44"/>
      <c r="DH337" s="44"/>
      <c r="DI337" s="75"/>
      <c r="DJ337" s="57"/>
      <c r="DK337" s="57"/>
      <c r="DL337" s="57"/>
      <c r="DM337" s="57"/>
      <c r="DN337" s="79"/>
      <c r="DO337" s="57"/>
      <c r="DP337" s="57"/>
      <c r="DQ337" s="57"/>
      <c r="DR337" s="79"/>
      <c r="DS337" s="44"/>
      <c r="DT337" s="44"/>
      <c r="DU337" s="44"/>
      <c r="DV337" s="44"/>
      <c r="DW337" s="44"/>
      <c r="DX337" s="144"/>
      <c r="DY337" s="144"/>
      <c r="DZ337" s="144"/>
    </row>
    <row r="338" spans="96:130" x14ac:dyDescent="0.3">
      <c r="CR338" s="44"/>
      <c r="CS338" s="44"/>
      <c r="CT338" s="44"/>
      <c r="CU338" s="44"/>
      <c r="CV338" s="44"/>
      <c r="CW338" s="44"/>
      <c r="CX338" s="44"/>
      <c r="CY338" s="44"/>
      <c r="CZ338" s="44"/>
      <c r="DA338" s="44"/>
      <c r="DB338" s="143"/>
      <c r="DC338" s="44"/>
      <c r="DD338" s="44"/>
      <c r="DE338" s="44"/>
      <c r="DF338" s="44"/>
      <c r="DG338" s="44"/>
      <c r="DH338" s="44"/>
      <c r="DI338" s="75"/>
      <c r="DJ338" s="57"/>
      <c r="DK338" s="57"/>
      <c r="DL338" s="57"/>
      <c r="DM338" s="57"/>
      <c r="DN338" s="79"/>
      <c r="DO338" s="57"/>
      <c r="DP338" s="57"/>
      <c r="DQ338" s="57"/>
      <c r="DR338" s="79"/>
      <c r="DS338" s="44"/>
      <c r="DT338" s="44"/>
      <c r="DU338" s="44"/>
      <c r="DV338" s="44"/>
      <c r="DW338" s="44"/>
      <c r="DX338" s="144"/>
      <c r="DY338" s="144"/>
      <c r="DZ338" s="144"/>
    </row>
    <row r="339" spans="96:130" x14ac:dyDescent="0.3">
      <c r="CR339" s="44"/>
      <c r="CS339" s="44"/>
      <c r="CT339" s="44"/>
      <c r="CU339" s="44"/>
      <c r="CV339" s="44"/>
      <c r="CW339" s="44"/>
      <c r="CX339" s="44"/>
      <c r="CY339" s="44"/>
      <c r="CZ339" s="44"/>
      <c r="DA339" s="44"/>
      <c r="DB339" s="143"/>
      <c r="DC339" s="44"/>
      <c r="DD339" s="44"/>
      <c r="DE339" s="44"/>
      <c r="DF339" s="44"/>
      <c r="DG339" s="44"/>
      <c r="DH339" s="44"/>
      <c r="DI339" s="75"/>
      <c r="DJ339" s="57"/>
      <c r="DK339" s="57"/>
      <c r="DL339" s="57"/>
      <c r="DM339" s="57"/>
      <c r="DN339" s="79"/>
      <c r="DO339" s="57"/>
      <c r="DP339" s="57"/>
      <c r="DQ339" s="57"/>
      <c r="DR339" s="79"/>
      <c r="DS339" s="44"/>
      <c r="DT339" s="44"/>
      <c r="DU339" s="44"/>
      <c r="DV339" s="44"/>
      <c r="DW339" s="44"/>
      <c r="DX339" s="144"/>
      <c r="DY339" s="144"/>
      <c r="DZ339" s="144"/>
    </row>
    <row r="340" spans="96:130" x14ac:dyDescent="0.3">
      <c r="CR340" s="44"/>
      <c r="CS340" s="44"/>
      <c r="CT340" s="44"/>
      <c r="CU340" s="44"/>
      <c r="CV340" s="44"/>
      <c r="CW340" s="44"/>
      <c r="CX340" s="44"/>
      <c r="CY340" s="44"/>
      <c r="CZ340" s="44"/>
      <c r="DA340" s="44"/>
      <c r="DB340" s="143"/>
      <c r="DC340" s="44"/>
      <c r="DD340" s="44"/>
      <c r="DE340" s="44"/>
      <c r="DF340" s="44"/>
      <c r="DG340" s="44"/>
      <c r="DH340" s="44"/>
      <c r="DI340" s="75"/>
      <c r="DJ340" s="57"/>
      <c r="DK340" s="57"/>
      <c r="DL340" s="57"/>
      <c r="DM340" s="57"/>
      <c r="DN340" s="79"/>
      <c r="DO340" s="57"/>
      <c r="DP340" s="57"/>
      <c r="DQ340" s="57"/>
      <c r="DR340" s="79"/>
      <c r="DS340" s="44"/>
      <c r="DT340" s="44"/>
      <c r="DU340" s="44"/>
      <c r="DV340" s="44"/>
      <c r="DW340" s="44"/>
      <c r="DX340" s="144"/>
      <c r="DY340" s="144"/>
      <c r="DZ340" s="144"/>
    </row>
    <row r="341" spans="96:130" x14ac:dyDescent="0.3">
      <c r="CR341" s="44"/>
      <c r="CS341" s="44"/>
      <c r="CT341" s="44"/>
      <c r="CU341" s="44"/>
      <c r="CV341" s="44"/>
      <c r="CW341" s="44"/>
      <c r="CX341" s="44"/>
      <c r="CY341" s="44"/>
      <c r="CZ341" s="44"/>
      <c r="DA341" s="44"/>
      <c r="DB341" s="143"/>
      <c r="DC341" s="44"/>
      <c r="DD341" s="44"/>
      <c r="DE341" s="44"/>
      <c r="DF341" s="44"/>
      <c r="DG341" s="44"/>
      <c r="DH341" s="44"/>
      <c r="DI341" s="75"/>
      <c r="DJ341" s="57"/>
      <c r="DK341" s="57"/>
      <c r="DL341" s="57"/>
      <c r="DM341" s="57"/>
      <c r="DN341" s="79"/>
      <c r="DO341" s="57"/>
      <c r="DP341" s="57"/>
      <c r="DQ341" s="57"/>
      <c r="DR341" s="79"/>
      <c r="DS341" s="44"/>
      <c r="DT341" s="44"/>
      <c r="DU341" s="44"/>
      <c r="DV341" s="44"/>
      <c r="DW341" s="44"/>
      <c r="DX341" s="144"/>
      <c r="DY341" s="144"/>
      <c r="DZ341" s="144"/>
    </row>
    <row r="342" spans="96:130" x14ac:dyDescent="0.3">
      <c r="CR342" s="44"/>
      <c r="CS342" s="44"/>
      <c r="CT342" s="44"/>
      <c r="CU342" s="44"/>
      <c r="CV342" s="44"/>
      <c r="CW342" s="44"/>
      <c r="CX342" s="44"/>
      <c r="CY342" s="44"/>
      <c r="CZ342" s="44"/>
      <c r="DA342" s="44"/>
      <c r="DB342" s="143"/>
      <c r="DC342" s="44"/>
      <c r="DD342" s="44"/>
      <c r="DE342" s="44"/>
      <c r="DF342" s="44"/>
      <c r="DG342" s="44"/>
      <c r="DH342" s="44"/>
      <c r="DI342" s="75"/>
      <c r="DJ342" s="57"/>
      <c r="DK342" s="57"/>
      <c r="DL342" s="57"/>
      <c r="DM342" s="57"/>
      <c r="DN342" s="79"/>
      <c r="DO342" s="57"/>
      <c r="DP342" s="57"/>
      <c r="DQ342" s="57"/>
      <c r="DR342" s="79"/>
      <c r="DS342" s="44"/>
      <c r="DT342" s="44"/>
      <c r="DU342" s="44"/>
      <c r="DV342" s="44"/>
      <c r="DW342" s="44"/>
      <c r="DX342" s="144"/>
      <c r="DY342" s="144"/>
      <c r="DZ342" s="144"/>
    </row>
    <row r="343" spans="96:130" x14ac:dyDescent="0.3">
      <c r="CR343" s="44"/>
      <c r="CS343" s="44"/>
      <c r="CT343" s="44"/>
      <c r="CU343" s="44"/>
      <c r="CV343" s="44"/>
      <c r="CW343" s="44"/>
      <c r="CX343" s="44"/>
      <c r="CY343" s="44"/>
      <c r="CZ343" s="44"/>
      <c r="DA343" s="44"/>
      <c r="DB343" s="143"/>
      <c r="DC343" s="44"/>
      <c r="DD343" s="44"/>
      <c r="DE343" s="44"/>
      <c r="DF343" s="44"/>
      <c r="DG343" s="44"/>
      <c r="DH343" s="44"/>
      <c r="DI343" s="75"/>
      <c r="DJ343" s="57"/>
      <c r="DK343" s="57"/>
      <c r="DL343" s="57"/>
      <c r="DM343" s="57"/>
      <c r="DN343" s="79"/>
      <c r="DO343" s="57"/>
      <c r="DP343" s="57"/>
      <c r="DQ343" s="57"/>
      <c r="DR343" s="79"/>
      <c r="DS343" s="44"/>
      <c r="DT343" s="44"/>
      <c r="DU343" s="44"/>
      <c r="DV343" s="44"/>
      <c r="DW343" s="44"/>
      <c r="DX343" s="144"/>
      <c r="DY343" s="144"/>
      <c r="DZ343" s="144"/>
    </row>
    <row r="344" spans="96:130" x14ac:dyDescent="0.3">
      <c r="CR344" s="44"/>
      <c r="CS344" s="44"/>
      <c r="CT344" s="44"/>
      <c r="CU344" s="44"/>
      <c r="CV344" s="44"/>
      <c r="CW344" s="44"/>
      <c r="CX344" s="44"/>
      <c r="CY344" s="44"/>
      <c r="CZ344" s="44"/>
      <c r="DA344" s="44"/>
      <c r="DB344" s="143"/>
      <c r="DC344" s="44"/>
      <c r="DD344" s="44"/>
      <c r="DE344" s="44"/>
      <c r="DF344" s="44"/>
      <c r="DG344" s="44"/>
      <c r="DH344" s="44"/>
      <c r="DI344" s="75"/>
      <c r="DJ344" s="57"/>
      <c r="DK344" s="57"/>
      <c r="DL344" s="57"/>
      <c r="DM344" s="57"/>
      <c r="DN344" s="79"/>
      <c r="DO344" s="57"/>
      <c r="DP344" s="57"/>
      <c r="DQ344" s="57"/>
      <c r="DR344" s="79"/>
      <c r="DS344" s="44"/>
      <c r="DT344" s="44"/>
      <c r="DU344" s="44"/>
      <c r="DV344" s="44"/>
      <c r="DW344" s="44"/>
      <c r="DX344" s="144"/>
      <c r="DY344" s="144"/>
      <c r="DZ344" s="144"/>
    </row>
    <row r="345" spans="96:130" x14ac:dyDescent="0.3">
      <c r="CR345" s="44"/>
      <c r="CS345" s="44"/>
      <c r="CT345" s="44"/>
      <c r="CU345" s="44"/>
      <c r="CV345" s="44"/>
      <c r="CW345" s="44"/>
      <c r="CX345" s="44"/>
      <c r="CY345" s="44"/>
      <c r="CZ345" s="44"/>
      <c r="DA345" s="44"/>
      <c r="DB345" s="143"/>
      <c r="DC345" s="44"/>
      <c r="DD345" s="44"/>
      <c r="DE345" s="44"/>
      <c r="DF345" s="44"/>
      <c r="DG345" s="44"/>
      <c r="DH345" s="44"/>
      <c r="DI345" s="75"/>
      <c r="DJ345" s="57"/>
      <c r="DK345" s="57"/>
      <c r="DL345" s="57"/>
      <c r="DM345" s="57"/>
      <c r="DN345" s="79"/>
      <c r="DO345" s="57"/>
      <c r="DP345" s="57"/>
      <c r="DQ345" s="57"/>
      <c r="DR345" s="79"/>
      <c r="DS345" s="44"/>
      <c r="DT345" s="44"/>
      <c r="DU345" s="44"/>
      <c r="DV345" s="44"/>
      <c r="DW345" s="44"/>
      <c r="DX345" s="144"/>
      <c r="DY345" s="144"/>
      <c r="DZ345" s="144"/>
    </row>
    <row r="346" spans="96:130" x14ac:dyDescent="0.3">
      <c r="CR346" s="44"/>
      <c r="CS346" s="44"/>
      <c r="CT346" s="44"/>
      <c r="CU346" s="44"/>
      <c r="CV346" s="44"/>
      <c r="CW346" s="44"/>
      <c r="CX346" s="44"/>
      <c r="CY346" s="44"/>
      <c r="CZ346" s="44"/>
      <c r="DA346" s="44"/>
      <c r="DB346" s="143"/>
      <c r="DC346" s="44"/>
      <c r="DD346" s="44"/>
      <c r="DE346" s="44"/>
      <c r="DF346" s="44"/>
      <c r="DG346" s="44"/>
      <c r="DH346" s="44"/>
      <c r="DI346" s="75"/>
      <c r="DJ346" s="57"/>
      <c r="DK346" s="57"/>
      <c r="DL346" s="57"/>
      <c r="DM346" s="57"/>
      <c r="DN346" s="79"/>
      <c r="DO346" s="57"/>
      <c r="DP346" s="57"/>
      <c r="DQ346" s="57"/>
      <c r="DR346" s="79"/>
      <c r="DS346" s="44"/>
      <c r="DT346" s="44"/>
      <c r="DU346" s="44"/>
      <c r="DV346" s="44"/>
      <c r="DW346" s="44"/>
      <c r="DX346" s="144"/>
      <c r="DY346" s="144"/>
      <c r="DZ346" s="144"/>
    </row>
    <row r="347" spans="96:130" x14ac:dyDescent="0.3">
      <c r="CR347" s="44"/>
      <c r="CS347" s="44"/>
      <c r="CT347" s="44"/>
      <c r="CU347" s="44"/>
      <c r="CV347" s="44"/>
      <c r="CW347" s="44"/>
      <c r="CX347" s="44"/>
      <c r="CY347" s="44"/>
      <c r="CZ347" s="44"/>
      <c r="DA347" s="44"/>
      <c r="DB347" s="143"/>
      <c r="DC347" s="44"/>
      <c r="DD347" s="44"/>
      <c r="DE347" s="44"/>
      <c r="DF347" s="44"/>
      <c r="DG347" s="44"/>
      <c r="DH347" s="44"/>
      <c r="DI347" s="75"/>
      <c r="DJ347" s="57"/>
      <c r="DK347" s="57"/>
      <c r="DL347" s="57"/>
      <c r="DM347" s="57"/>
      <c r="DN347" s="79"/>
      <c r="DO347" s="57"/>
      <c r="DP347" s="57"/>
      <c r="DQ347" s="57"/>
      <c r="DR347" s="79"/>
      <c r="DS347" s="44"/>
      <c r="DT347" s="44"/>
      <c r="DU347" s="44"/>
      <c r="DV347" s="44"/>
      <c r="DW347" s="44"/>
      <c r="DX347" s="144"/>
      <c r="DY347" s="144"/>
      <c r="DZ347" s="144"/>
    </row>
    <row r="348" spans="96:130" x14ac:dyDescent="0.3">
      <c r="CR348" s="44"/>
      <c r="CS348" s="44"/>
      <c r="CT348" s="44"/>
      <c r="CU348" s="44"/>
      <c r="CV348" s="44"/>
      <c r="CW348" s="44"/>
      <c r="CX348" s="44"/>
      <c r="CY348" s="44"/>
      <c r="CZ348" s="44"/>
      <c r="DA348" s="44"/>
      <c r="DB348" s="143"/>
      <c r="DC348" s="44"/>
      <c r="DD348" s="44"/>
      <c r="DE348" s="44"/>
      <c r="DF348" s="44"/>
      <c r="DG348" s="44"/>
      <c r="DH348" s="44"/>
      <c r="DI348" s="75"/>
      <c r="DJ348" s="57"/>
      <c r="DK348" s="57"/>
      <c r="DL348" s="57"/>
      <c r="DM348" s="57"/>
      <c r="DN348" s="79"/>
      <c r="DO348" s="57"/>
      <c r="DP348" s="57"/>
      <c r="DQ348" s="57"/>
      <c r="DR348" s="79"/>
      <c r="DS348" s="44"/>
      <c r="DT348" s="44"/>
      <c r="DU348" s="44"/>
      <c r="DV348" s="44"/>
      <c r="DW348" s="44"/>
      <c r="DX348" s="144"/>
      <c r="DY348" s="144"/>
      <c r="DZ348" s="144"/>
    </row>
    <row r="349" spans="96:130" x14ac:dyDescent="0.3">
      <c r="CR349" s="44"/>
      <c r="CS349" s="44"/>
      <c r="CT349" s="44"/>
      <c r="CU349" s="44"/>
      <c r="CV349" s="44"/>
      <c r="CW349" s="44"/>
      <c r="CX349" s="44"/>
      <c r="CY349" s="44"/>
      <c r="CZ349" s="44"/>
      <c r="DA349" s="44"/>
      <c r="DB349" s="143"/>
      <c r="DC349" s="44"/>
      <c r="DD349" s="44"/>
      <c r="DE349" s="44"/>
      <c r="DF349" s="44"/>
      <c r="DG349" s="44"/>
      <c r="DH349" s="44"/>
      <c r="DI349" s="75"/>
      <c r="DJ349" s="57"/>
      <c r="DK349" s="57"/>
      <c r="DL349" s="57"/>
      <c r="DM349" s="57"/>
      <c r="DN349" s="79"/>
      <c r="DO349" s="57"/>
      <c r="DP349" s="57"/>
      <c r="DQ349" s="57"/>
      <c r="DR349" s="79"/>
      <c r="DS349" s="44"/>
      <c r="DT349" s="44"/>
      <c r="DU349" s="44"/>
      <c r="DV349" s="44"/>
      <c r="DW349" s="44"/>
      <c r="DX349" s="144"/>
      <c r="DY349" s="144"/>
      <c r="DZ349" s="144"/>
    </row>
    <row r="350" spans="96:130" x14ac:dyDescent="0.3">
      <c r="CR350" s="44"/>
      <c r="CS350" s="44"/>
      <c r="CT350" s="44"/>
      <c r="CU350" s="44"/>
      <c r="CV350" s="44"/>
      <c r="CW350" s="44"/>
      <c r="CX350" s="44"/>
      <c r="CY350" s="44"/>
      <c r="CZ350" s="44"/>
      <c r="DA350" s="44"/>
      <c r="DB350" s="143"/>
      <c r="DC350" s="44"/>
      <c r="DD350" s="44"/>
      <c r="DE350" s="44"/>
      <c r="DF350" s="44"/>
      <c r="DG350" s="44"/>
      <c r="DH350" s="44"/>
      <c r="DI350" s="75"/>
      <c r="DJ350" s="57"/>
      <c r="DK350" s="57"/>
      <c r="DL350" s="57"/>
      <c r="DM350" s="57"/>
      <c r="DN350" s="79"/>
      <c r="DO350" s="57"/>
      <c r="DP350" s="57"/>
      <c r="DQ350" s="57"/>
      <c r="DR350" s="79"/>
      <c r="DS350" s="44"/>
      <c r="DT350" s="44"/>
      <c r="DU350" s="44"/>
      <c r="DV350" s="44"/>
      <c r="DW350" s="44"/>
      <c r="DX350" s="144"/>
      <c r="DY350" s="144"/>
      <c r="DZ350" s="144"/>
    </row>
    <row r="351" spans="96:130" x14ac:dyDescent="0.3">
      <c r="CR351" s="44"/>
      <c r="CS351" s="44"/>
      <c r="CT351" s="44"/>
      <c r="CU351" s="44"/>
      <c r="CV351" s="44"/>
      <c r="CW351" s="44"/>
      <c r="CX351" s="44"/>
      <c r="CY351" s="44"/>
      <c r="CZ351" s="44"/>
      <c r="DA351" s="44"/>
      <c r="DB351" s="143"/>
      <c r="DC351" s="44"/>
      <c r="DD351" s="44"/>
      <c r="DE351" s="44"/>
      <c r="DF351" s="44"/>
      <c r="DG351" s="44"/>
      <c r="DH351" s="44"/>
      <c r="DI351" s="75"/>
      <c r="DJ351" s="57"/>
      <c r="DK351" s="57"/>
      <c r="DL351" s="57"/>
      <c r="DM351" s="57"/>
      <c r="DN351" s="79"/>
      <c r="DO351" s="57"/>
      <c r="DP351" s="57"/>
      <c r="DQ351" s="57"/>
      <c r="DR351" s="79"/>
      <c r="DS351" s="44"/>
      <c r="DT351" s="44"/>
      <c r="DU351" s="44"/>
      <c r="DV351" s="44"/>
      <c r="DW351" s="44"/>
      <c r="DX351" s="144"/>
      <c r="DY351" s="144"/>
      <c r="DZ351" s="144"/>
    </row>
    <row r="352" spans="96:130" x14ac:dyDescent="0.3">
      <c r="CR352" s="44"/>
      <c r="CS352" s="44"/>
      <c r="CT352" s="44"/>
      <c r="CU352" s="44"/>
      <c r="CV352" s="44"/>
      <c r="CW352" s="44"/>
      <c r="CX352" s="44"/>
      <c r="CY352" s="44"/>
      <c r="CZ352" s="44"/>
      <c r="DA352" s="44"/>
      <c r="DB352" s="143"/>
      <c r="DC352" s="44"/>
      <c r="DD352" s="44"/>
      <c r="DE352" s="44"/>
      <c r="DF352" s="44"/>
      <c r="DG352" s="44"/>
      <c r="DH352" s="44"/>
      <c r="DI352" s="75"/>
      <c r="DJ352" s="57"/>
      <c r="DK352" s="57"/>
      <c r="DL352" s="57"/>
      <c r="DM352" s="57"/>
      <c r="DN352" s="79"/>
      <c r="DO352" s="57"/>
      <c r="DP352" s="57"/>
      <c r="DQ352" s="57"/>
      <c r="DR352" s="79"/>
      <c r="DS352" s="44"/>
      <c r="DT352" s="44"/>
      <c r="DU352" s="44"/>
      <c r="DV352" s="44"/>
      <c r="DW352" s="44"/>
      <c r="DX352" s="144"/>
      <c r="DY352" s="144"/>
      <c r="DZ352" s="144"/>
    </row>
    <row r="353" spans="96:130" x14ac:dyDescent="0.3">
      <c r="CR353" s="44"/>
      <c r="CS353" s="44"/>
      <c r="CT353" s="44"/>
      <c r="CU353" s="44"/>
      <c r="CV353" s="44"/>
      <c r="CW353" s="44"/>
      <c r="CX353" s="44"/>
      <c r="CY353" s="44"/>
      <c r="CZ353" s="44"/>
      <c r="DA353" s="44"/>
      <c r="DB353" s="143"/>
      <c r="DC353" s="44"/>
      <c r="DD353" s="44"/>
      <c r="DE353" s="44"/>
      <c r="DF353" s="44"/>
      <c r="DG353" s="44"/>
      <c r="DH353" s="44"/>
      <c r="DI353" s="75"/>
      <c r="DJ353" s="57"/>
      <c r="DK353" s="57"/>
      <c r="DL353" s="57"/>
      <c r="DM353" s="57"/>
      <c r="DN353" s="79"/>
      <c r="DO353" s="57"/>
      <c r="DP353" s="57"/>
      <c r="DQ353" s="57"/>
      <c r="DR353" s="79"/>
      <c r="DS353" s="44"/>
      <c r="DT353" s="44"/>
      <c r="DU353" s="44"/>
      <c r="DV353" s="44"/>
      <c r="DW353" s="44"/>
      <c r="DX353" s="144"/>
      <c r="DY353" s="144"/>
      <c r="DZ353" s="144"/>
    </row>
    <row r="354" spans="96:130" x14ac:dyDescent="0.3">
      <c r="CR354" s="44"/>
      <c r="CS354" s="44"/>
      <c r="CT354" s="44"/>
      <c r="CU354" s="44"/>
      <c r="CV354" s="44"/>
      <c r="CW354" s="44"/>
      <c r="CX354" s="44"/>
      <c r="CY354" s="44"/>
      <c r="CZ354" s="44"/>
      <c r="DA354" s="44"/>
      <c r="DB354" s="143"/>
      <c r="DC354" s="44"/>
      <c r="DD354" s="44"/>
      <c r="DE354" s="44"/>
      <c r="DF354" s="44"/>
      <c r="DG354" s="44"/>
      <c r="DH354" s="44"/>
      <c r="DI354" s="75"/>
      <c r="DJ354" s="57"/>
      <c r="DK354" s="57"/>
      <c r="DL354" s="57"/>
      <c r="DM354" s="57"/>
      <c r="DN354" s="79"/>
      <c r="DO354" s="57"/>
      <c r="DP354" s="57"/>
      <c r="DQ354" s="57"/>
      <c r="DR354" s="79"/>
      <c r="DS354" s="44"/>
      <c r="DT354" s="44"/>
      <c r="DU354" s="44"/>
      <c r="DV354" s="44"/>
      <c r="DW354" s="44"/>
      <c r="DX354" s="144"/>
      <c r="DY354" s="144"/>
      <c r="DZ354" s="144"/>
    </row>
    <row r="355" spans="96:130" x14ac:dyDescent="0.3">
      <c r="CR355" s="44"/>
      <c r="CS355" s="44"/>
      <c r="CT355" s="44"/>
      <c r="CU355" s="44"/>
      <c r="CV355" s="44"/>
      <c r="CW355" s="44"/>
      <c r="CX355" s="44"/>
      <c r="CY355" s="44"/>
      <c r="CZ355" s="44"/>
      <c r="DA355" s="44"/>
      <c r="DB355" s="143"/>
      <c r="DC355" s="44"/>
      <c r="DD355" s="44"/>
      <c r="DE355" s="44"/>
      <c r="DF355" s="44"/>
      <c r="DG355" s="44"/>
      <c r="DH355" s="44"/>
      <c r="DI355" s="75"/>
      <c r="DJ355" s="57"/>
      <c r="DK355" s="57"/>
      <c r="DL355" s="57"/>
      <c r="DM355" s="57"/>
      <c r="DN355" s="79"/>
      <c r="DO355" s="57"/>
      <c r="DP355" s="57"/>
      <c r="DQ355" s="57"/>
      <c r="DR355" s="79"/>
      <c r="DS355" s="44"/>
      <c r="DT355" s="44"/>
      <c r="DU355" s="44"/>
      <c r="DV355" s="44"/>
      <c r="DW355" s="44"/>
      <c r="DX355" s="144"/>
      <c r="DY355" s="144"/>
      <c r="DZ355" s="144"/>
    </row>
    <row r="356" spans="96:130" x14ac:dyDescent="0.3">
      <c r="CR356" s="44"/>
      <c r="CS356" s="44"/>
      <c r="CT356" s="44"/>
      <c r="CU356" s="44"/>
      <c r="CV356" s="44"/>
      <c r="CW356" s="44"/>
      <c r="CX356" s="44"/>
      <c r="CY356" s="44"/>
      <c r="CZ356" s="44"/>
      <c r="DA356" s="44"/>
      <c r="DB356" s="143"/>
      <c r="DC356" s="44"/>
      <c r="DD356" s="44"/>
      <c r="DE356" s="44"/>
      <c r="DF356" s="44"/>
      <c r="DG356" s="44"/>
      <c r="DH356" s="44"/>
      <c r="DI356" s="75"/>
      <c r="DJ356" s="57"/>
      <c r="DK356" s="57"/>
      <c r="DL356" s="57"/>
      <c r="DM356" s="57"/>
      <c r="DN356" s="79"/>
      <c r="DO356" s="57"/>
      <c r="DP356" s="57"/>
      <c r="DQ356" s="57"/>
      <c r="DR356" s="79"/>
      <c r="DS356" s="44"/>
      <c r="DT356" s="44"/>
      <c r="DU356" s="44"/>
      <c r="DV356" s="44"/>
      <c r="DW356" s="44"/>
      <c r="DX356" s="144"/>
      <c r="DY356" s="144"/>
      <c r="DZ356" s="144"/>
    </row>
    <row r="357" spans="96:130" x14ac:dyDescent="0.3">
      <c r="CR357" s="44"/>
      <c r="CS357" s="44"/>
      <c r="CT357" s="44"/>
      <c r="CU357" s="44"/>
      <c r="CV357" s="44"/>
      <c r="CW357" s="44"/>
      <c r="CX357" s="44"/>
      <c r="CY357" s="44"/>
      <c r="CZ357" s="44"/>
      <c r="DA357" s="44"/>
      <c r="DB357" s="143"/>
      <c r="DC357" s="44"/>
      <c r="DD357" s="44"/>
      <c r="DE357" s="44"/>
      <c r="DF357" s="44"/>
      <c r="DG357" s="44"/>
      <c r="DH357" s="44"/>
      <c r="DI357" s="75"/>
      <c r="DJ357" s="57"/>
      <c r="DK357" s="57"/>
      <c r="DL357" s="57"/>
      <c r="DM357" s="57"/>
      <c r="DN357" s="79"/>
      <c r="DO357" s="57"/>
      <c r="DP357" s="57"/>
      <c r="DQ357" s="57"/>
      <c r="DR357" s="79"/>
      <c r="DS357" s="44"/>
      <c r="DT357" s="44"/>
      <c r="DU357" s="44"/>
      <c r="DV357" s="44"/>
      <c r="DW357" s="44"/>
      <c r="DX357" s="144"/>
      <c r="DY357" s="144"/>
      <c r="DZ357" s="144"/>
    </row>
    <row r="358" spans="96:130" x14ac:dyDescent="0.3">
      <c r="CR358" s="44"/>
      <c r="CS358" s="44"/>
      <c r="CT358" s="44"/>
      <c r="CU358" s="44"/>
      <c r="CV358" s="44"/>
      <c r="CW358" s="44"/>
      <c r="CX358" s="44"/>
      <c r="CY358" s="44"/>
      <c r="CZ358" s="44"/>
      <c r="DA358" s="44"/>
      <c r="DB358" s="143"/>
      <c r="DC358" s="44"/>
      <c r="DD358" s="44"/>
      <c r="DE358" s="44"/>
      <c r="DF358" s="44"/>
      <c r="DG358" s="44"/>
      <c r="DH358" s="44"/>
      <c r="DI358" s="75"/>
      <c r="DJ358" s="57"/>
      <c r="DK358" s="57"/>
      <c r="DL358" s="57"/>
      <c r="DM358" s="57"/>
      <c r="DN358" s="79"/>
      <c r="DO358" s="57"/>
      <c r="DP358" s="57"/>
      <c r="DQ358" s="57"/>
      <c r="DR358" s="79"/>
      <c r="DS358" s="44"/>
      <c r="DT358" s="44"/>
      <c r="DU358" s="44"/>
      <c r="DV358" s="44"/>
      <c r="DW358" s="44"/>
      <c r="DX358" s="144"/>
      <c r="DY358" s="144"/>
      <c r="DZ358" s="144"/>
    </row>
    <row r="359" spans="96:130" x14ac:dyDescent="0.3">
      <c r="CR359" s="44"/>
      <c r="CS359" s="44"/>
      <c r="CT359" s="44"/>
      <c r="CU359" s="44"/>
      <c r="CV359" s="44"/>
      <c r="CW359" s="44"/>
      <c r="CX359" s="44"/>
      <c r="CY359" s="44"/>
      <c r="CZ359" s="44"/>
      <c r="DA359" s="44"/>
      <c r="DB359" s="143"/>
      <c r="DC359" s="44"/>
      <c r="DD359" s="44"/>
      <c r="DE359" s="44"/>
      <c r="DF359" s="44"/>
      <c r="DG359" s="44"/>
      <c r="DH359" s="44"/>
      <c r="DI359" s="75"/>
      <c r="DJ359" s="57"/>
      <c r="DK359" s="57"/>
      <c r="DL359" s="57"/>
      <c r="DM359" s="57"/>
      <c r="DN359" s="79"/>
      <c r="DO359" s="57"/>
      <c r="DP359" s="57"/>
      <c r="DQ359" s="57"/>
      <c r="DR359" s="79"/>
      <c r="DS359" s="44"/>
      <c r="DT359" s="44"/>
      <c r="DU359" s="44"/>
      <c r="DV359" s="44"/>
      <c r="DW359" s="44"/>
      <c r="DX359" s="144"/>
      <c r="DY359" s="144"/>
      <c r="DZ359" s="144"/>
    </row>
    <row r="360" spans="96:130" x14ac:dyDescent="0.3">
      <c r="CR360" s="44"/>
      <c r="CS360" s="44"/>
      <c r="CT360" s="44"/>
      <c r="CU360" s="44"/>
      <c r="CV360" s="44"/>
      <c r="CW360" s="44"/>
      <c r="CX360" s="44"/>
      <c r="CY360" s="44"/>
      <c r="CZ360" s="44"/>
      <c r="DA360" s="44"/>
      <c r="DB360" s="143"/>
      <c r="DC360" s="44"/>
      <c r="DD360" s="44"/>
      <c r="DE360" s="44"/>
      <c r="DF360" s="44"/>
      <c r="DG360" s="44"/>
      <c r="DH360" s="44"/>
      <c r="DI360" s="75"/>
      <c r="DJ360" s="57"/>
      <c r="DK360" s="57"/>
      <c r="DL360" s="57"/>
      <c r="DM360" s="57"/>
      <c r="DN360" s="79"/>
      <c r="DO360" s="57"/>
      <c r="DP360" s="57"/>
      <c r="DQ360" s="57"/>
      <c r="DR360" s="79"/>
      <c r="DS360" s="44"/>
      <c r="DT360" s="44"/>
      <c r="DU360" s="44"/>
      <c r="DV360" s="44"/>
      <c r="DW360" s="44"/>
      <c r="DX360" s="144"/>
      <c r="DY360" s="144"/>
      <c r="DZ360" s="144"/>
    </row>
    <row r="361" spans="96:130" x14ac:dyDescent="0.3">
      <c r="CR361" s="44"/>
      <c r="CS361" s="44"/>
      <c r="CT361" s="44"/>
      <c r="CU361" s="44"/>
      <c r="CV361" s="44"/>
      <c r="CW361" s="44"/>
      <c r="CX361" s="44"/>
      <c r="CY361" s="44"/>
      <c r="CZ361" s="44"/>
      <c r="DA361" s="44"/>
      <c r="DB361" s="143"/>
      <c r="DC361" s="44"/>
      <c r="DD361" s="44"/>
      <c r="DE361" s="44"/>
      <c r="DF361" s="44"/>
      <c r="DG361" s="44"/>
      <c r="DH361" s="44"/>
      <c r="DI361" s="75"/>
      <c r="DJ361" s="57"/>
      <c r="DK361" s="57"/>
      <c r="DL361" s="57"/>
      <c r="DM361" s="57"/>
      <c r="DN361" s="79"/>
      <c r="DO361" s="57"/>
      <c r="DP361" s="57"/>
      <c r="DQ361" s="57"/>
      <c r="DR361" s="79"/>
      <c r="DS361" s="44"/>
      <c r="DT361" s="44"/>
      <c r="DU361" s="44"/>
      <c r="DV361" s="44"/>
      <c r="DW361" s="44"/>
      <c r="DX361" s="144"/>
      <c r="DY361" s="144"/>
      <c r="DZ361" s="144"/>
    </row>
    <row r="362" spans="96:130" x14ac:dyDescent="0.3">
      <c r="CR362" s="44"/>
      <c r="CS362" s="44"/>
      <c r="CT362" s="44"/>
      <c r="CU362" s="44"/>
      <c r="CV362" s="44"/>
      <c r="CW362" s="44"/>
      <c r="CX362" s="44"/>
      <c r="CY362" s="44"/>
      <c r="CZ362" s="44"/>
      <c r="DA362" s="44"/>
      <c r="DB362" s="143"/>
      <c r="DC362" s="44"/>
      <c r="DD362" s="44"/>
      <c r="DE362" s="44"/>
      <c r="DF362" s="44"/>
      <c r="DG362" s="44"/>
      <c r="DH362" s="44"/>
      <c r="DI362" s="75"/>
      <c r="DJ362" s="57"/>
      <c r="DK362" s="57"/>
      <c r="DL362" s="57"/>
      <c r="DM362" s="57"/>
      <c r="DN362" s="79"/>
      <c r="DO362" s="57"/>
      <c r="DP362" s="57"/>
      <c r="DQ362" s="57"/>
      <c r="DR362" s="79"/>
      <c r="DS362" s="44"/>
      <c r="DT362" s="44"/>
      <c r="DU362" s="44"/>
      <c r="DV362" s="44"/>
      <c r="DW362" s="44"/>
      <c r="DX362" s="144"/>
      <c r="DY362" s="144"/>
      <c r="DZ362" s="144"/>
    </row>
    <row r="363" spans="96:130" x14ac:dyDescent="0.3">
      <c r="CR363" s="44"/>
      <c r="CS363" s="44"/>
      <c r="CT363" s="44"/>
      <c r="CU363" s="44"/>
      <c r="CV363" s="44"/>
      <c r="CW363" s="44"/>
      <c r="CX363" s="44"/>
      <c r="CY363" s="44"/>
      <c r="CZ363" s="44"/>
      <c r="DA363" s="44"/>
      <c r="DB363" s="143"/>
      <c r="DC363" s="44"/>
      <c r="DD363" s="44"/>
      <c r="DE363" s="44"/>
      <c r="DF363" s="44"/>
      <c r="DG363" s="44"/>
      <c r="DH363" s="44"/>
      <c r="DI363" s="75"/>
      <c r="DJ363" s="57"/>
      <c r="DK363" s="57"/>
      <c r="DL363" s="57"/>
      <c r="DM363" s="57"/>
      <c r="DN363" s="79"/>
      <c r="DO363" s="57"/>
      <c r="DP363" s="57"/>
      <c r="DQ363" s="57"/>
      <c r="DR363" s="79"/>
      <c r="DS363" s="44"/>
      <c r="DT363" s="44"/>
      <c r="DU363" s="44"/>
      <c r="DV363" s="44"/>
      <c r="DW363" s="44"/>
      <c r="DX363" s="144"/>
      <c r="DY363" s="144"/>
      <c r="DZ363" s="144"/>
    </row>
    <row r="364" spans="96:130" x14ac:dyDescent="0.3">
      <c r="CR364" s="44"/>
      <c r="CS364" s="44"/>
      <c r="CT364" s="44"/>
      <c r="CU364" s="44"/>
      <c r="CV364" s="44"/>
      <c r="CW364" s="44"/>
      <c r="CX364" s="44"/>
      <c r="CY364" s="44"/>
      <c r="CZ364" s="44"/>
      <c r="DA364" s="44"/>
      <c r="DB364" s="143"/>
      <c r="DC364" s="44"/>
      <c r="DD364" s="44"/>
      <c r="DE364" s="44"/>
      <c r="DF364" s="44"/>
      <c r="DG364" s="44"/>
      <c r="DH364" s="44"/>
      <c r="DI364" s="75"/>
      <c r="DJ364" s="57"/>
      <c r="DK364" s="57"/>
      <c r="DL364" s="57"/>
      <c r="DM364" s="57"/>
      <c r="DN364" s="79"/>
      <c r="DO364" s="57"/>
      <c r="DP364" s="57"/>
      <c r="DQ364" s="57"/>
      <c r="DR364" s="79"/>
      <c r="DS364" s="44"/>
      <c r="DT364" s="44"/>
      <c r="DU364" s="44"/>
      <c r="DV364" s="44"/>
      <c r="DW364" s="44"/>
      <c r="DX364" s="144"/>
      <c r="DY364" s="144"/>
      <c r="DZ364" s="144"/>
    </row>
    <row r="365" spans="96:130" x14ac:dyDescent="0.3">
      <c r="CR365" s="44"/>
      <c r="CS365" s="44"/>
      <c r="CT365" s="44"/>
      <c r="CU365" s="44"/>
      <c r="CV365" s="44"/>
      <c r="CW365" s="44"/>
      <c r="CX365" s="44"/>
      <c r="CY365" s="44"/>
      <c r="CZ365" s="44"/>
      <c r="DA365" s="44"/>
      <c r="DB365" s="143"/>
      <c r="DC365" s="44"/>
      <c r="DD365" s="44"/>
      <c r="DE365" s="44"/>
      <c r="DF365" s="44"/>
      <c r="DG365" s="44"/>
      <c r="DH365" s="44"/>
      <c r="DI365" s="75"/>
      <c r="DJ365" s="57"/>
      <c r="DK365" s="57"/>
      <c r="DL365" s="57"/>
      <c r="DM365" s="57"/>
      <c r="DN365" s="79"/>
      <c r="DO365" s="57"/>
      <c r="DP365" s="57"/>
      <c r="DQ365" s="57"/>
      <c r="DR365" s="79"/>
      <c r="DS365" s="44"/>
      <c r="DT365" s="44"/>
      <c r="DU365" s="44"/>
      <c r="DV365" s="44"/>
      <c r="DW365" s="44"/>
      <c r="DX365" s="144"/>
      <c r="DY365" s="144"/>
      <c r="DZ365" s="144"/>
    </row>
    <row r="366" spans="96:130" x14ac:dyDescent="0.3">
      <c r="CR366" s="44"/>
      <c r="CS366" s="44"/>
      <c r="CT366" s="44"/>
      <c r="CU366" s="44"/>
      <c r="CV366" s="44"/>
      <c r="CW366" s="44"/>
      <c r="CX366" s="44"/>
      <c r="CY366" s="44"/>
      <c r="CZ366" s="44"/>
      <c r="DA366" s="44"/>
      <c r="DB366" s="143"/>
      <c r="DC366" s="44"/>
      <c r="DD366" s="44"/>
      <c r="DE366" s="44"/>
      <c r="DF366" s="44"/>
      <c r="DG366" s="44"/>
      <c r="DH366" s="44"/>
      <c r="DI366" s="75"/>
      <c r="DJ366" s="57"/>
      <c r="DK366" s="57"/>
      <c r="DL366" s="57"/>
      <c r="DM366" s="57"/>
      <c r="DN366" s="79"/>
      <c r="DO366" s="57"/>
      <c r="DP366" s="57"/>
      <c r="DQ366" s="57"/>
      <c r="DR366" s="79"/>
      <c r="DS366" s="44"/>
      <c r="DT366" s="44"/>
      <c r="DU366" s="44"/>
      <c r="DV366" s="44"/>
      <c r="DW366" s="44"/>
      <c r="DX366" s="144"/>
      <c r="DY366" s="144"/>
      <c r="DZ366" s="144"/>
    </row>
    <row r="367" spans="96:130" x14ac:dyDescent="0.3">
      <c r="CR367" s="44"/>
      <c r="CS367" s="44"/>
      <c r="CT367" s="44"/>
      <c r="CU367" s="44"/>
      <c r="CV367" s="44"/>
      <c r="CW367" s="44"/>
      <c r="CX367" s="44"/>
      <c r="CY367" s="44"/>
      <c r="CZ367" s="44"/>
      <c r="DA367" s="44"/>
      <c r="DB367" s="143"/>
      <c r="DC367" s="44"/>
      <c r="DD367" s="44"/>
      <c r="DE367" s="44"/>
      <c r="DF367" s="44"/>
      <c r="DG367" s="44"/>
      <c r="DH367" s="44"/>
      <c r="DI367" s="75"/>
      <c r="DJ367" s="57"/>
      <c r="DK367" s="57"/>
      <c r="DL367" s="57"/>
      <c r="DM367" s="57"/>
      <c r="DN367" s="79"/>
      <c r="DO367" s="57"/>
      <c r="DP367" s="57"/>
      <c r="DQ367" s="57"/>
      <c r="DR367" s="79"/>
      <c r="DS367" s="44"/>
      <c r="DT367" s="44"/>
      <c r="DU367" s="44"/>
      <c r="DV367" s="44"/>
      <c r="DW367" s="44"/>
      <c r="DX367" s="144"/>
      <c r="DY367" s="144"/>
      <c r="DZ367" s="144"/>
    </row>
    <row r="368" spans="96:130" x14ac:dyDescent="0.3">
      <c r="CR368" s="44"/>
      <c r="CS368" s="44"/>
      <c r="CT368" s="44"/>
      <c r="CU368" s="44"/>
      <c r="CV368" s="44"/>
      <c r="CW368" s="44"/>
      <c r="CX368" s="44"/>
      <c r="CY368" s="44"/>
      <c r="CZ368" s="44"/>
      <c r="DA368" s="44"/>
      <c r="DB368" s="143"/>
      <c r="DC368" s="44"/>
      <c r="DD368" s="44"/>
      <c r="DE368" s="44"/>
      <c r="DF368" s="44"/>
      <c r="DG368" s="44"/>
      <c r="DH368" s="44"/>
      <c r="DI368" s="75"/>
      <c r="DJ368" s="57"/>
      <c r="DK368" s="57"/>
      <c r="DL368" s="57"/>
      <c r="DM368" s="57"/>
      <c r="DN368" s="79"/>
      <c r="DO368" s="57"/>
      <c r="DP368" s="57"/>
      <c r="DQ368" s="57"/>
      <c r="DR368" s="79"/>
      <c r="DS368" s="44"/>
      <c r="DT368" s="44"/>
      <c r="DU368" s="44"/>
      <c r="DV368" s="44"/>
      <c r="DW368" s="44"/>
      <c r="DX368" s="144"/>
      <c r="DY368" s="144"/>
      <c r="DZ368" s="144"/>
    </row>
    <row r="369" spans="96:130" x14ac:dyDescent="0.3">
      <c r="CR369" s="44"/>
      <c r="CS369" s="44"/>
      <c r="CT369" s="44"/>
      <c r="CU369" s="44"/>
      <c r="CV369" s="44"/>
      <c r="CW369" s="44"/>
      <c r="CX369" s="44"/>
      <c r="CY369" s="44"/>
      <c r="CZ369" s="44"/>
      <c r="DA369" s="44"/>
      <c r="DB369" s="143"/>
      <c r="DC369" s="44"/>
      <c r="DD369" s="44"/>
      <c r="DE369" s="44"/>
      <c r="DF369" s="44"/>
      <c r="DG369" s="44"/>
      <c r="DH369" s="44"/>
      <c r="DI369" s="75"/>
      <c r="DJ369" s="57"/>
      <c r="DK369" s="57"/>
      <c r="DL369" s="57"/>
      <c r="DM369" s="57"/>
      <c r="DN369" s="79"/>
      <c r="DO369" s="57"/>
      <c r="DP369" s="57"/>
      <c r="DQ369" s="57"/>
      <c r="DR369" s="79"/>
      <c r="DS369" s="44"/>
      <c r="DT369" s="44"/>
      <c r="DU369" s="44"/>
      <c r="DV369" s="44"/>
      <c r="DW369" s="44"/>
      <c r="DX369" s="144"/>
      <c r="DY369" s="144"/>
      <c r="DZ369" s="144"/>
    </row>
    <row r="370" spans="96:130" x14ac:dyDescent="0.3">
      <c r="CR370" s="44"/>
      <c r="CS370" s="44"/>
      <c r="CT370" s="44"/>
      <c r="CU370" s="44"/>
      <c r="CV370" s="44"/>
      <c r="CW370" s="44"/>
      <c r="CX370" s="44"/>
      <c r="CY370" s="44"/>
      <c r="CZ370" s="44"/>
      <c r="DA370" s="44"/>
      <c r="DB370" s="143"/>
      <c r="DC370" s="44"/>
      <c r="DD370" s="44"/>
      <c r="DE370" s="44"/>
      <c r="DF370" s="44"/>
      <c r="DG370" s="44"/>
      <c r="DH370" s="44"/>
      <c r="DI370" s="75"/>
      <c r="DJ370" s="57"/>
      <c r="DK370" s="57"/>
      <c r="DL370" s="57"/>
      <c r="DM370" s="57"/>
      <c r="DN370" s="79"/>
      <c r="DO370" s="57"/>
      <c r="DP370" s="57"/>
      <c r="DQ370" s="57"/>
      <c r="DR370" s="79"/>
      <c r="DS370" s="44"/>
      <c r="DT370" s="44"/>
      <c r="DU370" s="44"/>
      <c r="DV370" s="44"/>
      <c r="DW370" s="44"/>
      <c r="DX370" s="144"/>
      <c r="DY370" s="144"/>
      <c r="DZ370" s="144"/>
    </row>
    <row r="371" spans="96:130" x14ac:dyDescent="0.3">
      <c r="CR371" s="44"/>
      <c r="CS371" s="44"/>
      <c r="CT371" s="44"/>
      <c r="CU371" s="44"/>
      <c r="CV371" s="44"/>
      <c r="CW371" s="44"/>
      <c r="CX371" s="44"/>
      <c r="CY371" s="44"/>
      <c r="CZ371" s="44"/>
      <c r="DA371" s="44"/>
      <c r="DB371" s="143"/>
      <c r="DC371" s="44"/>
      <c r="DD371" s="44"/>
      <c r="DE371" s="44"/>
      <c r="DF371" s="44"/>
      <c r="DG371" s="44"/>
      <c r="DH371" s="44"/>
      <c r="DI371" s="75"/>
      <c r="DJ371" s="57"/>
      <c r="DK371" s="57"/>
      <c r="DL371" s="57"/>
      <c r="DM371" s="57"/>
      <c r="DN371" s="79"/>
      <c r="DO371" s="57"/>
      <c r="DP371" s="57"/>
      <c r="DQ371" s="57"/>
      <c r="DR371" s="79"/>
      <c r="DS371" s="44"/>
      <c r="DT371" s="44"/>
      <c r="DU371" s="44"/>
      <c r="DV371" s="44"/>
      <c r="DW371" s="44"/>
      <c r="DX371" s="144"/>
      <c r="DY371" s="144"/>
      <c r="DZ371" s="144"/>
    </row>
    <row r="372" spans="96:130" x14ac:dyDescent="0.3">
      <c r="CR372" s="44"/>
      <c r="CS372" s="44"/>
      <c r="CT372" s="44"/>
      <c r="CU372" s="44"/>
      <c r="CV372" s="44"/>
      <c r="CW372" s="44"/>
      <c r="CX372" s="44"/>
      <c r="CY372" s="44"/>
      <c r="CZ372" s="44"/>
      <c r="DA372" s="44"/>
      <c r="DB372" s="143"/>
      <c r="DC372" s="44"/>
      <c r="DD372" s="44"/>
      <c r="DE372" s="44"/>
      <c r="DF372" s="44"/>
      <c r="DG372" s="44"/>
      <c r="DH372" s="44"/>
      <c r="DI372" s="75"/>
      <c r="DJ372" s="57"/>
      <c r="DK372" s="57"/>
      <c r="DL372" s="57"/>
      <c r="DM372" s="57"/>
      <c r="DN372" s="79"/>
      <c r="DO372" s="57"/>
      <c r="DP372" s="57"/>
      <c r="DQ372" s="57"/>
      <c r="DR372" s="79"/>
      <c r="DS372" s="44"/>
      <c r="DT372" s="44"/>
      <c r="DU372" s="44"/>
      <c r="DV372" s="44"/>
      <c r="DW372" s="44"/>
      <c r="DX372" s="144"/>
      <c r="DY372" s="144"/>
      <c r="DZ372" s="144"/>
    </row>
    <row r="373" spans="96:130" x14ac:dyDescent="0.3">
      <c r="CR373" s="44"/>
      <c r="CS373" s="44"/>
      <c r="CT373" s="44"/>
      <c r="CU373" s="44"/>
      <c r="CV373" s="44"/>
      <c r="CW373" s="44"/>
      <c r="CX373" s="44"/>
      <c r="CY373" s="44"/>
      <c r="CZ373" s="44"/>
      <c r="DA373" s="44"/>
      <c r="DB373" s="143"/>
      <c r="DC373" s="44"/>
      <c r="DD373" s="44"/>
      <c r="DE373" s="44"/>
      <c r="DF373" s="44"/>
      <c r="DG373" s="44"/>
      <c r="DH373" s="44"/>
      <c r="DI373" s="75"/>
      <c r="DJ373" s="57"/>
      <c r="DK373" s="57"/>
      <c r="DL373" s="57"/>
      <c r="DM373" s="57"/>
      <c r="DN373" s="79"/>
      <c r="DO373" s="57"/>
      <c r="DP373" s="57"/>
      <c r="DQ373" s="57"/>
      <c r="DR373" s="79"/>
      <c r="DS373" s="44"/>
      <c r="DT373" s="44"/>
      <c r="DU373" s="44"/>
      <c r="DV373" s="44"/>
      <c r="DW373" s="44"/>
      <c r="DX373" s="144"/>
      <c r="DY373" s="144"/>
      <c r="DZ373" s="144"/>
    </row>
    <row r="374" spans="96:130" x14ac:dyDescent="0.3">
      <c r="CR374" s="44"/>
      <c r="CS374" s="44"/>
      <c r="CT374" s="44"/>
      <c r="CU374" s="44"/>
      <c r="CV374" s="44"/>
      <c r="CW374" s="44"/>
      <c r="CX374" s="44"/>
      <c r="CY374" s="44"/>
      <c r="CZ374" s="44"/>
      <c r="DA374" s="44"/>
      <c r="DB374" s="143"/>
      <c r="DC374" s="44"/>
      <c r="DD374" s="44"/>
      <c r="DE374" s="44"/>
      <c r="DF374" s="44"/>
      <c r="DG374" s="44"/>
      <c r="DH374" s="44"/>
      <c r="DI374" s="75"/>
      <c r="DJ374" s="57"/>
      <c r="DK374" s="57"/>
      <c r="DL374" s="57"/>
      <c r="DM374" s="57"/>
      <c r="DN374" s="79"/>
      <c r="DO374" s="57"/>
      <c r="DP374" s="57"/>
      <c r="DQ374" s="57"/>
      <c r="DR374" s="79"/>
      <c r="DS374" s="44"/>
      <c r="DT374" s="44"/>
      <c r="DU374" s="44"/>
      <c r="DV374" s="44"/>
      <c r="DW374" s="44"/>
      <c r="DX374" s="144"/>
      <c r="DY374" s="144"/>
      <c r="DZ374" s="144"/>
    </row>
    <row r="375" spans="96:130" x14ac:dyDescent="0.3">
      <c r="CR375" s="44"/>
      <c r="CS375" s="44"/>
      <c r="CT375" s="44"/>
      <c r="CU375" s="44"/>
      <c r="CV375" s="44"/>
      <c r="CW375" s="44"/>
      <c r="CX375" s="44"/>
      <c r="CY375" s="44"/>
      <c r="CZ375" s="44"/>
      <c r="DA375" s="44"/>
      <c r="DB375" s="143"/>
      <c r="DC375" s="44"/>
      <c r="DD375" s="44"/>
      <c r="DE375" s="44"/>
      <c r="DF375" s="44"/>
      <c r="DG375" s="44"/>
      <c r="DH375" s="44"/>
      <c r="DI375" s="75"/>
      <c r="DJ375" s="57"/>
      <c r="DK375" s="57"/>
      <c r="DL375" s="57"/>
      <c r="DM375" s="57"/>
      <c r="DN375" s="79"/>
      <c r="DO375" s="57"/>
      <c r="DP375" s="57"/>
      <c r="DQ375" s="57"/>
      <c r="DR375" s="79"/>
      <c r="DS375" s="44"/>
      <c r="DT375" s="44"/>
      <c r="DU375" s="44"/>
      <c r="DV375" s="44"/>
      <c r="DW375" s="44"/>
      <c r="DX375" s="144"/>
      <c r="DY375" s="144"/>
      <c r="DZ375" s="144"/>
    </row>
    <row r="376" spans="96:130" x14ac:dyDescent="0.3">
      <c r="CR376" s="44"/>
      <c r="CS376" s="44"/>
      <c r="CT376" s="44"/>
      <c r="CU376" s="44"/>
      <c r="CV376" s="44"/>
      <c r="CW376" s="44"/>
      <c r="CX376" s="44"/>
      <c r="CY376" s="44"/>
      <c r="CZ376" s="44"/>
      <c r="DA376" s="44"/>
      <c r="DB376" s="143"/>
      <c r="DC376" s="44"/>
      <c r="DD376" s="44"/>
      <c r="DE376" s="44"/>
      <c r="DF376" s="44"/>
      <c r="DG376" s="44"/>
      <c r="DH376" s="44"/>
      <c r="DI376" s="75"/>
      <c r="DJ376" s="57"/>
      <c r="DK376" s="57"/>
      <c r="DL376" s="57"/>
      <c r="DM376" s="57"/>
      <c r="DN376" s="79"/>
      <c r="DO376" s="57"/>
      <c r="DP376" s="57"/>
      <c r="DQ376" s="57"/>
      <c r="DR376" s="79"/>
      <c r="DS376" s="44"/>
      <c r="DT376" s="44"/>
      <c r="DU376" s="44"/>
      <c r="DV376" s="44"/>
      <c r="DW376" s="44"/>
      <c r="DX376" s="144"/>
      <c r="DY376" s="144"/>
      <c r="DZ376" s="144"/>
    </row>
    <row r="377" spans="96:130" x14ac:dyDescent="0.3">
      <c r="CR377" s="44"/>
      <c r="CS377" s="44"/>
      <c r="CT377" s="44"/>
      <c r="CU377" s="44"/>
      <c r="CV377" s="44"/>
      <c r="CW377" s="44"/>
      <c r="CX377" s="44"/>
      <c r="CY377" s="44"/>
      <c r="CZ377" s="44"/>
      <c r="DA377" s="44"/>
      <c r="DB377" s="143"/>
      <c r="DC377" s="44"/>
      <c r="DD377" s="44"/>
      <c r="DE377" s="44"/>
      <c r="DF377" s="44"/>
      <c r="DG377" s="44"/>
      <c r="DH377" s="44"/>
      <c r="DI377" s="75"/>
      <c r="DJ377" s="57"/>
      <c r="DK377" s="57"/>
      <c r="DL377" s="57"/>
      <c r="DM377" s="57"/>
      <c r="DN377" s="79"/>
      <c r="DO377" s="57"/>
      <c r="DP377" s="57"/>
      <c r="DQ377" s="57"/>
      <c r="DR377" s="79"/>
      <c r="DS377" s="44"/>
      <c r="DT377" s="44"/>
      <c r="DU377" s="44"/>
      <c r="DV377" s="44"/>
      <c r="DW377" s="44"/>
      <c r="DX377" s="144"/>
      <c r="DY377" s="144"/>
      <c r="DZ377" s="144"/>
    </row>
    <row r="378" spans="96:130" x14ac:dyDescent="0.3">
      <c r="CR378" s="44"/>
      <c r="CS378" s="44"/>
      <c r="CT378" s="44"/>
      <c r="CU378" s="44"/>
      <c r="CV378" s="44"/>
      <c r="CW378" s="44"/>
      <c r="CX378" s="44"/>
      <c r="CY378" s="44"/>
      <c r="CZ378" s="44"/>
      <c r="DA378" s="44"/>
      <c r="DB378" s="143"/>
      <c r="DC378" s="44"/>
      <c r="DD378" s="44"/>
      <c r="DE378" s="44"/>
      <c r="DF378" s="44"/>
      <c r="DG378" s="44"/>
      <c r="DH378" s="44"/>
      <c r="DI378" s="75"/>
      <c r="DJ378" s="57"/>
      <c r="DK378" s="57"/>
      <c r="DL378" s="57"/>
      <c r="DM378" s="57"/>
      <c r="DN378" s="79"/>
      <c r="DO378" s="57"/>
      <c r="DP378" s="57"/>
      <c r="DQ378" s="57"/>
      <c r="DR378" s="79"/>
      <c r="DS378" s="57"/>
      <c r="DT378" s="57"/>
      <c r="DU378" s="57"/>
      <c r="DV378" s="57"/>
      <c r="DW378" s="57"/>
      <c r="DX378" s="80"/>
      <c r="DY378" s="80"/>
      <c r="DZ378" s="80"/>
    </row>
    <row r="379" spans="96:130" x14ac:dyDescent="0.3">
      <c r="CR379" s="44"/>
      <c r="CS379" s="44"/>
      <c r="CT379" s="44"/>
      <c r="CU379" s="44"/>
      <c r="CV379" s="44"/>
      <c r="CW379" s="44"/>
      <c r="CX379" s="44"/>
      <c r="CY379" s="44"/>
      <c r="CZ379" s="44"/>
      <c r="DA379" s="44"/>
      <c r="DB379" s="143"/>
      <c r="DC379" s="44"/>
      <c r="DD379" s="44"/>
      <c r="DE379" s="44"/>
      <c r="DF379" s="44"/>
      <c r="DG379" s="44"/>
      <c r="DH379" s="44"/>
      <c r="DI379" s="75"/>
      <c r="DJ379" s="57"/>
      <c r="DK379" s="57"/>
      <c r="DL379" s="57"/>
      <c r="DM379" s="57"/>
      <c r="DN379" s="79"/>
      <c r="DO379" s="57"/>
      <c r="DP379" s="57"/>
      <c r="DQ379" s="57"/>
      <c r="DR379" s="79"/>
      <c r="DS379" s="57"/>
      <c r="DT379" s="57"/>
      <c r="DU379" s="57"/>
      <c r="DV379" s="57"/>
      <c r="DW379" s="57"/>
      <c r="DX379" s="80"/>
      <c r="DY379" s="80"/>
      <c r="DZ379" s="80"/>
    </row>
    <row r="380" spans="96:130" x14ac:dyDescent="0.3">
      <c r="CR380" s="44"/>
      <c r="CS380" s="44"/>
      <c r="CT380" s="44"/>
      <c r="CU380" s="44"/>
      <c r="CV380" s="44"/>
      <c r="CW380" s="44"/>
      <c r="CX380" s="44"/>
      <c r="CY380" s="44"/>
      <c r="CZ380" s="44"/>
      <c r="DA380" s="44"/>
      <c r="DB380" s="143"/>
      <c r="DC380" s="44"/>
      <c r="DD380" s="44"/>
      <c r="DE380" s="44"/>
      <c r="DF380" s="44"/>
      <c r="DG380" s="44"/>
      <c r="DH380" s="44"/>
      <c r="DI380" s="75"/>
      <c r="DJ380" s="57"/>
      <c r="DK380" s="57"/>
      <c r="DL380" s="57"/>
      <c r="DM380" s="57"/>
      <c r="DN380" s="79"/>
      <c r="DO380" s="57"/>
      <c r="DP380" s="57"/>
      <c r="DQ380" s="57"/>
      <c r="DR380" s="79"/>
      <c r="DS380" s="57"/>
      <c r="DT380" s="57"/>
      <c r="DU380" s="57"/>
      <c r="DV380" s="57"/>
      <c r="DW380" s="57"/>
      <c r="DX380" s="80"/>
      <c r="DY380" s="80"/>
      <c r="DZ380" s="80"/>
    </row>
    <row r="381" spans="96:130" x14ac:dyDescent="0.3">
      <c r="CR381" s="44"/>
      <c r="CS381" s="44"/>
      <c r="CT381" s="44"/>
      <c r="CU381" s="44"/>
      <c r="CV381" s="44"/>
      <c r="CW381" s="44"/>
      <c r="CX381" s="44"/>
      <c r="CY381" s="44"/>
      <c r="CZ381" s="44"/>
      <c r="DA381" s="44"/>
      <c r="DB381" s="143"/>
      <c r="DC381" s="44"/>
      <c r="DD381" s="44"/>
      <c r="DE381" s="44"/>
      <c r="DF381" s="44"/>
      <c r="DG381" s="44"/>
      <c r="DH381" s="44"/>
      <c r="DI381" s="75"/>
      <c r="DJ381" s="57"/>
      <c r="DK381" s="57"/>
      <c r="DL381" s="57"/>
      <c r="DM381" s="57"/>
      <c r="DN381" s="79"/>
      <c r="DO381" s="57"/>
      <c r="DP381" s="57"/>
      <c r="DQ381" s="57"/>
      <c r="DR381" s="79"/>
      <c r="DS381" s="57"/>
      <c r="DT381" s="57"/>
      <c r="DU381" s="57"/>
      <c r="DV381" s="57"/>
      <c r="DW381" s="57"/>
      <c r="DX381" s="80"/>
      <c r="DY381" s="80"/>
      <c r="DZ381" s="80"/>
    </row>
    <row r="382" spans="96:130" x14ac:dyDescent="0.3">
      <c r="CR382" s="44"/>
      <c r="CS382" s="44"/>
      <c r="CT382" s="44"/>
      <c r="CU382" s="44"/>
      <c r="CV382" s="44"/>
      <c r="CW382" s="44"/>
      <c r="CX382" s="44"/>
      <c r="CY382" s="44"/>
      <c r="CZ382" s="44"/>
      <c r="DA382" s="44"/>
      <c r="DB382" s="143"/>
      <c r="DC382" s="44"/>
      <c r="DD382" s="44"/>
      <c r="DE382" s="44"/>
      <c r="DF382" s="44"/>
      <c r="DG382" s="44"/>
      <c r="DH382" s="44"/>
      <c r="DI382" s="75"/>
      <c r="DJ382" s="57"/>
      <c r="DK382" s="57"/>
      <c r="DL382" s="57"/>
      <c r="DM382" s="57"/>
      <c r="DN382" s="79"/>
      <c r="DO382" s="57"/>
      <c r="DP382" s="57"/>
      <c r="DQ382" s="57"/>
      <c r="DR382" s="79"/>
      <c r="DS382" s="57"/>
      <c r="DT382" s="57"/>
      <c r="DU382" s="57"/>
      <c r="DV382" s="57"/>
      <c r="DW382" s="57"/>
      <c r="DX382" s="80"/>
      <c r="DY382" s="80"/>
      <c r="DZ382" s="80"/>
    </row>
    <row r="383" spans="96:130" x14ac:dyDescent="0.3">
      <c r="CR383" s="44"/>
      <c r="CS383" s="44"/>
      <c r="CT383" s="44"/>
      <c r="CU383" s="44"/>
      <c r="CV383" s="44"/>
      <c r="CW383" s="44"/>
      <c r="CX383" s="44"/>
      <c r="CY383" s="44"/>
      <c r="CZ383" s="44"/>
      <c r="DA383" s="44"/>
      <c r="DB383" s="143"/>
      <c r="DC383" s="44"/>
      <c r="DD383" s="44"/>
      <c r="DE383" s="44"/>
      <c r="DF383" s="44"/>
      <c r="DG383" s="44"/>
      <c r="DH383" s="44"/>
      <c r="DI383" s="75"/>
      <c r="DJ383" s="57"/>
      <c r="DK383" s="57"/>
      <c r="DL383" s="57"/>
      <c r="DM383" s="57"/>
      <c r="DN383" s="79"/>
      <c r="DO383" s="57"/>
      <c r="DP383" s="57"/>
      <c r="DQ383" s="57"/>
      <c r="DR383" s="79"/>
      <c r="DS383" s="57"/>
      <c r="DT383" s="57"/>
      <c r="DU383" s="57"/>
      <c r="DV383" s="57"/>
      <c r="DW383" s="57"/>
      <c r="DX383" s="80"/>
      <c r="DY383" s="80"/>
      <c r="DZ383" s="80"/>
    </row>
    <row r="384" spans="96:130" x14ac:dyDescent="0.3">
      <c r="CR384" s="44"/>
      <c r="CS384" s="44"/>
      <c r="CT384" s="44"/>
      <c r="CU384" s="44"/>
      <c r="CV384" s="44"/>
      <c r="CW384" s="44"/>
      <c r="CX384" s="44"/>
      <c r="CY384" s="44"/>
      <c r="CZ384" s="44"/>
      <c r="DA384" s="44"/>
      <c r="DB384" s="143"/>
      <c r="DC384" s="44"/>
      <c r="DD384" s="44"/>
      <c r="DE384" s="44"/>
      <c r="DF384" s="44"/>
      <c r="DG384" s="44"/>
      <c r="DH384" s="44"/>
      <c r="DI384" s="75"/>
      <c r="DJ384" s="57"/>
      <c r="DK384" s="57"/>
      <c r="DL384" s="57"/>
      <c r="DM384" s="57"/>
      <c r="DN384" s="79"/>
      <c r="DO384" s="57"/>
      <c r="DP384" s="57"/>
      <c r="DQ384" s="57"/>
      <c r="DR384" s="79"/>
      <c r="DS384" s="57"/>
      <c r="DT384" s="57"/>
      <c r="DU384" s="57"/>
      <c r="DV384" s="57"/>
      <c r="DW384" s="57"/>
      <c r="DX384" s="80"/>
      <c r="DY384" s="80"/>
      <c r="DZ384" s="80"/>
    </row>
    <row r="385" spans="96:130" x14ac:dyDescent="0.3">
      <c r="CR385" s="44"/>
      <c r="CS385" s="44"/>
      <c r="CT385" s="44"/>
      <c r="CU385" s="44"/>
      <c r="CV385" s="44"/>
      <c r="CW385" s="44"/>
      <c r="CX385" s="44"/>
      <c r="CY385" s="44"/>
      <c r="CZ385" s="44"/>
      <c r="DA385" s="44"/>
      <c r="DB385" s="143"/>
      <c r="DC385" s="44"/>
      <c r="DD385" s="44"/>
      <c r="DE385" s="44"/>
      <c r="DF385" s="44"/>
      <c r="DG385" s="44"/>
      <c r="DH385" s="44"/>
      <c r="DI385" s="75"/>
      <c r="DJ385" s="57"/>
      <c r="DK385" s="57"/>
      <c r="DL385" s="57"/>
      <c r="DM385" s="57"/>
      <c r="DN385" s="79"/>
      <c r="DO385" s="57"/>
      <c r="DP385" s="57"/>
      <c r="DQ385" s="57"/>
      <c r="DR385" s="79"/>
      <c r="DS385" s="57"/>
      <c r="DT385" s="57"/>
      <c r="DU385" s="57"/>
      <c r="DV385" s="57"/>
      <c r="DW385" s="57"/>
      <c r="DX385" s="80"/>
      <c r="DY385" s="80"/>
      <c r="DZ385" s="80"/>
    </row>
    <row r="386" spans="96:130" x14ac:dyDescent="0.3">
      <c r="CR386" s="44"/>
      <c r="CS386" s="44"/>
      <c r="CT386" s="44"/>
      <c r="CU386" s="44"/>
      <c r="CV386" s="44"/>
      <c r="CW386" s="44"/>
      <c r="CX386" s="44"/>
      <c r="CY386" s="44"/>
      <c r="CZ386" s="44"/>
      <c r="DA386" s="44"/>
      <c r="DB386" s="143"/>
      <c r="DC386" s="44"/>
      <c r="DD386" s="44"/>
      <c r="DE386" s="44"/>
      <c r="DF386" s="44"/>
      <c r="DG386" s="44"/>
      <c r="DH386" s="44"/>
      <c r="DI386" s="75"/>
      <c r="DJ386" s="57"/>
      <c r="DK386" s="57"/>
      <c r="DL386" s="57"/>
      <c r="DM386" s="57"/>
      <c r="DN386" s="79"/>
      <c r="DO386" s="57"/>
      <c r="DP386" s="57"/>
      <c r="DQ386" s="57"/>
      <c r="DR386" s="79"/>
      <c r="DS386" s="57"/>
      <c r="DT386" s="57"/>
      <c r="DU386" s="57"/>
      <c r="DV386" s="57"/>
      <c r="DW386" s="57"/>
      <c r="DX386" s="80"/>
      <c r="DY386" s="80"/>
      <c r="DZ386" s="80"/>
    </row>
    <row r="387" spans="96:130" x14ac:dyDescent="0.3">
      <c r="CR387" s="44"/>
      <c r="CS387" s="44"/>
      <c r="CT387" s="44"/>
      <c r="CU387" s="44"/>
      <c r="CV387" s="44"/>
      <c r="CW387" s="44"/>
      <c r="CX387" s="44"/>
      <c r="CY387" s="44"/>
      <c r="CZ387" s="44"/>
      <c r="DA387" s="44"/>
      <c r="DB387" s="143"/>
      <c r="DC387" s="44"/>
      <c r="DD387" s="44"/>
      <c r="DE387" s="44"/>
      <c r="DF387" s="44"/>
      <c r="DG387" s="44"/>
      <c r="DH387" s="44"/>
      <c r="DI387" s="75"/>
      <c r="DJ387" s="57"/>
      <c r="DK387" s="57"/>
      <c r="DL387" s="57"/>
      <c r="DM387" s="57"/>
      <c r="DN387" s="79"/>
      <c r="DO387" s="57"/>
      <c r="DP387" s="57"/>
      <c r="DQ387" s="57"/>
      <c r="DR387" s="79"/>
      <c r="DS387" s="57"/>
      <c r="DT387" s="57"/>
      <c r="DU387" s="57"/>
      <c r="DV387" s="57"/>
      <c r="DW387" s="57"/>
      <c r="DX387" s="80"/>
      <c r="DY387" s="80"/>
      <c r="DZ387" s="80"/>
    </row>
    <row r="388" spans="96:130" x14ac:dyDescent="0.3">
      <c r="CR388" s="44"/>
      <c r="CS388" s="44"/>
      <c r="CT388" s="44"/>
      <c r="CU388" s="44"/>
      <c r="CV388" s="44"/>
      <c r="CW388" s="44"/>
      <c r="CX388" s="44"/>
      <c r="CY388" s="44"/>
      <c r="CZ388" s="44"/>
      <c r="DA388" s="44"/>
      <c r="DB388" s="143"/>
      <c r="DC388" s="44"/>
      <c r="DD388" s="44"/>
      <c r="DE388" s="44"/>
      <c r="DF388" s="44"/>
      <c r="DG388" s="44"/>
      <c r="DH388" s="44"/>
      <c r="DI388" s="75"/>
      <c r="DJ388" s="57"/>
      <c r="DK388" s="57"/>
      <c r="DL388" s="57"/>
      <c r="DM388" s="57"/>
      <c r="DN388" s="79"/>
      <c r="DO388" s="57"/>
      <c r="DP388" s="57"/>
      <c r="DQ388" s="57"/>
      <c r="DR388" s="79"/>
      <c r="DS388" s="57"/>
      <c r="DT388" s="57"/>
      <c r="DU388" s="57"/>
      <c r="DV388" s="57"/>
      <c r="DW388" s="57"/>
      <c r="DX388" s="80"/>
      <c r="DY388" s="80"/>
      <c r="DZ388" s="80"/>
    </row>
    <row r="389" spans="96:130" x14ac:dyDescent="0.3">
      <c r="CR389" s="44"/>
      <c r="CS389" s="44"/>
      <c r="CT389" s="44"/>
      <c r="CU389" s="44"/>
      <c r="CV389" s="44"/>
      <c r="CW389" s="44"/>
      <c r="CX389" s="44"/>
      <c r="CY389" s="44"/>
      <c r="CZ389" s="44"/>
      <c r="DA389" s="44"/>
      <c r="DB389" s="143"/>
      <c r="DC389" s="44"/>
      <c r="DD389" s="44"/>
      <c r="DE389" s="44"/>
      <c r="DF389" s="44"/>
      <c r="DG389" s="44"/>
      <c r="DH389" s="44"/>
      <c r="DI389" s="75"/>
      <c r="DJ389" s="57"/>
      <c r="DK389" s="57"/>
      <c r="DL389" s="57"/>
      <c r="DM389" s="57"/>
      <c r="DN389" s="79"/>
      <c r="DO389" s="57"/>
      <c r="DP389" s="57"/>
      <c r="DQ389" s="57"/>
      <c r="DR389" s="79"/>
      <c r="DS389" s="57"/>
      <c r="DT389" s="57"/>
      <c r="DU389" s="57"/>
      <c r="DV389" s="57"/>
      <c r="DW389" s="57"/>
      <c r="DX389" s="80"/>
      <c r="DY389" s="80"/>
      <c r="DZ389" s="80"/>
    </row>
    <row r="390" spans="96:130" x14ac:dyDescent="0.3">
      <c r="CR390" s="44"/>
      <c r="CS390" s="44"/>
      <c r="CT390" s="44"/>
      <c r="CU390" s="44"/>
      <c r="CV390" s="44"/>
      <c r="CW390" s="44"/>
      <c r="CX390" s="44"/>
      <c r="CY390" s="44"/>
      <c r="CZ390" s="44"/>
      <c r="DA390" s="44"/>
      <c r="DB390" s="143"/>
      <c r="DC390" s="44"/>
      <c r="DD390" s="44"/>
      <c r="DE390" s="44"/>
      <c r="DF390" s="44"/>
      <c r="DG390" s="44"/>
      <c r="DH390" s="44"/>
      <c r="DI390" s="75"/>
      <c r="DJ390" s="57"/>
      <c r="DK390" s="57"/>
      <c r="DL390" s="57"/>
      <c r="DM390" s="57"/>
      <c r="DN390" s="79"/>
      <c r="DO390" s="57"/>
      <c r="DP390" s="57"/>
      <c r="DQ390" s="57"/>
      <c r="DR390" s="79"/>
      <c r="DS390" s="57"/>
      <c r="DT390" s="57"/>
      <c r="DU390" s="57"/>
      <c r="DV390" s="57"/>
      <c r="DW390" s="57"/>
      <c r="DX390" s="80"/>
      <c r="DY390" s="80"/>
      <c r="DZ390" s="80"/>
    </row>
    <row r="391" spans="96:130" x14ac:dyDescent="0.3">
      <c r="CR391" s="44"/>
      <c r="CS391" s="44"/>
      <c r="CT391" s="44"/>
      <c r="CU391" s="44"/>
      <c r="CV391" s="44"/>
      <c r="CW391" s="44"/>
      <c r="CX391" s="44"/>
      <c r="CY391" s="44"/>
      <c r="CZ391" s="44"/>
      <c r="DA391" s="44"/>
      <c r="DB391" s="143"/>
      <c r="DC391" s="44"/>
      <c r="DD391" s="44"/>
      <c r="DE391" s="44"/>
      <c r="DF391" s="44"/>
      <c r="DG391" s="44"/>
      <c r="DH391" s="44"/>
      <c r="DI391" s="75"/>
      <c r="DJ391" s="57"/>
      <c r="DK391" s="57"/>
      <c r="DL391" s="57"/>
      <c r="DM391" s="57"/>
      <c r="DN391" s="79"/>
      <c r="DO391" s="57"/>
      <c r="DP391" s="57"/>
      <c r="DQ391" s="57"/>
      <c r="DR391" s="79"/>
      <c r="DS391" s="57"/>
      <c r="DT391" s="57"/>
      <c r="DU391" s="57"/>
      <c r="DV391" s="57"/>
      <c r="DW391" s="57"/>
      <c r="DX391" s="80"/>
      <c r="DY391" s="80"/>
      <c r="DZ391" s="80"/>
    </row>
    <row r="392" spans="96:130" x14ac:dyDescent="0.3">
      <c r="CR392" s="44"/>
      <c r="CS392" s="44"/>
      <c r="CT392" s="44"/>
      <c r="CU392" s="44"/>
      <c r="CV392" s="44"/>
      <c r="CW392" s="44"/>
      <c r="CX392" s="44"/>
      <c r="CY392" s="44"/>
      <c r="CZ392" s="44"/>
      <c r="DA392" s="44"/>
      <c r="DB392" s="143"/>
      <c r="DC392" s="44"/>
      <c r="DD392" s="44"/>
      <c r="DE392" s="44"/>
      <c r="DF392" s="44"/>
      <c r="DG392" s="44"/>
      <c r="DH392" s="44"/>
      <c r="DI392" s="75"/>
      <c r="DJ392" s="57"/>
      <c r="DK392" s="57"/>
      <c r="DL392" s="57"/>
      <c r="DM392" s="57"/>
      <c r="DN392" s="79"/>
      <c r="DO392" s="57"/>
      <c r="DP392" s="57"/>
      <c r="DQ392" s="57"/>
      <c r="DR392" s="79"/>
      <c r="DS392" s="57"/>
      <c r="DT392" s="57"/>
      <c r="DU392" s="57"/>
      <c r="DV392" s="57"/>
      <c r="DW392" s="57"/>
      <c r="DX392" s="80"/>
      <c r="DY392" s="80"/>
      <c r="DZ392" s="80"/>
    </row>
    <row r="393" spans="96:130" x14ac:dyDescent="0.3">
      <c r="CR393" s="44"/>
      <c r="CS393" s="44"/>
      <c r="CT393" s="44"/>
      <c r="CU393" s="44"/>
      <c r="CV393" s="44"/>
      <c r="CW393" s="44"/>
      <c r="CX393" s="44"/>
      <c r="CY393" s="44"/>
      <c r="CZ393" s="44"/>
      <c r="DA393" s="44"/>
      <c r="DB393" s="143"/>
      <c r="DC393" s="44"/>
      <c r="DD393" s="44"/>
      <c r="DE393" s="44"/>
      <c r="DF393" s="44"/>
      <c r="DG393" s="44"/>
      <c r="DH393" s="44"/>
      <c r="DI393" s="75"/>
      <c r="DJ393" s="57"/>
      <c r="DK393" s="57"/>
      <c r="DL393" s="57"/>
      <c r="DM393" s="57"/>
      <c r="DN393" s="79"/>
      <c r="DO393" s="57"/>
      <c r="DP393" s="57"/>
      <c r="DQ393" s="57"/>
      <c r="DR393" s="79"/>
      <c r="DS393" s="57"/>
      <c r="DT393" s="57"/>
      <c r="DU393" s="57"/>
      <c r="DV393" s="57"/>
      <c r="DW393" s="57"/>
      <c r="DX393" s="80"/>
      <c r="DY393" s="80"/>
      <c r="DZ393" s="80"/>
    </row>
    <row r="394" spans="96:130" x14ac:dyDescent="0.3">
      <c r="CR394" s="44"/>
      <c r="CS394" s="44"/>
      <c r="CT394" s="44"/>
      <c r="CU394" s="44"/>
      <c r="CV394" s="44"/>
      <c r="CW394" s="44"/>
      <c r="CX394" s="44"/>
      <c r="CY394" s="44"/>
      <c r="CZ394" s="44"/>
      <c r="DA394" s="44"/>
      <c r="DB394" s="143"/>
      <c r="DC394" s="44"/>
      <c r="DD394" s="44"/>
      <c r="DE394" s="44"/>
      <c r="DF394" s="44"/>
      <c r="DG394" s="44"/>
      <c r="DH394" s="44"/>
      <c r="DI394" s="75"/>
      <c r="DJ394" s="57"/>
      <c r="DK394" s="57"/>
      <c r="DL394" s="57"/>
      <c r="DM394" s="57"/>
      <c r="DN394" s="79"/>
      <c r="DO394" s="57"/>
      <c r="DP394" s="57"/>
      <c r="DQ394" s="57"/>
      <c r="DR394" s="79"/>
      <c r="DS394" s="57"/>
      <c r="DT394" s="57"/>
      <c r="DU394" s="57"/>
      <c r="DV394" s="57"/>
      <c r="DW394" s="57"/>
      <c r="DX394" s="80"/>
      <c r="DY394" s="80"/>
      <c r="DZ394" s="80"/>
    </row>
    <row r="395" spans="96:130" x14ac:dyDescent="0.3">
      <c r="CR395" s="44"/>
      <c r="CS395" s="44"/>
      <c r="CT395" s="44"/>
      <c r="CU395" s="44"/>
      <c r="CV395" s="44"/>
      <c r="CW395" s="44"/>
      <c r="CX395" s="44"/>
      <c r="CY395" s="44"/>
      <c r="CZ395" s="44"/>
      <c r="DA395" s="44"/>
      <c r="DB395" s="143"/>
      <c r="DC395" s="44"/>
      <c r="DD395" s="44"/>
      <c r="DE395" s="44"/>
      <c r="DF395" s="44"/>
      <c r="DG395" s="44"/>
      <c r="DH395" s="44"/>
      <c r="DI395" s="75"/>
      <c r="DJ395" s="57"/>
      <c r="DK395" s="57"/>
      <c r="DL395" s="57"/>
      <c r="DM395" s="57"/>
      <c r="DN395" s="79"/>
      <c r="DO395" s="57"/>
      <c r="DP395" s="57"/>
      <c r="DQ395" s="57"/>
      <c r="DR395" s="79"/>
      <c r="DS395" s="57"/>
      <c r="DT395" s="57"/>
      <c r="DU395" s="57"/>
      <c r="DV395" s="57"/>
      <c r="DW395" s="57"/>
      <c r="DX395" s="80"/>
      <c r="DY395" s="80"/>
      <c r="DZ395" s="80"/>
    </row>
    <row r="396" spans="96:130" x14ac:dyDescent="0.3">
      <c r="CR396" s="44"/>
      <c r="CS396" s="44"/>
      <c r="CT396" s="44"/>
      <c r="CU396" s="44"/>
      <c r="CV396" s="44"/>
      <c r="CW396" s="44"/>
      <c r="CX396" s="44"/>
      <c r="CY396" s="44"/>
      <c r="CZ396" s="44"/>
      <c r="DA396" s="44"/>
      <c r="DB396" s="143"/>
      <c r="DC396" s="44"/>
      <c r="DD396" s="44"/>
      <c r="DE396" s="44"/>
      <c r="DF396" s="44"/>
      <c r="DG396" s="44"/>
      <c r="DH396" s="44"/>
      <c r="DI396" s="75"/>
      <c r="DJ396" s="57"/>
      <c r="DK396" s="57"/>
      <c r="DL396" s="57"/>
      <c r="DM396" s="57"/>
      <c r="DN396" s="79"/>
      <c r="DO396" s="57"/>
      <c r="DP396" s="57"/>
      <c r="DQ396" s="57"/>
      <c r="DR396" s="79"/>
      <c r="DS396" s="57"/>
      <c r="DT396" s="57"/>
      <c r="DU396" s="57"/>
      <c r="DV396" s="57"/>
      <c r="DW396" s="57"/>
      <c r="DX396" s="80"/>
      <c r="DY396" s="80"/>
      <c r="DZ396" s="80"/>
    </row>
    <row r="397" spans="96:130" x14ac:dyDescent="0.3">
      <c r="CR397" s="44"/>
      <c r="CS397" s="44"/>
      <c r="CT397" s="44"/>
      <c r="CU397" s="44"/>
      <c r="CV397" s="44"/>
      <c r="CW397" s="44"/>
      <c r="CX397" s="44"/>
      <c r="CY397" s="44"/>
      <c r="CZ397" s="44"/>
      <c r="DA397" s="44"/>
      <c r="DB397" s="143"/>
      <c r="DC397" s="44"/>
      <c r="DD397" s="44"/>
      <c r="DE397" s="44"/>
      <c r="DF397" s="44"/>
      <c r="DG397" s="44"/>
      <c r="DH397" s="44"/>
      <c r="DI397" s="75"/>
      <c r="DJ397" s="57"/>
      <c r="DK397" s="57"/>
      <c r="DL397" s="57"/>
      <c r="DM397" s="57"/>
      <c r="DN397" s="79"/>
      <c r="DO397" s="57"/>
      <c r="DP397" s="57"/>
      <c r="DQ397" s="57"/>
      <c r="DR397" s="79"/>
      <c r="DS397" s="57"/>
      <c r="DT397" s="57"/>
      <c r="DU397" s="57"/>
      <c r="DV397" s="57"/>
      <c r="DW397" s="57"/>
      <c r="DX397" s="80"/>
      <c r="DY397" s="80"/>
      <c r="DZ397" s="80"/>
    </row>
    <row r="398" spans="96:130" x14ac:dyDescent="0.3">
      <c r="CR398" s="77"/>
      <c r="CS398" s="44"/>
      <c r="CT398" s="44"/>
      <c r="CU398" s="44"/>
      <c r="CV398" s="75"/>
      <c r="CW398" s="57"/>
      <c r="CX398" s="57"/>
      <c r="CY398" s="57"/>
      <c r="CZ398" s="57"/>
      <c r="DA398" s="57"/>
      <c r="DB398" s="78"/>
      <c r="DC398" s="57"/>
      <c r="DD398" s="77"/>
      <c r="DE398" s="44"/>
      <c r="DF398" s="44"/>
      <c r="DG398" s="44"/>
      <c r="DH398" s="44"/>
      <c r="DI398" s="75"/>
      <c r="DJ398" s="57"/>
      <c r="DK398" s="57"/>
      <c r="DL398" s="57"/>
      <c r="DM398" s="57"/>
      <c r="DN398" s="79"/>
      <c r="DO398" s="57"/>
      <c r="DP398" s="57"/>
      <c r="DQ398" s="57"/>
      <c r="DR398" s="79"/>
      <c r="DS398" s="57"/>
      <c r="DT398" s="57"/>
      <c r="DU398" s="57"/>
      <c r="DV398" s="57"/>
      <c r="DW398" s="57"/>
      <c r="DX398" s="80"/>
      <c r="DY398" s="80"/>
      <c r="DZ398" s="80"/>
    </row>
    <row r="399" spans="96:130" x14ac:dyDescent="0.3">
      <c r="CR399" s="77"/>
      <c r="CS399" s="44"/>
      <c r="CT399" s="44"/>
      <c r="CU399" s="44"/>
      <c r="CV399" s="75"/>
      <c r="CW399" s="57"/>
      <c r="CX399" s="57"/>
      <c r="CY399" s="57"/>
      <c r="CZ399" s="57"/>
      <c r="DA399" s="57"/>
      <c r="DB399" s="78"/>
      <c r="DC399" s="57"/>
      <c r="DD399" s="77"/>
      <c r="DE399" s="44"/>
      <c r="DF399" s="44"/>
      <c r="DG399" s="44"/>
      <c r="DH399" s="44"/>
      <c r="DI399" s="75"/>
      <c r="DJ399" s="57"/>
      <c r="DK399" s="57"/>
      <c r="DL399" s="57"/>
      <c r="DM399" s="57"/>
      <c r="DN399" s="79"/>
      <c r="DO399" s="57"/>
      <c r="DP399" s="57"/>
      <c r="DQ399" s="57"/>
      <c r="DR399" s="79"/>
      <c r="DS399" s="57"/>
      <c r="DT399" s="57"/>
      <c r="DU399" s="57"/>
      <c r="DV399" s="57"/>
      <c r="DW399" s="57"/>
      <c r="DX399" s="80"/>
      <c r="DY399" s="80"/>
      <c r="DZ399" s="80"/>
    </row>
    <row r="400" spans="96:130" x14ac:dyDescent="0.3">
      <c r="CR400" s="77"/>
      <c r="CS400" s="44"/>
      <c r="CT400" s="44"/>
      <c r="CU400" s="44"/>
      <c r="CV400" s="75"/>
      <c r="CW400" s="57"/>
      <c r="CX400" s="57"/>
      <c r="CY400" s="57"/>
      <c r="CZ400" s="57"/>
      <c r="DA400" s="57"/>
      <c r="DB400" s="78"/>
      <c r="DC400" s="57"/>
      <c r="DD400" s="77"/>
      <c r="DE400" s="44"/>
      <c r="DF400" s="44"/>
      <c r="DG400" s="44"/>
      <c r="DH400" s="44"/>
      <c r="DI400" s="75"/>
      <c r="DJ400" s="57"/>
      <c r="DK400" s="57"/>
      <c r="DL400" s="57"/>
      <c r="DM400" s="57"/>
      <c r="DN400" s="79"/>
      <c r="DO400" s="57"/>
      <c r="DP400" s="57"/>
      <c r="DQ400" s="57"/>
      <c r="DR400" s="79"/>
      <c r="DS400" s="57"/>
      <c r="DT400" s="57"/>
      <c r="DU400" s="57"/>
      <c r="DV400" s="57"/>
      <c r="DW400" s="57"/>
      <c r="DX400" s="80"/>
      <c r="DY400" s="80"/>
      <c r="DZ400" s="80"/>
    </row>
    <row r="401" spans="96:130" x14ac:dyDescent="0.3">
      <c r="CR401" s="77"/>
      <c r="CS401" s="44"/>
      <c r="CT401" s="44"/>
      <c r="CU401" s="44"/>
      <c r="CV401" s="75"/>
      <c r="CW401" s="57"/>
      <c r="CX401" s="57"/>
      <c r="CY401" s="57"/>
      <c r="CZ401" s="57"/>
      <c r="DA401" s="57"/>
      <c r="DB401" s="78"/>
      <c r="DC401" s="57"/>
      <c r="DD401" s="77"/>
      <c r="DE401" s="44"/>
      <c r="DF401" s="44"/>
      <c r="DG401" s="44"/>
      <c r="DH401" s="44"/>
      <c r="DI401" s="75"/>
      <c r="DJ401" s="57"/>
      <c r="DK401" s="57"/>
      <c r="DL401" s="57"/>
      <c r="DM401" s="57"/>
      <c r="DN401" s="79"/>
      <c r="DO401" s="57"/>
      <c r="DP401" s="57"/>
      <c r="DQ401" s="57"/>
      <c r="DR401" s="79"/>
      <c r="DS401" s="57"/>
      <c r="DT401" s="57"/>
      <c r="DU401" s="57"/>
      <c r="DV401" s="57"/>
      <c r="DW401" s="57"/>
      <c r="DX401" s="80"/>
      <c r="DY401" s="80"/>
      <c r="DZ401" s="80"/>
    </row>
    <row r="402" spans="96:130" x14ac:dyDescent="0.3">
      <c r="CR402" s="77"/>
      <c r="CS402" s="44"/>
      <c r="CT402" s="44"/>
      <c r="CU402" s="44"/>
      <c r="CV402" s="75"/>
      <c r="CW402" s="57"/>
      <c r="CX402" s="57"/>
      <c r="CY402" s="57"/>
      <c r="CZ402" s="57"/>
      <c r="DA402" s="57"/>
      <c r="DB402" s="78"/>
      <c r="DC402" s="57"/>
      <c r="DD402" s="77"/>
      <c r="DE402" s="44"/>
      <c r="DF402" s="44"/>
      <c r="DG402" s="44"/>
      <c r="DH402" s="44"/>
      <c r="DI402" s="75"/>
      <c r="DJ402" s="57"/>
      <c r="DK402" s="57"/>
      <c r="DL402" s="57"/>
      <c r="DM402" s="57"/>
      <c r="DN402" s="79"/>
      <c r="DO402" s="57"/>
      <c r="DP402" s="57"/>
      <c r="DQ402" s="57"/>
      <c r="DR402" s="79"/>
      <c r="DS402" s="57"/>
      <c r="DT402" s="57"/>
      <c r="DU402" s="57"/>
      <c r="DV402" s="57"/>
      <c r="DW402" s="57"/>
      <c r="DX402" s="80"/>
      <c r="DY402" s="80"/>
      <c r="DZ402" s="80"/>
    </row>
  </sheetData>
  <mergeCells count="42">
    <mergeCell ref="D14:E14"/>
    <mergeCell ref="D45:E45"/>
    <mergeCell ref="D46:E46"/>
    <mergeCell ref="D47:E47"/>
    <mergeCell ref="D48:E48"/>
    <mergeCell ref="D41:E41"/>
    <mergeCell ref="D42:E42"/>
    <mergeCell ref="D44:E44"/>
    <mergeCell ref="D37:E37"/>
    <mergeCell ref="D38:E38"/>
    <mergeCell ref="D39:E39"/>
    <mergeCell ref="D40:E40"/>
    <mergeCell ref="D34:E34"/>
    <mergeCell ref="D30:E30"/>
    <mergeCell ref="D31:E31"/>
    <mergeCell ref="D26:E26"/>
    <mergeCell ref="D16:E16"/>
    <mergeCell ref="D17:E17"/>
    <mergeCell ref="D18:E18"/>
    <mergeCell ref="D19:E19"/>
    <mergeCell ref="D20:E20"/>
    <mergeCell ref="D27:E27"/>
    <mergeCell ref="D28:E28"/>
    <mergeCell ref="D29:E29"/>
    <mergeCell ref="D24:E24"/>
    <mergeCell ref="D25:E25"/>
    <mergeCell ref="B13:K13"/>
    <mergeCell ref="C106:F106"/>
    <mergeCell ref="C204:F204"/>
    <mergeCell ref="C206:F206"/>
    <mergeCell ref="C152:F152"/>
    <mergeCell ref="C154:F154"/>
    <mergeCell ref="D21:E21"/>
    <mergeCell ref="D22:E22"/>
    <mergeCell ref="D23:E23"/>
    <mergeCell ref="D49:E49"/>
    <mergeCell ref="D50:E50"/>
    <mergeCell ref="D35:E35"/>
    <mergeCell ref="D36:E36"/>
    <mergeCell ref="D43:E43"/>
    <mergeCell ref="D32:E32"/>
    <mergeCell ref="D33:E33"/>
  </mergeCells>
  <phoneticPr fontId="3" type="noConversion"/>
  <conditionalFormatting sqref="C244:K244 C93:D93 F48 C288:K288 AC48:AD48 C144:K144">
    <cfRule type="cellIs" dxfId="2" priority="1" stopIfTrue="1" operator="between">
      <formula>"S"</formula>
      <formula>"s"</formula>
    </cfRule>
    <cfRule type="cellIs" dxfId="1" priority="2" stopIfTrue="1" operator="equal">
      <formula>"-"</formula>
    </cfRule>
    <cfRule type="cellIs" dxfId="0" priority="3" stopIfTrue="1" operator="between">
      <formula>"I"</formula>
      <formula>"i"</formula>
    </cfRule>
  </conditionalFormatting>
  <dataValidations count="2">
    <dataValidation type="list" allowBlank="1" showInputMessage="1" showErrorMessage="1" sqref="D16:E50">
      <formula1>"Wet Laminate Carbon Cloth,Wet Laminate Carbon Tape,test,Wet Laminate Glass Cloth,Pre-Preg Carbon Cloth,Pre-Preg Carbon Tape,Pre-Preg S-Glass Cloth,Foam Core"</formula1>
    </dataValidation>
    <dataValidation type="list" allowBlank="1" showInputMessage="1" showErrorMessage="1" sqref="F52">
      <formula1>$AD$53:$AD$57</formula1>
    </dataValidation>
  </dataValidations>
  <hyperlinks>
    <hyperlink ref="F62" r:id="rId1"/>
    <hyperlink ref="F117" r:id="rId2"/>
    <hyperlink ref="B13:K13" r:id="rId3" display="(Abbott, Richard. Analysis and Design of Composite and Metallic Flight Vehicle Structures 1st Edition, 2016)"/>
  </hyperlinks>
  <pageMargins left="0.74803149606299213" right="0.39370078740157483" top="0.55118110236220474" bottom="0.6692913385826772" header="0.23622047244094491" footer="0.27559055118110237"/>
  <pageSetup scale="97" orientation="portrait" r:id="rId4"/>
  <headerFooter alignWithMargins="0">
    <oddHeader>&amp;C&amp;"Arial,Bold"&amp;14CONFIDENTIAL</oddHeader>
  </headerFooter>
  <rowBreaks count="1" manualBreakCount="1">
    <brk id="62" max="10" man="1"/>
  </rowBreaks>
  <cellWatches>
    <cellWatch r="IB111"/>
  </cellWatche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145"/>
  <sheetViews>
    <sheetView zoomScale="85" workbookViewId="0">
      <selection activeCell="D1" sqref="D1:X1048576"/>
    </sheetView>
  </sheetViews>
  <sheetFormatPr defaultRowHeight="13.2" x14ac:dyDescent="0.25"/>
  <cols>
    <col min="2" max="2" width="28.5546875" customWidth="1"/>
    <col min="3" max="3" width="14.33203125" style="7" customWidth="1"/>
    <col min="4" max="11" width="12.44140625" customWidth="1"/>
    <col min="17" max="17" width="3.5546875" customWidth="1"/>
  </cols>
  <sheetData>
    <row r="1" spans="2:24" ht="13.8" thickBot="1" x14ac:dyDescent="0.3">
      <c r="B1" s="4" t="s">
        <v>33</v>
      </c>
      <c r="C1" s="6">
        <v>0</v>
      </c>
      <c r="D1" s="3">
        <v>1</v>
      </c>
      <c r="E1" s="3">
        <v>2</v>
      </c>
      <c r="F1" s="3">
        <v>3</v>
      </c>
      <c r="G1" s="199">
        <v>4</v>
      </c>
      <c r="H1" s="3">
        <v>5</v>
      </c>
      <c r="I1" s="199">
        <v>6</v>
      </c>
      <c r="J1" s="3">
        <v>7</v>
      </c>
      <c r="K1" s="199">
        <v>8</v>
      </c>
      <c r="L1" s="3">
        <v>9</v>
      </c>
      <c r="M1" s="199">
        <v>10</v>
      </c>
      <c r="N1" s="3">
        <v>11</v>
      </c>
      <c r="O1" s="199">
        <v>12</v>
      </c>
      <c r="Q1" s="3">
        <v>1</v>
      </c>
      <c r="R1" s="3">
        <v>2</v>
      </c>
      <c r="S1" s="3">
        <v>3</v>
      </c>
      <c r="T1" s="199">
        <v>4</v>
      </c>
      <c r="U1" s="3">
        <v>5</v>
      </c>
      <c r="V1" s="199">
        <v>6</v>
      </c>
      <c r="W1" s="3">
        <v>7</v>
      </c>
      <c r="X1" s="199">
        <v>8</v>
      </c>
    </row>
    <row r="2" spans="2:24" ht="13.8" thickTop="1" x14ac:dyDescent="0.25">
      <c r="C2" s="6">
        <v>0</v>
      </c>
      <c r="D2" s="21" t="s">
        <v>105</v>
      </c>
      <c r="E2" s="21" t="s">
        <v>106</v>
      </c>
      <c r="F2" s="21" t="s">
        <v>193</v>
      </c>
      <c r="G2" s="21" t="s">
        <v>107</v>
      </c>
      <c r="H2" s="21" t="s">
        <v>109</v>
      </c>
      <c r="I2" s="21" t="s">
        <v>108</v>
      </c>
      <c r="J2" s="21" t="s">
        <v>194</v>
      </c>
      <c r="K2" s="21" t="s">
        <v>110</v>
      </c>
      <c r="L2" s="21" t="s">
        <v>195</v>
      </c>
      <c r="M2" s="1"/>
      <c r="N2" s="1"/>
      <c r="O2" s="1"/>
    </row>
    <row r="3" spans="2:24" ht="13.8" x14ac:dyDescent="0.3">
      <c r="B3" s="13" t="s">
        <v>23</v>
      </c>
      <c r="C3" s="6">
        <v>0</v>
      </c>
      <c r="D3" s="11">
        <v>90213.473035999996</v>
      </c>
      <c r="E3" s="26">
        <v>261328.99632839998</v>
      </c>
      <c r="F3" s="14"/>
      <c r="G3" s="14">
        <v>42815.140257599996</v>
      </c>
      <c r="H3" s="26">
        <v>86297.454109999991</v>
      </c>
      <c r="I3" s="26">
        <v>290365.55147599999</v>
      </c>
      <c r="J3" s="26">
        <f>448.22*145.0377</f>
        <v>65008.797894000003</v>
      </c>
      <c r="K3" s="26">
        <v>149.38887013999999</v>
      </c>
      <c r="L3" s="2"/>
      <c r="M3" s="2"/>
      <c r="N3" s="2"/>
      <c r="O3" s="2"/>
      <c r="Q3" s="5">
        <f>D3/D4</f>
        <v>1.0366666666666666E-2</v>
      </c>
      <c r="R3" s="5">
        <f>E3/E4</f>
        <v>1.6379999999999999E-2</v>
      </c>
      <c r="S3" s="5"/>
      <c r="T3" s="5">
        <f>G3/G4</f>
        <v>1.1576470588235294E-2</v>
      </c>
      <c r="U3" s="5">
        <f>H3/H4</f>
        <v>1.1203796109740713E-2</v>
      </c>
      <c r="V3" s="5">
        <f>I3/I4</f>
        <v>1.5619392388471921E-2</v>
      </c>
      <c r="W3" s="5">
        <f>J3/J4</f>
        <v>1.2991884057971014E-2</v>
      </c>
    </row>
    <row r="4" spans="2:24" ht="13.8" x14ac:dyDescent="0.3">
      <c r="B4" s="13" t="s">
        <v>24</v>
      </c>
      <c r="C4" s="6">
        <v>0</v>
      </c>
      <c r="D4" s="11">
        <v>8702264.2799999993</v>
      </c>
      <c r="E4" s="26">
        <v>15954151.18</v>
      </c>
      <c r="F4" s="14"/>
      <c r="G4" s="14">
        <v>3698462.3189999997</v>
      </c>
      <c r="H4" s="26">
        <v>7702519.151965999</v>
      </c>
      <c r="I4" s="26">
        <v>18590067.030412</v>
      </c>
      <c r="J4" s="26">
        <f>34500*145.0377</f>
        <v>5003800.6500000004</v>
      </c>
      <c r="K4" s="26">
        <v>5700.0005079285593</v>
      </c>
      <c r="L4" s="2"/>
      <c r="M4" s="2"/>
      <c r="N4" s="2"/>
      <c r="O4" s="2"/>
      <c r="Q4" s="5"/>
      <c r="R4" s="5"/>
      <c r="S4" s="5"/>
      <c r="T4" s="5"/>
      <c r="U4" s="5"/>
      <c r="V4" s="5"/>
      <c r="W4" s="5"/>
    </row>
    <row r="5" spans="2:24" ht="13.8" x14ac:dyDescent="0.3">
      <c r="B5" s="13" t="s">
        <v>25</v>
      </c>
      <c r="C5" s="6">
        <v>0</v>
      </c>
      <c r="D5" s="11">
        <v>76434.887925999996</v>
      </c>
      <c r="E5" s="26">
        <v>1696.9415346000001</v>
      </c>
      <c r="F5" s="14"/>
      <c r="G5" s="14">
        <v>34335.267175866669</v>
      </c>
      <c r="H5" s="26">
        <v>70488.34066799999</v>
      </c>
      <c r="I5" s="26">
        <v>1885.4905939999999</v>
      </c>
      <c r="J5" s="26">
        <f>J3</f>
        <v>65008.797894000003</v>
      </c>
      <c r="K5" s="26">
        <v>149.38887013999999</v>
      </c>
      <c r="L5" s="2"/>
      <c r="M5" s="2"/>
      <c r="N5" s="2"/>
      <c r="O5" s="2"/>
      <c r="Q5" s="5">
        <f>D5/D6</f>
        <v>8.783333333333334E-3</v>
      </c>
      <c r="R5" s="5">
        <f>E5/E6</f>
        <v>1.8497143034780679E-3</v>
      </c>
      <c r="S5" s="5"/>
      <c r="T5" s="5">
        <f>G5/G6</f>
        <v>9.2836601307189556E-3</v>
      </c>
      <c r="U5" s="5">
        <f>H5/H6</f>
        <v>9.1513359820739257E-3</v>
      </c>
      <c r="V5" s="5">
        <f>I5/I6</f>
        <v>1.2404580152671756E-3</v>
      </c>
      <c r="W5" s="5">
        <f>J5/J6</f>
        <v>1.2991884057971014E-2</v>
      </c>
    </row>
    <row r="6" spans="2:24" ht="13.8" x14ac:dyDescent="0.3">
      <c r="B6" s="13" t="s">
        <v>26</v>
      </c>
      <c r="C6" s="6">
        <v>0</v>
      </c>
      <c r="D6" s="11">
        <v>8702264.2799999993</v>
      </c>
      <c r="E6" s="26">
        <v>917407.3701053157</v>
      </c>
      <c r="F6" s="14"/>
      <c r="G6" s="14">
        <v>3698462.3189999997</v>
      </c>
      <c r="H6" s="26">
        <v>7702519.151965999</v>
      </c>
      <c r="I6" s="26">
        <v>1519995.4942399999</v>
      </c>
      <c r="J6" s="26">
        <f>J4</f>
        <v>5003800.6500000004</v>
      </c>
      <c r="K6" s="26">
        <v>5700.0005079285593</v>
      </c>
      <c r="L6" s="2"/>
      <c r="M6" s="2"/>
      <c r="N6" s="2"/>
      <c r="O6" s="2"/>
      <c r="Q6" s="5"/>
      <c r="R6" s="5"/>
      <c r="S6" s="5"/>
      <c r="T6" s="5"/>
      <c r="U6" s="5"/>
      <c r="V6" s="5"/>
      <c r="W6" s="5"/>
    </row>
    <row r="7" spans="2:24" ht="13.8" x14ac:dyDescent="0.3">
      <c r="B7" s="13" t="s">
        <v>27</v>
      </c>
      <c r="C7" s="6">
        <v>0</v>
      </c>
      <c r="D7" s="30">
        <v>0.03</v>
      </c>
      <c r="E7" s="27">
        <v>0.314</v>
      </c>
      <c r="F7" s="34"/>
      <c r="G7" s="34">
        <v>0.157</v>
      </c>
      <c r="H7" s="27">
        <v>5.8999999999999997E-2</v>
      </c>
      <c r="I7" s="28">
        <v>0.31900000000000001</v>
      </c>
      <c r="J7" s="27">
        <v>0.1</v>
      </c>
      <c r="K7" s="27">
        <v>0.37</v>
      </c>
      <c r="L7" s="2"/>
      <c r="M7" s="2"/>
      <c r="N7" s="2"/>
      <c r="O7" s="2"/>
      <c r="Q7" s="5"/>
      <c r="R7" s="5"/>
      <c r="S7" s="5"/>
      <c r="T7" s="5"/>
      <c r="U7" s="5"/>
      <c r="V7" s="5"/>
      <c r="W7" s="5"/>
    </row>
    <row r="8" spans="2:24" ht="13.8" x14ac:dyDescent="0.3">
      <c r="B8" s="13" t="s">
        <v>28</v>
      </c>
      <c r="C8" s="6">
        <v>0</v>
      </c>
      <c r="D8" s="11">
        <v>54824.264963999995</v>
      </c>
      <c r="E8" s="26">
        <v>81061.591768199985</v>
      </c>
      <c r="F8" s="14"/>
      <c r="G8" s="14">
        <v>48191.205746133324</v>
      </c>
      <c r="H8" s="26">
        <v>52068.547941999997</v>
      </c>
      <c r="I8" s="26">
        <v>90068.435297999997</v>
      </c>
      <c r="J8" s="26">
        <f>J5</f>
        <v>65008.797894000003</v>
      </c>
      <c r="K8" s="26">
        <v>91.37377493999999</v>
      </c>
      <c r="L8" s="2"/>
      <c r="M8" s="2"/>
      <c r="N8" s="2"/>
      <c r="O8" s="2"/>
      <c r="Q8" s="5">
        <f>D8/D9</f>
        <v>6.3E-3</v>
      </c>
      <c r="R8" s="5">
        <f>E8/E9</f>
        <v>5.0809090909090899E-3</v>
      </c>
      <c r="S8" s="5"/>
      <c r="T8" s="5">
        <f>G8/G9</f>
        <v>1.3030065359477122E-2</v>
      </c>
      <c r="U8" s="5">
        <f>H8/H9</f>
        <v>6.7599374847006994E-3</v>
      </c>
      <c r="V8" s="5">
        <f>I8/I9</f>
        <v>4.8449763602602712E-3</v>
      </c>
      <c r="W8" s="5">
        <f>J8/J9</f>
        <v>1.2991884057971014E-2</v>
      </c>
    </row>
    <row r="9" spans="2:24" x14ac:dyDescent="0.25">
      <c r="B9" s="12" t="s">
        <v>15</v>
      </c>
      <c r="C9" s="6">
        <v>0</v>
      </c>
      <c r="D9" s="11">
        <v>8702264.2799999993</v>
      </c>
      <c r="E9" s="26">
        <v>15954151.18</v>
      </c>
      <c r="F9" s="14"/>
      <c r="G9" s="14">
        <v>3698462.3189999997</v>
      </c>
      <c r="H9" s="26">
        <v>7702519.151965999</v>
      </c>
      <c r="I9" s="26">
        <v>18590067.030412</v>
      </c>
      <c r="J9" s="26">
        <f>J6</f>
        <v>5003800.6500000004</v>
      </c>
      <c r="K9" s="26">
        <v>5700.0005079285593</v>
      </c>
      <c r="L9" s="2"/>
      <c r="M9" s="2"/>
      <c r="N9" s="2"/>
      <c r="O9" s="2"/>
      <c r="Q9" s="5"/>
      <c r="R9" s="5"/>
      <c r="S9" s="5"/>
      <c r="T9" s="5"/>
      <c r="U9" s="5"/>
      <c r="V9" s="5"/>
      <c r="W9" s="5"/>
    </row>
    <row r="10" spans="2:24" ht="13.8" x14ac:dyDescent="0.3">
      <c r="B10" s="13" t="s">
        <v>29</v>
      </c>
      <c r="C10" s="6">
        <v>0</v>
      </c>
      <c r="D10" s="11">
        <v>50763.208299999998</v>
      </c>
      <c r="E10" s="26">
        <v>9790.0473149999998</v>
      </c>
      <c r="F10" s="14"/>
      <c r="G10" s="14">
        <v>48191.205746133324</v>
      </c>
      <c r="H10" s="26">
        <v>48297.566753999999</v>
      </c>
      <c r="I10" s="26">
        <v>10877.83035</v>
      </c>
      <c r="J10" s="26">
        <f>J5</f>
        <v>65008.797894000003</v>
      </c>
      <c r="K10" s="26">
        <v>91.37377493999999</v>
      </c>
      <c r="L10" s="2"/>
      <c r="M10" s="2"/>
      <c r="N10" s="2"/>
      <c r="O10" s="2"/>
      <c r="Q10" s="5">
        <f>D10/D11</f>
        <v>5.8333333333333336E-3</v>
      </c>
      <c r="R10" s="5">
        <f>E10/E11</f>
        <v>9.5049006922976811E-3</v>
      </c>
      <c r="S10" s="5"/>
      <c r="T10" s="5">
        <f>G10/G11</f>
        <v>1.3030065359477122E-2</v>
      </c>
      <c r="U10" s="5">
        <f>H10/H11</f>
        <v>6.2703598395691725E-3</v>
      </c>
      <c r="V10" s="5">
        <f>I10/I11</f>
        <v>7.1564885496183213E-3</v>
      </c>
      <c r="W10" s="5">
        <f>J10/J11</f>
        <v>1.2991884057971014E-2</v>
      </c>
    </row>
    <row r="11" spans="2:24" x14ac:dyDescent="0.25">
      <c r="B11" s="12" t="s">
        <v>16</v>
      </c>
      <c r="C11" s="6">
        <v>0</v>
      </c>
      <c r="D11" s="11">
        <v>8702264.2799999993</v>
      </c>
      <c r="E11" s="26">
        <v>1029999.9581198557</v>
      </c>
      <c r="F11" s="14"/>
      <c r="G11" s="14">
        <v>3698462.3189999997</v>
      </c>
      <c r="H11" s="26">
        <v>7702519.151965999</v>
      </c>
      <c r="I11" s="26">
        <v>1519995.4942399999</v>
      </c>
      <c r="J11" s="26">
        <f>J9</f>
        <v>5003800.6500000004</v>
      </c>
      <c r="K11" s="26">
        <v>5700.0005079285593</v>
      </c>
      <c r="L11" s="2"/>
      <c r="M11" s="2"/>
      <c r="N11" s="2"/>
      <c r="O11" s="2"/>
    </row>
    <row r="12" spans="2:24" ht="13.8" x14ac:dyDescent="0.3">
      <c r="B12" s="13" t="s">
        <v>30</v>
      </c>
      <c r="C12" s="6">
        <v>0</v>
      </c>
      <c r="D12" s="11">
        <v>7106.8491619999995</v>
      </c>
      <c r="E12" s="26">
        <v>8223.6397445999992</v>
      </c>
      <c r="F12" s="14"/>
      <c r="G12" s="14">
        <v>11254.928468800001</v>
      </c>
      <c r="H12" s="26">
        <v>11167.905825999998</v>
      </c>
      <c r="I12" s="26">
        <v>9137.3774940000003</v>
      </c>
      <c r="J12" s="26">
        <f>70.17*145.0377</f>
        <v>10177.295409</v>
      </c>
      <c r="K12" s="26">
        <v>69.618114239999997</v>
      </c>
      <c r="L12" s="2"/>
      <c r="M12" s="2"/>
      <c r="N12" s="2"/>
      <c r="O12" s="2"/>
    </row>
    <row r="13" spans="2:24" ht="13.8" x14ac:dyDescent="0.3">
      <c r="B13" s="13" t="s">
        <v>31</v>
      </c>
      <c r="C13" s="6">
        <v>0</v>
      </c>
      <c r="D13" s="11">
        <v>391601.89259999996</v>
      </c>
      <c r="E13" s="26">
        <v>379998.87355999998</v>
      </c>
      <c r="F13" s="14"/>
      <c r="G13" s="14">
        <v>638166.04719999991</v>
      </c>
      <c r="H13" s="26">
        <v>559990.70641799993</v>
      </c>
      <c r="I13" s="26">
        <v>650059.14171599993</v>
      </c>
      <c r="J13" s="26">
        <f>3170*145.0377</f>
        <v>459769.50900000002</v>
      </c>
      <c r="K13" s="26">
        <v>2175.0004228217999</v>
      </c>
      <c r="L13" s="2"/>
      <c r="M13" s="2"/>
      <c r="N13" s="2"/>
      <c r="O13" s="2"/>
    </row>
    <row r="14" spans="2:24" x14ac:dyDescent="0.25">
      <c r="B14" s="9" t="s">
        <v>17</v>
      </c>
      <c r="C14" s="6">
        <v>0</v>
      </c>
      <c r="D14" s="11" t="s">
        <v>34</v>
      </c>
      <c r="E14" s="26">
        <v>0</v>
      </c>
      <c r="F14" s="14"/>
      <c r="G14" s="14"/>
      <c r="H14" s="26" t="s">
        <v>34</v>
      </c>
      <c r="I14" s="26" t="s">
        <v>34</v>
      </c>
      <c r="J14" s="26" t="s">
        <v>34</v>
      </c>
      <c r="K14" s="26"/>
      <c r="L14" s="20"/>
      <c r="M14" s="2"/>
      <c r="N14" s="2"/>
      <c r="O14" s="2"/>
    </row>
    <row r="15" spans="2:24" x14ac:dyDescent="0.25">
      <c r="B15" s="9" t="s">
        <v>3</v>
      </c>
      <c r="C15" s="6"/>
      <c r="D15" s="31">
        <v>9.2519685039370077E-3</v>
      </c>
      <c r="E15" s="20">
        <v>1.6929133858267716E-2</v>
      </c>
      <c r="F15" s="15"/>
      <c r="G15" s="15">
        <v>1.1811023622047244E-2</v>
      </c>
      <c r="H15" s="200">
        <v>8.5984251968503952E-3</v>
      </c>
      <c r="I15" s="200">
        <v>6.2007874015748039E-3</v>
      </c>
      <c r="J15" s="32">
        <f>0.2286/25.4</f>
        <v>9.0000000000000011E-3</v>
      </c>
      <c r="K15" s="27">
        <v>0</v>
      </c>
      <c r="L15" s="2"/>
      <c r="M15" s="2"/>
      <c r="N15" s="2"/>
      <c r="O15" s="2"/>
    </row>
    <row r="16" spans="2:24" ht="13.8" x14ac:dyDescent="0.3">
      <c r="B16" s="13" t="s">
        <v>78</v>
      </c>
      <c r="D16" s="8">
        <v>8702264.2799999993</v>
      </c>
      <c r="E16" s="8">
        <v>15954151.18</v>
      </c>
      <c r="F16" s="8"/>
      <c r="G16" s="8">
        <v>3698462.3189999997</v>
      </c>
      <c r="H16" s="8">
        <v>7702519.151965999</v>
      </c>
      <c r="I16" s="8">
        <v>18590067.030412</v>
      </c>
      <c r="J16" s="8">
        <f>AVERAGE(J4,J9)</f>
        <v>5003800.6500000004</v>
      </c>
      <c r="K16" s="8">
        <v>5700.0005079285593</v>
      </c>
    </row>
    <row r="17" spans="1:23" ht="13.8" x14ac:dyDescent="0.3">
      <c r="B17" s="13" t="s">
        <v>79</v>
      </c>
      <c r="D17" s="8">
        <v>8702264.2799999993</v>
      </c>
      <c r="E17" s="8">
        <v>973703.66411258571</v>
      </c>
      <c r="F17" s="8"/>
      <c r="G17" s="8">
        <v>3698462.3189999997</v>
      </c>
      <c r="H17" s="8">
        <v>7702519.151965999</v>
      </c>
      <c r="I17" s="8">
        <v>1519995.4942399999</v>
      </c>
      <c r="J17" s="8">
        <f>AVERAGE(J11,J6)</f>
        <v>5003800.6500000004</v>
      </c>
      <c r="K17" s="8">
        <v>5700.0005079285593</v>
      </c>
    </row>
    <row r="18" spans="1:23" x14ac:dyDescent="0.25">
      <c r="A18" t="s">
        <v>90</v>
      </c>
      <c r="B18" s="13" t="s">
        <v>87</v>
      </c>
      <c r="D18" s="8">
        <v>3000</v>
      </c>
      <c r="E18" s="8">
        <v>3000</v>
      </c>
      <c r="F18" s="8"/>
      <c r="G18" s="8">
        <v>6000</v>
      </c>
      <c r="H18" s="8">
        <v>3000</v>
      </c>
      <c r="I18" s="8">
        <v>3000</v>
      </c>
      <c r="J18" s="8">
        <v>6000</v>
      </c>
      <c r="K18" s="22" t="s">
        <v>196</v>
      </c>
    </row>
    <row r="19" spans="1:23" x14ac:dyDescent="0.25">
      <c r="A19" t="s">
        <v>90</v>
      </c>
      <c r="B19" s="13" t="s">
        <v>88</v>
      </c>
      <c r="D19" s="8">
        <v>4500</v>
      </c>
      <c r="E19" s="8">
        <v>4500</v>
      </c>
      <c r="F19" s="8"/>
      <c r="G19" s="8">
        <v>8000</v>
      </c>
      <c r="H19" s="8">
        <v>4500</v>
      </c>
      <c r="I19" s="8">
        <v>4500</v>
      </c>
      <c r="J19" s="8">
        <v>8000</v>
      </c>
      <c r="K19" s="22" t="s">
        <v>196</v>
      </c>
    </row>
    <row r="20" spans="1:23" x14ac:dyDescent="0.25">
      <c r="A20" t="s">
        <v>90</v>
      </c>
      <c r="B20" s="13" t="s">
        <v>91</v>
      </c>
      <c r="D20" s="8"/>
      <c r="E20" s="8"/>
      <c r="F20" s="8"/>
      <c r="G20" s="8"/>
      <c r="H20" s="8"/>
      <c r="I20" s="8"/>
      <c r="J20" s="8"/>
      <c r="K20" s="8"/>
    </row>
    <row r="21" spans="1:23" x14ac:dyDescent="0.25">
      <c r="A21" t="s">
        <v>90</v>
      </c>
      <c r="B21" s="33" t="s">
        <v>92</v>
      </c>
      <c r="D21" s="8">
        <v>21329.24975028</v>
      </c>
      <c r="E21" s="8">
        <v>23274.205816860002</v>
      </c>
      <c r="F21" s="29"/>
      <c r="G21" s="29"/>
      <c r="H21" s="8">
        <v>23699.1663892</v>
      </c>
      <c r="I21" s="8">
        <v>25860.228685400001</v>
      </c>
    </row>
    <row r="22" spans="1:23" x14ac:dyDescent="0.25">
      <c r="A22" t="s">
        <v>90</v>
      </c>
      <c r="B22" s="13" t="s">
        <v>93</v>
      </c>
      <c r="D22" s="8"/>
      <c r="E22" s="8"/>
      <c r="F22" s="8"/>
      <c r="G22" s="8"/>
      <c r="H22" s="8"/>
      <c r="I22" s="8"/>
      <c r="J22" s="8"/>
      <c r="K22" s="8"/>
    </row>
    <row r="23" spans="1:23" x14ac:dyDescent="0.25">
      <c r="A23" t="s">
        <v>90</v>
      </c>
      <c r="B23" s="13" t="s">
        <v>94</v>
      </c>
      <c r="D23" s="8">
        <v>33260.054078159999</v>
      </c>
      <c r="E23" s="8">
        <v>39969.499838039992</v>
      </c>
      <c r="F23" s="8"/>
      <c r="G23" s="8"/>
      <c r="H23" s="8">
        <v>36955.6156424</v>
      </c>
      <c r="I23" s="8">
        <v>44410.555375599994</v>
      </c>
      <c r="J23" s="8"/>
      <c r="K23" s="8"/>
    </row>
    <row r="24" spans="1:23" x14ac:dyDescent="0.25">
      <c r="A24" t="s">
        <v>90</v>
      </c>
      <c r="B24" s="13" t="s">
        <v>95</v>
      </c>
      <c r="D24" s="8"/>
      <c r="E24" s="8"/>
      <c r="F24" s="8"/>
      <c r="G24" s="8"/>
      <c r="H24" s="8"/>
      <c r="I24" s="8"/>
      <c r="J24" s="8"/>
      <c r="K24" s="8"/>
    </row>
    <row r="25" spans="1:23" x14ac:dyDescent="0.25">
      <c r="A25" t="s">
        <v>90</v>
      </c>
      <c r="B25" s="13" t="s">
        <v>96</v>
      </c>
      <c r="D25" s="8"/>
      <c r="E25" s="8"/>
      <c r="F25" s="8"/>
      <c r="G25" s="8"/>
      <c r="H25" s="8"/>
      <c r="I25" s="8"/>
      <c r="J25" s="8"/>
      <c r="K25" s="8"/>
    </row>
    <row r="26" spans="1:23" x14ac:dyDescent="0.25">
      <c r="A26" t="s">
        <v>90</v>
      </c>
      <c r="B26" s="13" t="s">
        <v>97</v>
      </c>
      <c r="D26" s="8"/>
      <c r="E26" s="8"/>
      <c r="F26" s="8"/>
      <c r="G26" s="8"/>
      <c r="H26" s="8"/>
      <c r="I26" s="8"/>
      <c r="J26" s="8"/>
      <c r="K26" s="8"/>
    </row>
    <row r="27" spans="1:23" x14ac:dyDescent="0.25">
      <c r="A27" t="s">
        <v>90</v>
      </c>
      <c r="B27" s="13" t="s">
        <v>98</v>
      </c>
      <c r="D27" s="8"/>
      <c r="E27" s="8"/>
      <c r="F27" s="8"/>
      <c r="G27" s="8"/>
      <c r="H27" s="8"/>
      <c r="I27" s="8"/>
      <c r="J27" s="8"/>
      <c r="K27" s="8"/>
    </row>
    <row r="28" spans="1:23" x14ac:dyDescent="0.25">
      <c r="A28" t="s">
        <v>90</v>
      </c>
      <c r="B28" s="13" t="s">
        <v>99</v>
      </c>
      <c r="D28" s="8">
        <v>73216.500519779991</v>
      </c>
      <c r="E28" s="8">
        <v>77798.242663199984</v>
      </c>
      <c r="F28" s="8"/>
      <c r="G28" s="8"/>
      <c r="H28" s="8">
        <v>81351.667244199998</v>
      </c>
      <c r="I28" s="8">
        <v>86442.491847999991</v>
      </c>
      <c r="J28" s="8"/>
      <c r="K28" s="8"/>
    </row>
    <row r="29" spans="1:23" x14ac:dyDescent="0.25">
      <c r="A29" t="s">
        <v>90</v>
      </c>
      <c r="B29" s="13" t="s">
        <v>89</v>
      </c>
      <c r="D29" s="8">
        <v>40413.315316320004</v>
      </c>
      <c r="E29" s="8">
        <v>37280.500175519999</v>
      </c>
      <c r="F29" s="8"/>
      <c r="G29" s="8"/>
      <c r="H29" s="8">
        <v>44903.683684800002</v>
      </c>
      <c r="I29" s="8">
        <v>41422.777972800002</v>
      </c>
      <c r="J29" s="8"/>
      <c r="K29" s="8"/>
    </row>
    <row r="30" spans="1:23" ht="13.8" thickBot="1" x14ac:dyDescent="0.3">
      <c r="B30" s="10" t="s">
        <v>32</v>
      </c>
      <c r="D30" s="3"/>
      <c r="E30" s="16"/>
      <c r="F30" s="16"/>
      <c r="G30" s="16"/>
      <c r="H30" s="16"/>
      <c r="I30" s="16"/>
      <c r="J30" s="16"/>
      <c r="K30" s="16"/>
    </row>
    <row r="31" spans="1:23" ht="13.8" thickTop="1" x14ac:dyDescent="0.25">
      <c r="D31" s="21" t="s">
        <v>105</v>
      </c>
      <c r="E31" s="21" t="s">
        <v>106</v>
      </c>
      <c r="F31" s="21">
        <v>0</v>
      </c>
      <c r="G31" s="21" t="s">
        <v>107</v>
      </c>
      <c r="H31" s="21" t="s">
        <v>109</v>
      </c>
      <c r="I31" s="21" t="s">
        <v>108</v>
      </c>
      <c r="J31" s="21" t="str">
        <f>J2</f>
        <v>Pre-Preg S-Glass Cloth</v>
      </c>
      <c r="K31" s="21" t="s">
        <v>110</v>
      </c>
      <c r="L31" s="21" t="str">
        <f>L2</f>
        <v>Blank</v>
      </c>
      <c r="M31" s="21">
        <f>M2</f>
        <v>0</v>
      </c>
      <c r="N31" s="21">
        <f>N2</f>
        <v>0</v>
      </c>
      <c r="O31" s="1"/>
    </row>
    <row r="32" spans="1:23" ht="13.8" x14ac:dyDescent="0.3">
      <c r="B32" s="13" t="s">
        <v>23</v>
      </c>
      <c r="D32" s="22">
        <v>98045.51088799999</v>
      </c>
      <c r="E32" s="26">
        <v>273599.18896320002</v>
      </c>
      <c r="F32" s="17"/>
      <c r="G32" s="14">
        <v>51169.313966399997</v>
      </c>
      <c r="H32" s="22">
        <v>82816.548397999999</v>
      </c>
      <c r="I32" s="22">
        <v>303999.09884799999</v>
      </c>
      <c r="J32" s="22">
        <f>J3</f>
        <v>65008.797894000003</v>
      </c>
      <c r="K32" s="22">
        <v>191.44981415999999</v>
      </c>
      <c r="Q32" s="5">
        <f>D32/D33</f>
        <v>1.1266666666666666E-2</v>
      </c>
      <c r="R32" s="5">
        <f>E32/E33</f>
        <v>1.7149090909090912E-2</v>
      </c>
      <c r="S32" s="5"/>
      <c r="T32" s="5">
        <f>G32/G33</f>
        <v>1.3835294117647058E-2</v>
      </c>
      <c r="U32" s="5">
        <f>H32/H33</f>
        <v>1.0751878283465457E-2</v>
      </c>
      <c r="V32" s="5">
        <f>I32/I33</f>
        <v>1.6352770452665907E-2</v>
      </c>
      <c r="W32" s="5">
        <f>J32/J33</f>
        <v>1.2991884057971014E-2</v>
      </c>
    </row>
    <row r="33" spans="1:23" ht="13.8" x14ac:dyDescent="0.3">
      <c r="B33" s="13" t="s">
        <v>24</v>
      </c>
      <c r="D33" s="22">
        <v>8702264.2799999993</v>
      </c>
      <c r="E33" s="22">
        <v>15954151.18</v>
      </c>
      <c r="F33" s="22"/>
      <c r="G33" s="17">
        <v>3698462.3189999997</v>
      </c>
      <c r="H33" s="26">
        <v>7702519.151965999</v>
      </c>
      <c r="I33" s="22">
        <v>18590067.030412</v>
      </c>
      <c r="J33" s="22">
        <f t="shared" ref="J33:J44" si="0">J4</f>
        <v>5003800.6500000004</v>
      </c>
      <c r="K33" s="22">
        <v>10442.717135999999</v>
      </c>
      <c r="Q33" s="5"/>
      <c r="R33" s="5"/>
      <c r="S33" s="5"/>
      <c r="T33" s="5"/>
      <c r="U33" s="5"/>
      <c r="V33" s="5"/>
      <c r="W33" s="5"/>
    </row>
    <row r="34" spans="1:23" ht="13.8" x14ac:dyDescent="0.3">
      <c r="B34" s="13" t="s">
        <v>25</v>
      </c>
      <c r="D34" s="22">
        <v>97320.322197999994</v>
      </c>
      <c r="E34" s="26">
        <v>3524.4170334</v>
      </c>
      <c r="F34" s="17"/>
      <c r="G34" s="14">
        <v>39421.257188399999</v>
      </c>
      <c r="H34" s="22">
        <v>70198.265191999992</v>
      </c>
      <c r="I34" s="22">
        <v>3916.0189259999997</v>
      </c>
      <c r="J34" s="22">
        <f t="shared" si="0"/>
        <v>65008.797894000003</v>
      </c>
      <c r="K34" s="22">
        <v>191.44981415999999</v>
      </c>
      <c r="Q34" s="5">
        <f>D34/D35</f>
        <v>1.1183333333333333E-2</v>
      </c>
      <c r="R34" s="5">
        <f>E34/E35</f>
        <v>3.8417143226082947E-3</v>
      </c>
      <c r="S34" s="5"/>
      <c r="T34" s="5">
        <f>G34/G35</f>
        <v>1.0658823529411766E-2</v>
      </c>
      <c r="U34" s="5">
        <f>H34/H35</f>
        <v>9.1136761632176558E-3</v>
      </c>
      <c r="V34" s="5">
        <f>I34/I35</f>
        <v>2.5763358778625955E-3</v>
      </c>
      <c r="W34" s="5">
        <f>J34/J35</f>
        <v>1.2991884057971014E-2</v>
      </c>
    </row>
    <row r="35" spans="1:23" ht="13.8" x14ac:dyDescent="0.3">
      <c r="B35" s="13" t="s">
        <v>26</v>
      </c>
      <c r="D35" s="22">
        <v>8702264.2799999993</v>
      </c>
      <c r="E35" s="22">
        <v>917407.3701053157</v>
      </c>
      <c r="F35" s="22"/>
      <c r="G35" s="17">
        <v>3698462.3189999997</v>
      </c>
      <c r="H35" s="26">
        <v>7702519.151965999</v>
      </c>
      <c r="I35" s="22">
        <v>1519995.4942399999</v>
      </c>
      <c r="J35" s="22">
        <f t="shared" si="0"/>
        <v>5003800.6500000004</v>
      </c>
      <c r="K35" s="22">
        <v>10442.717135999999</v>
      </c>
      <c r="Q35" s="5"/>
      <c r="R35" s="5"/>
      <c r="S35" s="5"/>
      <c r="T35" s="5"/>
      <c r="U35" s="5"/>
      <c r="V35" s="5"/>
      <c r="W35" s="5"/>
    </row>
    <row r="36" spans="1:23" ht="13.8" x14ac:dyDescent="0.3">
      <c r="B36" s="13" t="s">
        <v>27</v>
      </c>
      <c r="D36" s="28">
        <v>0.03</v>
      </c>
      <c r="E36" s="28">
        <v>0.314</v>
      </c>
      <c r="F36" s="28"/>
      <c r="G36" s="34">
        <v>0.157</v>
      </c>
      <c r="H36" s="27">
        <v>5.8999999999999997E-2</v>
      </c>
      <c r="I36" s="28">
        <v>0.31900000000000001</v>
      </c>
      <c r="J36" s="22">
        <f t="shared" si="0"/>
        <v>0.1</v>
      </c>
      <c r="K36" s="22">
        <v>0.37</v>
      </c>
      <c r="Q36" s="5"/>
      <c r="R36" s="5"/>
      <c r="S36" s="5"/>
      <c r="T36" s="5"/>
      <c r="U36" s="5"/>
      <c r="V36" s="5"/>
      <c r="W36" s="5"/>
    </row>
    <row r="37" spans="1:23" ht="13.8" x14ac:dyDescent="0.3">
      <c r="B37" s="13" t="s">
        <v>28</v>
      </c>
      <c r="D37" s="22">
        <v>65412.019837999993</v>
      </c>
      <c r="E37" s="26">
        <v>134319.4491618</v>
      </c>
      <c r="F37" s="17"/>
      <c r="G37" s="14">
        <v>51299.847930599994</v>
      </c>
      <c r="H37" s="22">
        <v>69328.038763999997</v>
      </c>
      <c r="I37" s="22">
        <v>149243.832402</v>
      </c>
      <c r="J37" s="22">
        <f t="shared" si="0"/>
        <v>65008.797894000003</v>
      </c>
      <c r="K37" s="22">
        <v>131.98434158000001</v>
      </c>
      <c r="Q37" s="5">
        <f>D37/D38</f>
        <v>7.5166666666666663E-3</v>
      </c>
      <c r="R37" s="5">
        <f>E37/E38</f>
        <v>8.4190909090909091E-3</v>
      </c>
      <c r="S37" s="5"/>
      <c r="T37" s="5">
        <f>G37/G38</f>
        <v>1.3870588235294117E-2</v>
      </c>
      <c r="U37" s="5">
        <f>H37/H38</f>
        <v>9.0006967066488426E-3</v>
      </c>
      <c r="V37" s="5">
        <f>I37/I38</f>
        <v>8.0281492346341698E-3</v>
      </c>
      <c r="W37" s="5">
        <f>J37/J38</f>
        <v>1.2991884057971014E-2</v>
      </c>
    </row>
    <row r="38" spans="1:23" x14ac:dyDescent="0.25">
      <c r="B38" s="12" t="s">
        <v>15</v>
      </c>
      <c r="D38" s="22">
        <v>8702264.2799999993</v>
      </c>
      <c r="E38" s="22">
        <v>15954151.18</v>
      </c>
      <c r="F38" s="22"/>
      <c r="G38" s="17">
        <v>3698462.3189999997</v>
      </c>
      <c r="H38" s="26">
        <v>7702519.151965999</v>
      </c>
      <c r="I38" s="22">
        <v>18590067.030412</v>
      </c>
      <c r="J38" s="22">
        <f t="shared" si="0"/>
        <v>5003800.6500000004</v>
      </c>
      <c r="K38" s="22">
        <v>10442.717135999999</v>
      </c>
      <c r="Q38" s="5"/>
      <c r="R38" s="5"/>
      <c r="S38" s="5"/>
      <c r="T38" s="5"/>
      <c r="U38" s="5"/>
      <c r="V38" s="5"/>
      <c r="W38" s="5"/>
    </row>
    <row r="39" spans="1:23" ht="13.8" x14ac:dyDescent="0.3">
      <c r="B39" s="13" t="s">
        <v>29</v>
      </c>
      <c r="D39" s="22">
        <v>60625.774483999994</v>
      </c>
      <c r="E39" s="26">
        <v>17230.483274399998</v>
      </c>
      <c r="F39" s="17"/>
      <c r="G39" s="14">
        <v>37724.315653800004</v>
      </c>
      <c r="H39" s="22">
        <v>62946.378291999994</v>
      </c>
      <c r="I39" s="22">
        <v>19144.981415999999</v>
      </c>
      <c r="J39" s="22">
        <f t="shared" si="0"/>
        <v>65008.797894000003</v>
      </c>
      <c r="K39" s="22">
        <v>131.98434158000001</v>
      </c>
      <c r="Q39" s="5">
        <f>D39/D40</f>
        <v>6.9666666666666661E-3</v>
      </c>
      <c r="R39" s="5">
        <f>E39/E40</f>
        <v>1.6728625218443916E-2</v>
      </c>
      <c r="S39" s="5"/>
      <c r="T39" s="5">
        <f>G39/G40</f>
        <v>1.0200000000000002E-2</v>
      </c>
      <c r="U39" s="5">
        <f>H39/H40</f>
        <v>8.1721806918108719E-3</v>
      </c>
      <c r="V39" s="5">
        <f>I39/I40</f>
        <v>1.2595419847328244E-2</v>
      </c>
      <c r="W39" s="5">
        <f>J39/J40</f>
        <v>1.2991884057971014E-2</v>
      </c>
    </row>
    <row r="40" spans="1:23" x14ac:dyDescent="0.25">
      <c r="B40" s="12" t="s">
        <v>16</v>
      </c>
      <c r="D40" s="22">
        <v>8702264.2799999993</v>
      </c>
      <c r="E40" s="22">
        <v>1029999.9581198557</v>
      </c>
      <c r="F40" s="22"/>
      <c r="G40" s="17">
        <v>3698462.3189999997</v>
      </c>
      <c r="H40" s="26">
        <v>7702519.151965999</v>
      </c>
      <c r="I40" s="22">
        <v>1519995.4942399999</v>
      </c>
      <c r="J40" s="22">
        <f t="shared" si="0"/>
        <v>5003800.6500000004</v>
      </c>
      <c r="K40" s="22">
        <v>10442.717135999999</v>
      </c>
    </row>
    <row r="41" spans="1:23" ht="13.8" x14ac:dyDescent="0.3">
      <c r="B41" s="13" t="s">
        <v>30</v>
      </c>
      <c r="D41" s="22">
        <v>8412.1888039999994</v>
      </c>
      <c r="E41" s="26">
        <v>12139.6586706</v>
      </c>
      <c r="F41" s="17"/>
      <c r="G41" s="14">
        <v>12531.2605632</v>
      </c>
      <c r="H41" s="22">
        <v>13198.434158</v>
      </c>
      <c r="I41" s="22">
        <v>13488.509633999998</v>
      </c>
      <c r="J41" s="22">
        <f t="shared" si="0"/>
        <v>10177.295409</v>
      </c>
      <c r="K41" s="22">
        <v>152.28962490000001</v>
      </c>
    </row>
    <row r="42" spans="1:23" ht="13.8" x14ac:dyDescent="0.3">
      <c r="B42" s="13" t="s">
        <v>31</v>
      </c>
      <c r="D42" s="22">
        <v>391601.89259999996</v>
      </c>
      <c r="E42" s="22">
        <v>379998.87355999998</v>
      </c>
      <c r="F42" s="22"/>
      <c r="G42" s="17">
        <v>638166.04719999991</v>
      </c>
      <c r="H42" s="26">
        <v>559990.70641799993</v>
      </c>
      <c r="I42" s="26">
        <v>650059.14171599993</v>
      </c>
      <c r="J42" s="22">
        <f t="shared" si="0"/>
        <v>459769.50900000002</v>
      </c>
      <c r="K42" s="22">
        <v>3916.0189259999997</v>
      </c>
    </row>
    <row r="43" spans="1:23" x14ac:dyDescent="0.25">
      <c r="B43" s="9" t="s">
        <v>17</v>
      </c>
      <c r="D43" s="22" t="s">
        <v>34</v>
      </c>
      <c r="E43" s="22">
        <v>0</v>
      </c>
      <c r="F43" s="17"/>
      <c r="G43" s="17"/>
      <c r="H43" s="22" t="s">
        <v>34</v>
      </c>
      <c r="I43" s="22" t="s">
        <v>34</v>
      </c>
      <c r="J43" s="22" t="str">
        <f t="shared" si="0"/>
        <v>-</v>
      </c>
      <c r="K43" s="22"/>
    </row>
    <row r="44" spans="1:23" x14ac:dyDescent="0.25">
      <c r="B44" s="9" t="s">
        <v>3</v>
      </c>
      <c r="D44" s="23">
        <v>9.2519685039370077E-3</v>
      </c>
      <c r="E44" s="24">
        <v>1.6929133858267716E-2</v>
      </c>
      <c r="F44" s="18"/>
      <c r="G44" s="18">
        <v>1.1811023622047244E-2</v>
      </c>
      <c r="H44" s="24">
        <v>8.5984251968503952E-3</v>
      </c>
      <c r="I44" s="24">
        <v>6.2007874015748039E-3</v>
      </c>
      <c r="J44" s="28">
        <f t="shared" si="0"/>
        <v>9.0000000000000011E-3</v>
      </c>
      <c r="K44" s="28">
        <v>0</v>
      </c>
    </row>
    <row r="45" spans="1:23" ht="13.8" x14ac:dyDescent="0.3">
      <c r="B45" s="13" t="s">
        <v>78</v>
      </c>
      <c r="D45" s="8">
        <v>8702264.2799999993</v>
      </c>
      <c r="E45" s="8">
        <v>15954151.18</v>
      </c>
      <c r="F45" s="8"/>
      <c r="G45" s="8">
        <v>3698462.3189999997</v>
      </c>
      <c r="H45" s="8">
        <v>7702519.151965999</v>
      </c>
      <c r="I45" s="8">
        <v>18590067.030412</v>
      </c>
      <c r="J45" s="8">
        <f>AVERAGE(J33,J38)</f>
        <v>5003800.6500000004</v>
      </c>
      <c r="K45" s="8">
        <v>10442.717135999999</v>
      </c>
    </row>
    <row r="46" spans="1:23" ht="13.8" x14ac:dyDescent="0.3">
      <c r="B46" s="13" t="s">
        <v>79</v>
      </c>
      <c r="D46" s="8">
        <v>8702264.2799999993</v>
      </c>
      <c r="E46" s="8">
        <v>973703.66411258571</v>
      </c>
      <c r="F46" s="8"/>
      <c r="G46" s="8">
        <v>3698462.3189999997</v>
      </c>
      <c r="H46" s="8">
        <v>7702519.151965999</v>
      </c>
      <c r="I46" s="8">
        <v>1519995.4942399999</v>
      </c>
      <c r="J46" s="8">
        <f>AVERAGE(J40,J35)</f>
        <v>5003800.6500000004</v>
      </c>
      <c r="K46" s="8">
        <v>10442.717135999999</v>
      </c>
    </row>
    <row r="47" spans="1:23" x14ac:dyDescent="0.25">
      <c r="A47" t="s">
        <v>90</v>
      </c>
      <c r="B47" s="13" t="s">
        <v>87</v>
      </c>
      <c r="D47" s="8">
        <v>3579.3650793650791</v>
      </c>
      <c r="E47" s="8">
        <v>4971.0144927536239</v>
      </c>
      <c r="F47" s="8"/>
      <c r="G47" s="8">
        <v>6387.0385232744784</v>
      </c>
      <c r="H47" s="8">
        <v>3994.4289693593319</v>
      </c>
      <c r="I47" s="8">
        <v>4971.014492753623</v>
      </c>
      <c r="J47" s="8">
        <f>J18</f>
        <v>6000</v>
      </c>
      <c r="K47" s="22" t="s">
        <v>196</v>
      </c>
    </row>
    <row r="48" spans="1:23" x14ac:dyDescent="0.25">
      <c r="A48" t="s">
        <v>90</v>
      </c>
      <c r="B48" s="13" t="s">
        <v>88</v>
      </c>
      <c r="D48" s="8">
        <v>4890.6752411575562</v>
      </c>
      <c r="E48" s="8">
        <v>4711.288711288712</v>
      </c>
      <c r="F48" s="8"/>
      <c r="G48" s="8">
        <v>9560.9756097560967</v>
      </c>
      <c r="H48" s="8">
        <v>4318.4873949579833</v>
      </c>
      <c r="I48" s="8">
        <v>4711.288711288712</v>
      </c>
      <c r="J48" s="8">
        <f>J19</f>
        <v>8000</v>
      </c>
      <c r="K48" s="22" t="s">
        <v>196</v>
      </c>
    </row>
    <row r="49" spans="1:23" x14ac:dyDescent="0.25">
      <c r="A49" t="s">
        <v>90</v>
      </c>
      <c r="B49" s="13" t="s">
        <v>91</v>
      </c>
      <c r="D49" s="8"/>
      <c r="E49" s="8"/>
      <c r="F49" s="8"/>
      <c r="G49" s="8"/>
      <c r="H49" s="8"/>
      <c r="I49" s="8"/>
      <c r="J49" s="8"/>
      <c r="K49" s="8"/>
    </row>
    <row r="50" spans="1:23" x14ac:dyDescent="0.25">
      <c r="A50" t="s">
        <v>90</v>
      </c>
      <c r="B50" s="33" t="s">
        <v>92</v>
      </c>
      <c r="D50" s="8"/>
      <c r="E50" s="8"/>
      <c r="F50" s="8"/>
      <c r="G50" s="8"/>
      <c r="H50" s="8"/>
      <c r="I50" s="8"/>
      <c r="J50" s="8"/>
      <c r="K50" s="8"/>
    </row>
    <row r="51" spans="1:23" x14ac:dyDescent="0.25">
      <c r="A51" t="s">
        <v>90</v>
      </c>
      <c r="B51" s="13" t="s">
        <v>93</v>
      </c>
      <c r="D51" s="8"/>
      <c r="E51" s="8"/>
      <c r="F51" s="8"/>
      <c r="G51" s="8"/>
      <c r="H51" s="8"/>
      <c r="I51" s="8"/>
      <c r="J51" s="8"/>
      <c r="K51" s="8"/>
    </row>
    <row r="52" spans="1:23" x14ac:dyDescent="0.25">
      <c r="A52" t="s">
        <v>90</v>
      </c>
      <c r="B52" s="13" t="s">
        <v>94</v>
      </c>
      <c r="D52" s="8"/>
      <c r="E52" s="8"/>
      <c r="F52" s="8"/>
      <c r="G52" s="8"/>
      <c r="H52" s="8"/>
      <c r="I52" s="8"/>
      <c r="J52" s="8"/>
      <c r="K52" s="8"/>
    </row>
    <row r="53" spans="1:23" x14ac:dyDescent="0.25">
      <c r="A53" t="s">
        <v>90</v>
      </c>
      <c r="B53" s="13" t="s">
        <v>95</v>
      </c>
      <c r="D53" s="8"/>
      <c r="E53" s="8"/>
      <c r="F53" s="8"/>
      <c r="G53" s="8"/>
      <c r="H53" s="8"/>
      <c r="I53" s="8"/>
      <c r="J53" s="8"/>
      <c r="K53" s="8"/>
    </row>
    <row r="54" spans="1:23" x14ac:dyDescent="0.25">
      <c r="A54" t="s">
        <v>90</v>
      </c>
      <c r="B54" s="13" t="s">
        <v>96</v>
      </c>
      <c r="D54" s="8"/>
      <c r="E54" s="8"/>
      <c r="F54" s="8"/>
      <c r="G54" s="8"/>
      <c r="H54" s="8"/>
      <c r="I54" s="8"/>
      <c r="J54" s="8"/>
      <c r="K54" s="8"/>
    </row>
    <row r="55" spans="1:23" x14ac:dyDescent="0.25">
      <c r="A55" t="s">
        <v>90</v>
      </c>
      <c r="B55" s="13" t="s">
        <v>97</v>
      </c>
      <c r="D55" s="8"/>
      <c r="E55" s="8"/>
      <c r="F55" s="8"/>
      <c r="G55" s="8"/>
      <c r="H55" s="8"/>
      <c r="I55" s="8"/>
      <c r="J55" s="8"/>
      <c r="K55" s="8"/>
    </row>
    <row r="56" spans="1:23" x14ac:dyDescent="0.25">
      <c r="A56" t="s">
        <v>90</v>
      </c>
      <c r="B56" s="13" t="s">
        <v>98</v>
      </c>
      <c r="D56" s="8"/>
      <c r="E56" s="8"/>
      <c r="F56" s="8"/>
      <c r="G56" s="8"/>
      <c r="H56" s="8"/>
      <c r="I56" s="8"/>
      <c r="J56" s="8"/>
      <c r="K56" s="8"/>
    </row>
    <row r="57" spans="1:23" x14ac:dyDescent="0.25">
      <c r="A57" t="s">
        <v>90</v>
      </c>
      <c r="B57" s="13" t="s">
        <v>99</v>
      </c>
      <c r="D57" s="8"/>
      <c r="E57" s="8"/>
      <c r="F57" s="8"/>
      <c r="G57" s="8"/>
      <c r="H57" s="8"/>
      <c r="I57" s="8"/>
      <c r="J57" s="8"/>
      <c r="K57" s="8"/>
    </row>
    <row r="58" spans="1:23" x14ac:dyDescent="0.25">
      <c r="A58" t="s">
        <v>90</v>
      </c>
      <c r="B58" s="13" t="s">
        <v>89</v>
      </c>
      <c r="D58" s="8"/>
      <c r="E58" s="8"/>
      <c r="F58" s="8"/>
      <c r="G58" s="8"/>
      <c r="H58" s="8"/>
      <c r="I58" s="8"/>
      <c r="J58" s="8"/>
      <c r="K58" s="8"/>
    </row>
    <row r="59" spans="1:23" ht="13.8" thickBot="1" x14ac:dyDescent="0.3">
      <c r="B59" s="10" t="s">
        <v>19</v>
      </c>
      <c r="D59" s="16"/>
      <c r="E59" s="16"/>
      <c r="F59" s="16"/>
      <c r="G59" s="16"/>
      <c r="H59" s="16"/>
      <c r="I59" s="16"/>
      <c r="J59" s="16"/>
      <c r="K59" s="16"/>
    </row>
    <row r="60" spans="1:23" ht="13.8" thickTop="1" x14ac:dyDescent="0.25">
      <c r="D60" s="21" t="s">
        <v>105</v>
      </c>
      <c r="E60" s="21" t="s">
        <v>106</v>
      </c>
      <c r="F60" s="21">
        <v>0</v>
      </c>
      <c r="G60" s="21" t="s">
        <v>107</v>
      </c>
      <c r="H60" s="21" t="s">
        <v>109</v>
      </c>
      <c r="I60" s="21" t="s">
        <v>108</v>
      </c>
      <c r="J60" s="21" t="str">
        <f>J2</f>
        <v>Pre-Preg S-Glass Cloth</v>
      </c>
      <c r="K60" s="21" t="s">
        <v>110</v>
      </c>
      <c r="L60" s="21" t="str">
        <f>L31</f>
        <v>Blank</v>
      </c>
    </row>
    <row r="61" spans="1:23" ht="13.8" x14ac:dyDescent="0.3">
      <c r="B61" s="13" t="s">
        <v>23</v>
      </c>
      <c r="D61" s="22">
        <v>105152.36004999999</v>
      </c>
      <c r="E61" s="26">
        <v>291351.80809439998</v>
      </c>
      <c r="F61" s="17"/>
      <c r="G61" s="14">
        <v>54824.264963999995</v>
      </c>
      <c r="H61" s="22">
        <v>79770.755899999989</v>
      </c>
      <c r="I61" s="22">
        <v>323724.23121599999</v>
      </c>
      <c r="J61" s="26">
        <f>614*145.0377</f>
        <v>89053.147800000006</v>
      </c>
      <c r="K61" s="22">
        <v>188.5490594</v>
      </c>
      <c r="R61" s="5">
        <f>E61/E62</f>
        <v>1.8261818181818181E-2</v>
      </c>
      <c r="S61" s="5"/>
      <c r="T61" s="5">
        <f>G61/G62</f>
        <v>1.4823529411764706E-2</v>
      </c>
      <c r="U61" s="5">
        <f>H61/H62</f>
        <v>1.0356450185474608E-2</v>
      </c>
      <c r="V61" s="5">
        <f>I61/I62</f>
        <v>1.7413828077457207E-2</v>
      </c>
      <c r="W61" s="5">
        <f>J61/J62</f>
        <v>1.7797101449275363E-2</v>
      </c>
    </row>
    <row r="62" spans="1:23" ht="13.8" x14ac:dyDescent="0.3">
      <c r="B62" s="13" t="s">
        <v>24</v>
      </c>
      <c r="D62" s="22">
        <v>8702264.2799999993</v>
      </c>
      <c r="E62" s="22">
        <v>15954151.18</v>
      </c>
      <c r="F62" s="22"/>
      <c r="G62" s="17">
        <v>3698462.3189999997</v>
      </c>
      <c r="H62" s="26">
        <v>7702519.151965999</v>
      </c>
      <c r="I62" s="22">
        <v>18590067.030412</v>
      </c>
      <c r="J62" s="26">
        <f>34500*145.0377</f>
        <v>5003800.6500000004</v>
      </c>
      <c r="K62" s="22">
        <v>10442.717135999999</v>
      </c>
      <c r="R62" s="5"/>
      <c r="S62" s="5"/>
      <c r="T62" s="5"/>
      <c r="U62" s="5"/>
      <c r="V62" s="5"/>
      <c r="W62" s="5"/>
    </row>
    <row r="63" spans="1:23" ht="13.8" x14ac:dyDescent="0.3">
      <c r="B63" s="13" t="s">
        <v>25</v>
      </c>
      <c r="D63" s="22">
        <v>99205.812791999997</v>
      </c>
      <c r="E63" s="26">
        <v>4177.0868543999995</v>
      </c>
      <c r="F63" s="17"/>
      <c r="G63" s="14">
        <v>41901.402508200001</v>
      </c>
      <c r="H63" s="22">
        <v>66427.284004000001</v>
      </c>
      <c r="I63" s="22">
        <v>4641.2076159999997</v>
      </c>
      <c r="J63" s="26">
        <f>J61</f>
        <v>89053.147800000006</v>
      </c>
      <c r="K63" s="22">
        <v>188.5490594</v>
      </c>
      <c r="R63" s="5">
        <f>E63/E64</f>
        <v>4.5531429008690899E-3</v>
      </c>
      <c r="S63" s="5"/>
      <c r="T63" s="5">
        <f>G63/G64</f>
        <v>1.1329411764705883E-2</v>
      </c>
      <c r="U63" s="5">
        <f>H63/H64</f>
        <v>8.6240985180861297E-3</v>
      </c>
      <c r="V63" s="5">
        <f>I63/I64</f>
        <v>3.0534351145038168E-3</v>
      </c>
      <c r="W63" s="5">
        <f>J63/J64</f>
        <v>1.7797101449275363E-2</v>
      </c>
    </row>
    <row r="64" spans="1:23" ht="13.8" x14ac:dyDescent="0.3">
      <c r="B64" s="13" t="s">
        <v>26</v>
      </c>
      <c r="D64" s="22">
        <v>8702264.2799999993</v>
      </c>
      <c r="E64" s="22">
        <v>917407.3701053157</v>
      </c>
      <c r="F64" s="22"/>
      <c r="G64" s="17">
        <v>3698462.3189999997</v>
      </c>
      <c r="H64" s="26">
        <v>7702519.151965999</v>
      </c>
      <c r="I64" s="22">
        <v>1519995.4942399999</v>
      </c>
      <c r="J64" s="26">
        <f>J62</f>
        <v>5003800.6500000004</v>
      </c>
      <c r="K64" s="22">
        <v>10442.717135999999</v>
      </c>
      <c r="R64" s="5"/>
      <c r="S64" s="5"/>
      <c r="T64" s="5"/>
      <c r="U64" s="5"/>
      <c r="V64" s="5"/>
      <c r="W64" s="5"/>
    </row>
    <row r="65" spans="1:23" ht="13.8" x14ac:dyDescent="0.3">
      <c r="B65" s="13" t="s">
        <v>27</v>
      </c>
      <c r="D65" s="22">
        <v>0.03</v>
      </c>
      <c r="E65" s="22">
        <v>0.314</v>
      </c>
      <c r="F65" s="22"/>
      <c r="G65" s="34">
        <v>0.157</v>
      </c>
      <c r="H65" s="27">
        <v>5.8999999999999997E-2</v>
      </c>
      <c r="I65" s="28">
        <v>0.31900000000000001</v>
      </c>
      <c r="J65" s="27">
        <v>0.1</v>
      </c>
      <c r="K65" s="22">
        <v>0.37</v>
      </c>
      <c r="Q65" s="5"/>
      <c r="R65" s="5"/>
      <c r="S65" s="5"/>
      <c r="T65" s="5"/>
      <c r="U65" s="5"/>
      <c r="V65" s="5"/>
      <c r="W65" s="5"/>
    </row>
    <row r="66" spans="1:23" ht="13.8" x14ac:dyDescent="0.3">
      <c r="B66" s="13" t="s">
        <v>28</v>
      </c>
      <c r="D66" s="22">
        <v>75129.54828399999</v>
      </c>
      <c r="E66" s="26">
        <v>135233.1869112</v>
      </c>
      <c r="F66" s="17"/>
      <c r="G66" s="14">
        <v>62003.632994999993</v>
      </c>
      <c r="H66" s="22">
        <v>86442.491847999991</v>
      </c>
      <c r="I66" s="22">
        <v>150259.09656799998</v>
      </c>
      <c r="J66" s="26">
        <f>J63</f>
        <v>89053.147800000006</v>
      </c>
      <c r="K66" s="22">
        <v>188.5490594</v>
      </c>
      <c r="Q66" s="5">
        <f>D66/D67</f>
        <v>8.6333333333333331E-3</v>
      </c>
      <c r="R66" s="5">
        <f>E66/E67</f>
        <v>8.476363636363636E-3</v>
      </c>
      <c r="S66" s="5"/>
      <c r="T66" s="5">
        <f>G66/G67</f>
        <v>1.6764705882352942E-2</v>
      </c>
      <c r="U66" s="5">
        <f>H66/H67</f>
        <v>1.1222626019168848E-2</v>
      </c>
      <c r="V66" s="5">
        <f>I66/I67</f>
        <v>8.0827624947337195E-3</v>
      </c>
      <c r="W66" s="5">
        <f>J66/J67</f>
        <v>1.7797101449275363E-2</v>
      </c>
    </row>
    <row r="67" spans="1:23" x14ac:dyDescent="0.25">
      <c r="B67" s="12" t="s">
        <v>15</v>
      </c>
      <c r="D67" s="22">
        <v>8702264.2799999993</v>
      </c>
      <c r="E67" s="22">
        <v>15954151.18</v>
      </c>
      <c r="F67" s="22"/>
      <c r="G67" s="17">
        <v>3698462.3189999997</v>
      </c>
      <c r="H67" s="26">
        <v>7702519.151965999</v>
      </c>
      <c r="I67" s="22">
        <v>18590067.030412</v>
      </c>
      <c r="J67" s="26">
        <f>J64</f>
        <v>5003800.6500000004</v>
      </c>
      <c r="K67" s="22">
        <v>10442.717135999999</v>
      </c>
      <c r="Q67" s="5"/>
      <c r="R67" s="5"/>
      <c r="S67" s="5"/>
      <c r="T67" s="5"/>
      <c r="U67" s="5"/>
      <c r="V67" s="5"/>
      <c r="W67" s="5"/>
    </row>
    <row r="68" spans="1:23" ht="13.8" x14ac:dyDescent="0.3">
      <c r="B68" s="13" t="s">
        <v>29</v>
      </c>
      <c r="D68" s="22">
        <v>69618.114239999995</v>
      </c>
      <c r="E68" s="26">
        <v>21146.502200400002</v>
      </c>
      <c r="F68" s="17"/>
      <c r="G68" s="14">
        <v>34069.364656199999</v>
      </c>
      <c r="H68" s="22">
        <v>77885.265306000001</v>
      </c>
      <c r="I68" s="22">
        <v>23496.113555999997</v>
      </c>
      <c r="J68" s="26">
        <f>J63</f>
        <v>89053.147800000006</v>
      </c>
      <c r="K68" s="22">
        <v>188.5490594</v>
      </c>
      <c r="Q68" s="5">
        <f>D68/D69</f>
        <v>8.0000000000000002E-3</v>
      </c>
      <c r="R68" s="5">
        <f>E68/E69</f>
        <v>2.0530585495362994E-2</v>
      </c>
      <c r="S68" s="5"/>
      <c r="T68" s="5">
        <f>G68/G69</f>
        <v>9.2117647058823533E-3</v>
      </c>
      <c r="U68" s="5">
        <f>H68/H69</f>
        <v>1.0111661362908846E-2</v>
      </c>
      <c r="V68" s="5">
        <f>I68/I69</f>
        <v>1.5458015267175572E-2</v>
      </c>
      <c r="W68" s="5">
        <f>J68/J69</f>
        <v>1.7797101449275363E-2</v>
      </c>
    </row>
    <row r="69" spans="1:23" x14ac:dyDescent="0.25">
      <c r="B69" s="12" t="s">
        <v>16</v>
      </c>
      <c r="D69" s="22">
        <v>8702264.2799999993</v>
      </c>
      <c r="E69" s="22">
        <v>1029999.9581198557</v>
      </c>
      <c r="F69" s="22"/>
      <c r="G69" s="17">
        <v>3698462.3189999997</v>
      </c>
      <c r="H69" s="26">
        <v>7702519.151965999</v>
      </c>
      <c r="I69" s="22">
        <v>1519995.4942399999</v>
      </c>
      <c r="J69" s="26">
        <f>J67</f>
        <v>5003800.6500000004</v>
      </c>
      <c r="K69" s="22">
        <v>10442.717135999999</v>
      </c>
    </row>
    <row r="70" spans="1:23" ht="13.8" x14ac:dyDescent="0.3">
      <c r="B70" s="13" t="s">
        <v>30</v>
      </c>
      <c r="D70" s="22">
        <v>9717.5284460000003</v>
      </c>
      <c r="E70" s="26">
        <v>15403.007775599999</v>
      </c>
      <c r="F70" s="17"/>
      <c r="G70" s="14">
        <v>15664.075703999999</v>
      </c>
      <c r="H70" s="22">
        <v>17404.528559999999</v>
      </c>
      <c r="I70" s="22">
        <v>17114.453084000001</v>
      </c>
      <c r="J70" s="26">
        <f>70.17*145.0377</f>
        <v>10177.295409</v>
      </c>
      <c r="K70" s="22">
        <v>130.53396419999999</v>
      </c>
    </row>
    <row r="71" spans="1:23" ht="13.8" x14ac:dyDescent="0.3">
      <c r="B71" s="13" t="s">
        <v>31</v>
      </c>
      <c r="D71" s="22">
        <v>391601.89259999996</v>
      </c>
      <c r="E71" s="22">
        <v>379998.87355999998</v>
      </c>
      <c r="F71" s="22"/>
      <c r="G71" s="17">
        <v>638166.04719999991</v>
      </c>
      <c r="H71" s="26">
        <v>559990.70641799993</v>
      </c>
      <c r="I71" s="26">
        <v>650059.14171599993</v>
      </c>
      <c r="J71" s="26">
        <f>3170*145.0377</f>
        <v>459769.50900000002</v>
      </c>
      <c r="K71" s="22">
        <v>4351.1321399999997</v>
      </c>
    </row>
    <row r="72" spans="1:23" x14ac:dyDescent="0.25">
      <c r="B72" s="9" t="s">
        <v>17</v>
      </c>
      <c r="D72" s="22" t="s">
        <v>34</v>
      </c>
      <c r="E72" s="22">
        <v>0</v>
      </c>
      <c r="F72" s="17"/>
      <c r="G72" s="17"/>
      <c r="H72" s="22" t="s">
        <v>34</v>
      </c>
      <c r="I72" s="22" t="s">
        <v>34</v>
      </c>
      <c r="J72" s="26" t="s">
        <v>34</v>
      </c>
      <c r="K72" s="22"/>
    </row>
    <row r="73" spans="1:23" x14ac:dyDescent="0.25">
      <c r="B73" s="9" t="s">
        <v>3</v>
      </c>
      <c r="D73" s="24">
        <v>9.2519685039370077E-3</v>
      </c>
      <c r="E73" s="24">
        <v>1.6929133858267716E-2</v>
      </c>
      <c r="F73" s="18"/>
      <c r="G73" s="18">
        <v>1.1811023622047244E-2</v>
      </c>
      <c r="H73" s="24">
        <v>8.5984251968503952E-3</v>
      </c>
      <c r="I73" s="24">
        <v>6.2007874015748039E-3</v>
      </c>
      <c r="J73" s="32">
        <f>0.2286/25.4</f>
        <v>9.0000000000000011E-3</v>
      </c>
      <c r="K73" s="28">
        <v>0</v>
      </c>
    </row>
    <row r="74" spans="1:23" ht="13.8" x14ac:dyDescent="0.3">
      <c r="B74" s="13" t="s">
        <v>78</v>
      </c>
      <c r="D74" s="8">
        <v>8702264.2799999993</v>
      </c>
      <c r="E74" s="8">
        <v>15954151.18</v>
      </c>
      <c r="F74" s="8"/>
      <c r="G74" s="8">
        <v>3698462.3189999997</v>
      </c>
      <c r="H74" s="8">
        <v>7702519.151965999</v>
      </c>
      <c r="I74" s="8">
        <v>18590067.030412</v>
      </c>
      <c r="J74" s="8">
        <f>AVERAGE(J62,J67)</f>
        <v>5003800.6500000004</v>
      </c>
      <c r="K74" s="8">
        <v>10442.717135999999</v>
      </c>
    </row>
    <row r="75" spans="1:23" ht="13.8" x14ac:dyDescent="0.3">
      <c r="B75" s="13" t="s">
        <v>79</v>
      </c>
      <c r="D75" s="8">
        <v>8702264.2799999993</v>
      </c>
      <c r="E75" s="8">
        <v>973703.66411258571</v>
      </c>
      <c r="F75" s="8"/>
      <c r="G75" s="8">
        <v>3698462.3189999997</v>
      </c>
      <c r="H75" s="8">
        <v>7702519.151965999</v>
      </c>
      <c r="I75" s="8">
        <v>1519995.4942399999</v>
      </c>
      <c r="J75" s="8">
        <f>AVERAGE(J69,J64)</f>
        <v>5003800.6500000004</v>
      </c>
      <c r="K75" s="8">
        <v>10442.717135999999</v>
      </c>
    </row>
    <row r="76" spans="1:23" x14ac:dyDescent="0.25">
      <c r="A76" t="s">
        <v>90</v>
      </c>
      <c r="B76" s="13" t="s">
        <v>87</v>
      </c>
      <c r="D76" s="8">
        <v>4111.1111111111104</v>
      </c>
      <c r="E76" s="8">
        <v>5004.8309178743966</v>
      </c>
      <c r="F76" s="8"/>
      <c r="G76" s="8">
        <v>7719.7030497592295</v>
      </c>
      <c r="H76" s="8">
        <v>4980.5013927576592</v>
      </c>
      <c r="I76" s="8">
        <v>5004.8309178743957</v>
      </c>
      <c r="J76" s="8">
        <v>7719.7030497592314</v>
      </c>
      <c r="K76" s="22" t="s">
        <v>196</v>
      </c>
    </row>
    <row r="77" spans="1:23" x14ac:dyDescent="0.25">
      <c r="A77" t="s">
        <v>90</v>
      </c>
      <c r="B77" s="13" t="s">
        <v>88</v>
      </c>
      <c r="D77" s="8">
        <v>5245.1768488745984</v>
      </c>
      <c r="E77" s="8">
        <v>5016.9830169830166</v>
      </c>
      <c r="F77" s="8"/>
      <c r="G77" s="8">
        <v>10243.902439024389</v>
      </c>
      <c r="H77" s="8">
        <v>4159.6638655462184</v>
      </c>
      <c r="I77" s="8">
        <v>5016.9830169830184</v>
      </c>
      <c r="J77" s="8">
        <v>10243.902439024389</v>
      </c>
      <c r="K77" s="22" t="s">
        <v>196</v>
      </c>
    </row>
    <row r="78" spans="1:23" x14ac:dyDescent="0.25">
      <c r="A78" t="s">
        <v>90</v>
      </c>
      <c r="B78" s="13" t="s">
        <v>91</v>
      </c>
      <c r="D78" s="8"/>
      <c r="E78" s="8"/>
      <c r="F78" s="8"/>
      <c r="G78" s="8"/>
      <c r="H78" s="8"/>
      <c r="I78" s="8"/>
      <c r="J78" s="8"/>
      <c r="K78" s="8"/>
    </row>
    <row r="79" spans="1:23" x14ac:dyDescent="0.25">
      <c r="A79" t="s">
        <v>90</v>
      </c>
      <c r="B79" s="33" t="s">
        <v>92</v>
      </c>
      <c r="D79" s="8">
        <v>35714.09260512</v>
      </c>
      <c r="E79" s="8">
        <v>38220.344717760003</v>
      </c>
      <c r="F79" s="8"/>
      <c r="G79" s="8"/>
      <c r="H79" s="8">
        <v>39682.325116799999</v>
      </c>
      <c r="I79" s="8">
        <v>42467.049686400002</v>
      </c>
      <c r="J79" s="8"/>
      <c r="K79" s="8"/>
    </row>
    <row r="80" spans="1:23" x14ac:dyDescent="0.25">
      <c r="A80" t="s">
        <v>90</v>
      </c>
      <c r="B80" s="13" t="s">
        <v>93</v>
      </c>
      <c r="D80" s="8">
        <v>38011.490375039997</v>
      </c>
      <c r="E80" s="8">
        <v>64549.045296899996</v>
      </c>
      <c r="F80" s="8"/>
      <c r="G80" s="8"/>
      <c r="H80" s="8">
        <v>42234.989305599993</v>
      </c>
      <c r="I80" s="8">
        <v>71721.161440999989</v>
      </c>
      <c r="J80" s="8"/>
      <c r="K80" s="8"/>
    </row>
    <row r="81" spans="1:15" x14ac:dyDescent="0.25">
      <c r="A81" t="s">
        <v>90</v>
      </c>
      <c r="B81" s="13" t="s">
        <v>94</v>
      </c>
      <c r="D81" s="8"/>
      <c r="E81" s="8"/>
      <c r="F81" s="8"/>
      <c r="G81" s="8"/>
      <c r="H81" s="8"/>
      <c r="I81" s="8"/>
      <c r="J81" s="8"/>
      <c r="K81" s="8"/>
    </row>
    <row r="82" spans="1:15" x14ac:dyDescent="0.25">
      <c r="A82" t="s">
        <v>90</v>
      </c>
      <c r="B82" s="13" t="s">
        <v>95</v>
      </c>
      <c r="D82" s="8">
        <v>90277.289640720002</v>
      </c>
      <c r="E82" s="8">
        <v>99349.400152620001</v>
      </c>
      <c r="F82" s="8"/>
      <c r="G82" s="8"/>
      <c r="H82" s="8">
        <v>100308.09960079999</v>
      </c>
      <c r="I82" s="8">
        <v>110388.22239179999</v>
      </c>
      <c r="J82" s="8"/>
      <c r="K82" s="8"/>
    </row>
    <row r="83" spans="1:15" x14ac:dyDescent="0.25">
      <c r="A83" t="s">
        <v>90</v>
      </c>
      <c r="B83" s="13" t="s">
        <v>96</v>
      </c>
      <c r="D83" s="8">
        <v>92457.206842860003</v>
      </c>
      <c r="E83" s="8">
        <v>100680.84658745999</v>
      </c>
      <c r="F83" s="8"/>
      <c r="G83" s="8"/>
      <c r="H83" s="8">
        <v>102730.22982539999</v>
      </c>
      <c r="I83" s="8">
        <v>111867.60731939999</v>
      </c>
      <c r="J83" s="8"/>
      <c r="K83" s="8"/>
    </row>
    <row r="84" spans="1:15" x14ac:dyDescent="0.25">
      <c r="A84" t="s">
        <v>90</v>
      </c>
      <c r="B84" s="13" t="s">
        <v>97</v>
      </c>
      <c r="D84" s="8">
        <v>106946.47686905999</v>
      </c>
      <c r="E84" s="8">
        <v>185097.16123559998</v>
      </c>
      <c r="F84" s="8"/>
      <c r="G84" s="8"/>
      <c r="H84" s="8">
        <v>118829.41874339999</v>
      </c>
      <c r="I84" s="8">
        <v>205663.51248399998</v>
      </c>
      <c r="J84" s="8"/>
      <c r="K84" s="8"/>
    </row>
    <row r="85" spans="1:15" x14ac:dyDescent="0.25">
      <c r="A85" t="s">
        <v>90</v>
      </c>
      <c r="B85" s="13" t="s">
        <v>98</v>
      </c>
      <c r="D85" s="8">
        <v>168245.22645738002</v>
      </c>
      <c r="E85" s="8">
        <v>174863.29844231997</v>
      </c>
      <c r="F85" s="8"/>
      <c r="G85" s="8"/>
      <c r="H85" s="8">
        <v>186939.14050820001</v>
      </c>
      <c r="I85" s="8">
        <v>194292.55382479998</v>
      </c>
      <c r="J85" s="8"/>
      <c r="K85" s="8"/>
    </row>
    <row r="86" spans="1:15" x14ac:dyDescent="0.25">
      <c r="A86" t="s">
        <v>90</v>
      </c>
      <c r="B86" s="13" t="s">
        <v>99</v>
      </c>
      <c r="D86" s="8">
        <v>95733.60934427999</v>
      </c>
      <c r="E86" s="8">
        <v>96595.133507999999</v>
      </c>
      <c r="F86" s="8"/>
      <c r="G86" s="8"/>
      <c r="H86" s="8">
        <v>106370.67704919999</v>
      </c>
      <c r="I86" s="8">
        <v>107327.92611999999</v>
      </c>
      <c r="J86" s="8"/>
      <c r="K86" s="8"/>
    </row>
    <row r="87" spans="1:15" x14ac:dyDescent="0.25">
      <c r="A87" t="s">
        <v>90</v>
      </c>
      <c r="B87" s="13" t="s">
        <v>89</v>
      </c>
      <c r="D87" s="8">
        <v>69679.030089959982</v>
      </c>
      <c r="E87" s="8">
        <v>65071.181153700003</v>
      </c>
      <c r="F87" s="8"/>
      <c r="G87" s="8"/>
      <c r="H87" s="8">
        <v>77421.144544399984</v>
      </c>
      <c r="I87" s="8">
        <v>72301.312393</v>
      </c>
      <c r="J87" s="8"/>
      <c r="K87" s="8"/>
    </row>
    <row r="88" spans="1:15" ht="13.8" thickBot="1" x14ac:dyDescent="0.3">
      <c r="B88" s="10" t="s">
        <v>20</v>
      </c>
      <c r="D88" s="16"/>
      <c r="E88" s="16"/>
      <c r="F88" s="16"/>
      <c r="G88" s="16"/>
      <c r="H88" s="16"/>
      <c r="I88" s="16"/>
      <c r="J88" s="16"/>
      <c r="K88" s="16"/>
    </row>
    <row r="89" spans="1:15" ht="13.8" thickTop="1" x14ac:dyDescent="0.25">
      <c r="D89" s="21" t="s">
        <v>105</v>
      </c>
      <c r="E89" s="21" t="s">
        <v>106</v>
      </c>
      <c r="F89" s="21">
        <v>0</v>
      </c>
      <c r="G89" s="21" t="s">
        <v>107</v>
      </c>
      <c r="H89" s="21" t="s">
        <v>109</v>
      </c>
      <c r="I89" s="21" t="s">
        <v>108</v>
      </c>
      <c r="J89" s="21" t="str">
        <f>J2</f>
        <v>Pre-Preg S-Glass Cloth</v>
      </c>
      <c r="K89" s="21" t="s">
        <v>110</v>
      </c>
      <c r="L89" s="21" t="str">
        <f>L60</f>
        <v>Blank</v>
      </c>
      <c r="M89" s="21">
        <f>M60</f>
        <v>0</v>
      </c>
      <c r="N89" s="21">
        <f>N60</f>
        <v>0</v>
      </c>
      <c r="O89" s="1"/>
    </row>
    <row r="90" spans="1:15" ht="13.8" x14ac:dyDescent="0.3">
      <c r="B90" s="13" t="s">
        <v>23</v>
      </c>
      <c r="D90" s="22">
        <v>110518.756356</v>
      </c>
      <c r="E90" s="26">
        <v>285738.8476338</v>
      </c>
      <c r="F90" s="17"/>
      <c r="G90" s="14">
        <v>59131.885782599995</v>
      </c>
      <c r="H90" s="22">
        <v>73969.246379999997</v>
      </c>
      <c r="I90" s="22">
        <v>317487.60848199995</v>
      </c>
      <c r="J90" s="22"/>
      <c r="K90" s="22">
        <v>165.34302131999996</v>
      </c>
    </row>
    <row r="91" spans="1:15" ht="13.8" x14ac:dyDescent="0.3">
      <c r="B91" s="13" t="s">
        <v>24</v>
      </c>
      <c r="D91" s="22">
        <v>8702264.2799999993</v>
      </c>
      <c r="E91" s="22">
        <v>15954151.18</v>
      </c>
      <c r="F91" s="22"/>
      <c r="G91" s="17">
        <v>3698462.3189999997</v>
      </c>
      <c r="H91" s="26">
        <v>7702519.151965999</v>
      </c>
      <c r="I91" s="22">
        <v>18590067.030412</v>
      </c>
      <c r="J91" s="22"/>
      <c r="K91" s="22"/>
    </row>
    <row r="92" spans="1:15" ht="13.8" x14ac:dyDescent="0.3">
      <c r="B92" s="13" t="s">
        <v>25</v>
      </c>
      <c r="D92" s="22">
        <v>104717.24683599999</v>
      </c>
      <c r="E92" s="26">
        <v>4438.1547828000002</v>
      </c>
      <c r="F92" s="17"/>
      <c r="G92" s="14">
        <v>46470.091255200001</v>
      </c>
      <c r="H92" s="22">
        <v>63091.416029999993</v>
      </c>
      <c r="I92" s="22">
        <v>4931.2830919999997</v>
      </c>
      <c r="J92" s="22"/>
      <c r="K92" s="22">
        <v>165.34302131999996</v>
      </c>
    </row>
    <row r="93" spans="1:15" ht="13.8" x14ac:dyDescent="0.3">
      <c r="B93" s="13" t="s">
        <v>26</v>
      </c>
      <c r="D93" s="22">
        <v>8702264.2799999993</v>
      </c>
      <c r="E93" s="22">
        <v>917407.3701053157</v>
      </c>
      <c r="F93" s="22"/>
      <c r="G93" s="17">
        <v>3698462.3189999997</v>
      </c>
      <c r="H93" s="26">
        <v>7702519.151965999</v>
      </c>
      <c r="I93" s="22">
        <v>1519995.4942399999</v>
      </c>
      <c r="J93" s="22"/>
      <c r="K93" s="22"/>
    </row>
    <row r="94" spans="1:15" ht="13.8" x14ac:dyDescent="0.3">
      <c r="B94" s="13" t="s">
        <v>27</v>
      </c>
      <c r="D94" s="22">
        <v>0.03</v>
      </c>
      <c r="E94" s="22">
        <v>0.314</v>
      </c>
      <c r="F94" s="22"/>
      <c r="G94" s="34">
        <v>0.157</v>
      </c>
      <c r="H94" s="27">
        <v>5.8999999999999997E-2</v>
      </c>
      <c r="I94" s="28">
        <v>0.31900000000000001</v>
      </c>
      <c r="J94" s="22"/>
      <c r="K94" s="22">
        <v>0.37</v>
      </c>
    </row>
    <row r="95" spans="1:15" ht="13.8" x14ac:dyDescent="0.3">
      <c r="B95" s="13" t="s">
        <v>28</v>
      </c>
      <c r="D95" s="22">
        <v>75419.623759999988</v>
      </c>
      <c r="E95" s="26">
        <v>154943.81550539998</v>
      </c>
      <c r="F95" s="17"/>
      <c r="G95" s="14">
        <v>71663.146345799993</v>
      </c>
      <c r="H95" s="22">
        <v>92244.001367999997</v>
      </c>
      <c r="I95" s="22">
        <v>172159.795006</v>
      </c>
      <c r="J95" s="22"/>
      <c r="K95" s="22">
        <v>176.94604035999998</v>
      </c>
    </row>
    <row r="96" spans="1:15" x14ac:dyDescent="0.25">
      <c r="B96" s="12" t="s">
        <v>15</v>
      </c>
      <c r="D96" s="22">
        <v>8702264.2799999993</v>
      </c>
      <c r="E96" s="22">
        <v>15954151.18</v>
      </c>
      <c r="F96" s="22"/>
      <c r="G96" s="17">
        <v>3698462.3189999997</v>
      </c>
      <c r="H96" s="26">
        <v>7702519.151965999</v>
      </c>
      <c r="I96" s="22">
        <v>18590067.030412</v>
      </c>
      <c r="J96" s="22"/>
      <c r="K96" s="22"/>
    </row>
    <row r="97" spans="1:11" ht="13.8" x14ac:dyDescent="0.3">
      <c r="B97" s="13" t="s">
        <v>29</v>
      </c>
      <c r="D97" s="22">
        <v>69618.114239999995</v>
      </c>
      <c r="E97" s="26">
        <v>28848.0060882</v>
      </c>
      <c r="F97" s="17"/>
      <c r="G97" s="14">
        <v>53388.391357799999</v>
      </c>
      <c r="H97" s="22">
        <v>83251.661611999996</v>
      </c>
      <c r="I97" s="22">
        <v>32053.340097999997</v>
      </c>
      <c r="J97" s="22"/>
      <c r="K97" s="22">
        <v>176.94604035999998</v>
      </c>
    </row>
    <row r="98" spans="1:11" x14ac:dyDescent="0.25">
      <c r="B98" s="12" t="s">
        <v>16</v>
      </c>
      <c r="D98" s="22">
        <v>8702264.2799999993</v>
      </c>
      <c r="E98" s="22">
        <v>1029999.9581198557</v>
      </c>
      <c r="F98" s="22"/>
      <c r="G98" s="17">
        <v>3698462.3189999997</v>
      </c>
      <c r="H98" s="26">
        <v>7702519.151965999</v>
      </c>
      <c r="I98" s="22">
        <v>1519995.4942399999</v>
      </c>
      <c r="J98" s="22"/>
      <c r="K98" s="22"/>
    </row>
    <row r="99" spans="1:11" ht="13.8" x14ac:dyDescent="0.3">
      <c r="B99" s="13" t="s">
        <v>30</v>
      </c>
      <c r="D99" s="22">
        <v>11457.981302</v>
      </c>
      <c r="E99" s="26">
        <v>19188.4927374</v>
      </c>
      <c r="F99" s="17"/>
      <c r="G99" s="14">
        <v>19188.4927374</v>
      </c>
      <c r="H99" s="22">
        <v>20015.207843999997</v>
      </c>
      <c r="I99" s="22">
        <v>21320.547485999999</v>
      </c>
      <c r="J99" s="22"/>
      <c r="K99" s="22"/>
    </row>
    <row r="100" spans="1:11" ht="13.8" x14ac:dyDescent="0.3">
      <c r="B100" s="13" t="s">
        <v>31</v>
      </c>
      <c r="D100" s="22">
        <v>391601.89259999996</v>
      </c>
      <c r="E100" s="22">
        <v>379998.87355999998</v>
      </c>
      <c r="F100" s="22"/>
      <c r="G100" s="17">
        <v>638166.04719999991</v>
      </c>
      <c r="H100" s="26">
        <v>559990.70641799993</v>
      </c>
      <c r="I100" s="26">
        <v>650059.14171599993</v>
      </c>
      <c r="J100" s="22"/>
      <c r="K100" s="22"/>
    </row>
    <row r="101" spans="1:11" x14ac:dyDescent="0.25">
      <c r="B101" s="9" t="s">
        <v>17</v>
      </c>
      <c r="D101" s="22" t="s">
        <v>34</v>
      </c>
      <c r="E101" s="22">
        <v>0</v>
      </c>
      <c r="F101" s="17"/>
      <c r="G101" s="17"/>
      <c r="H101" s="22" t="s">
        <v>34</v>
      </c>
      <c r="I101" s="22" t="s">
        <v>34</v>
      </c>
      <c r="J101" s="22"/>
      <c r="K101" s="22"/>
    </row>
    <row r="102" spans="1:11" x14ac:dyDescent="0.25">
      <c r="B102" s="9" t="s">
        <v>3</v>
      </c>
      <c r="D102" s="24">
        <v>9.2519685039370077E-3</v>
      </c>
      <c r="E102" s="24">
        <v>1.6929133858267716E-2</v>
      </c>
      <c r="F102" s="18"/>
      <c r="G102" s="18">
        <v>1.1811023622047244E-2</v>
      </c>
      <c r="H102" s="24">
        <v>8.5984251968503952E-3</v>
      </c>
      <c r="I102" s="24">
        <v>6.2007874015748039E-3</v>
      </c>
      <c r="J102" s="24"/>
      <c r="K102" s="28">
        <v>0</v>
      </c>
    </row>
    <row r="103" spans="1:11" ht="13.8" x14ac:dyDescent="0.3">
      <c r="B103" s="13" t="s">
        <v>78</v>
      </c>
      <c r="D103" s="8">
        <v>8702264.2799999993</v>
      </c>
      <c r="E103" s="8">
        <v>15954151.18</v>
      </c>
      <c r="F103" s="8"/>
      <c r="G103" s="8">
        <v>3698462.3189999997</v>
      </c>
      <c r="H103" s="8">
        <v>7702519.151965999</v>
      </c>
      <c r="I103" s="8">
        <v>18590067.030412</v>
      </c>
      <c r="J103" s="8"/>
      <c r="K103" s="8">
        <v>10442.717135999999</v>
      </c>
    </row>
    <row r="104" spans="1:11" ht="13.8" x14ac:dyDescent="0.3">
      <c r="B104" s="13" t="s">
        <v>79</v>
      </c>
      <c r="D104" s="8">
        <v>8702264.2799999993</v>
      </c>
      <c r="E104" s="8">
        <v>973703.66411258571</v>
      </c>
      <c r="F104" s="8"/>
      <c r="G104" s="8">
        <v>3698462.3189999997</v>
      </c>
      <c r="H104" s="8">
        <v>7702519.151965999</v>
      </c>
      <c r="I104" s="8">
        <v>1519995.4942399999</v>
      </c>
      <c r="J104" s="8"/>
      <c r="K104" s="8">
        <v>10442.717135999999</v>
      </c>
    </row>
    <row r="105" spans="1:11" x14ac:dyDescent="0.25">
      <c r="A105" t="s">
        <v>90</v>
      </c>
      <c r="B105" s="13" t="s">
        <v>87</v>
      </c>
      <c r="D105" s="8">
        <v>4126.9841269841263</v>
      </c>
      <c r="E105" s="8">
        <v>5734.2995169082124</v>
      </c>
      <c r="F105" s="8"/>
      <c r="G105" s="8">
        <v>8922.3515248796157</v>
      </c>
      <c r="H105" s="8">
        <v>5314.7632311977723</v>
      </c>
      <c r="I105" s="8">
        <v>5734.2995169082124</v>
      </c>
      <c r="J105" s="8"/>
      <c r="K105" s="22" t="s">
        <v>196</v>
      </c>
    </row>
    <row r="106" spans="1:11" x14ac:dyDescent="0.25">
      <c r="A106" t="s">
        <v>90</v>
      </c>
      <c r="B106" s="13" t="s">
        <v>88</v>
      </c>
      <c r="D106" s="8">
        <v>5512.8617363344065</v>
      </c>
      <c r="E106" s="8">
        <v>4920.3296703296701</v>
      </c>
      <c r="F106" s="8"/>
      <c r="G106" s="8">
        <v>11048.780487804876</v>
      </c>
      <c r="H106" s="8">
        <v>3857.1428571428573</v>
      </c>
      <c r="I106" s="8">
        <v>4920.329670329671</v>
      </c>
      <c r="J106" s="8"/>
      <c r="K106" s="22" t="s">
        <v>196</v>
      </c>
    </row>
    <row r="107" spans="1:11" x14ac:dyDescent="0.25">
      <c r="A107" t="s">
        <v>90</v>
      </c>
      <c r="B107" s="13" t="s">
        <v>91</v>
      </c>
      <c r="D107" s="8"/>
      <c r="E107" s="8"/>
      <c r="F107" s="8"/>
      <c r="G107" s="8"/>
      <c r="H107" s="8"/>
      <c r="I107" s="8"/>
      <c r="J107" s="8"/>
      <c r="K107" s="8"/>
    </row>
    <row r="108" spans="1:11" x14ac:dyDescent="0.25">
      <c r="A108" t="s">
        <v>90</v>
      </c>
      <c r="B108" s="33" t="s">
        <v>92</v>
      </c>
      <c r="D108" s="8"/>
      <c r="E108" s="8"/>
      <c r="F108" s="8"/>
      <c r="G108" s="8"/>
      <c r="H108" s="8"/>
      <c r="I108" s="8"/>
      <c r="J108" s="8"/>
      <c r="K108" s="8"/>
    </row>
    <row r="109" spans="1:11" x14ac:dyDescent="0.25">
      <c r="A109" t="s">
        <v>90</v>
      </c>
      <c r="B109" s="13" t="s">
        <v>93</v>
      </c>
      <c r="D109" s="8"/>
      <c r="E109" s="8"/>
      <c r="F109" s="8"/>
      <c r="G109" s="8"/>
      <c r="H109" s="8"/>
      <c r="I109" s="8"/>
      <c r="J109" s="8"/>
      <c r="K109" s="8"/>
    </row>
    <row r="110" spans="1:11" x14ac:dyDescent="0.25">
      <c r="A110" t="s">
        <v>90</v>
      </c>
      <c r="B110" s="13" t="s">
        <v>94</v>
      </c>
      <c r="D110" s="8"/>
      <c r="E110" s="8"/>
      <c r="F110" s="8"/>
      <c r="G110" s="8"/>
      <c r="H110" s="8"/>
      <c r="I110" s="8"/>
      <c r="J110" s="8"/>
      <c r="K110" s="8"/>
    </row>
    <row r="111" spans="1:11" x14ac:dyDescent="0.25">
      <c r="A111" t="s">
        <v>90</v>
      </c>
      <c r="B111" s="13" t="s">
        <v>95</v>
      </c>
      <c r="D111" s="8"/>
      <c r="E111" s="8"/>
      <c r="F111" s="8"/>
      <c r="G111" s="8"/>
      <c r="H111" s="8"/>
      <c r="I111" s="8"/>
      <c r="J111" s="8"/>
      <c r="K111" s="8"/>
    </row>
    <row r="112" spans="1:11" x14ac:dyDescent="0.25">
      <c r="A112" t="s">
        <v>90</v>
      </c>
      <c r="B112" s="13" t="s">
        <v>96</v>
      </c>
      <c r="D112" s="8"/>
      <c r="E112" s="8"/>
      <c r="F112" s="8"/>
      <c r="G112" s="8"/>
      <c r="H112" s="8"/>
      <c r="I112" s="8"/>
      <c r="J112" s="8"/>
      <c r="K112" s="8"/>
    </row>
    <row r="113" spans="1:15" x14ac:dyDescent="0.25">
      <c r="A113" t="s">
        <v>90</v>
      </c>
      <c r="B113" s="13" t="s">
        <v>97</v>
      </c>
      <c r="D113" s="8"/>
      <c r="E113" s="8"/>
      <c r="F113" s="8"/>
      <c r="G113" s="8"/>
      <c r="H113" s="8"/>
      <c r="I113" s="8"/>
      <c r="J113" s="8"/>
      <c r="K113" s="8"/>
    </row>
    <row r="114" spans="1:15" x14ac:dyDescent="0.25">
      <c r="A114" t="s">
        <v>90</v>
      </c>
      <c r="B114" s="13" t="s">
        <v>98</v>
      </c>
      <c r="D114" s="8"/>
      <c r="E114" s="8"/>
      <c r="F114" s="8"/>
      <c r="G114" s="8"/>
      <c r="H114" s="8"/>
      <c r="I114" s="8"/>
      <c r="J114" s="8"/>
      <c r="K114" s="8"/>
    </row>
    <row r="115" spans="1:15" x14ac:dyDescent="0.25">
      <c r="A115" t="s">
        <v>90</v>
      </c>
      <c r="B115" s="13" t="s">
        <v>99</v>
      </c>
      <c r="D115" s="8"/>
      <c r="E115" s="8"/>
      <c r="F115" s="8"/>
      <c r="G115" s="8"/>
      <c r="H115" s="8"/>
      <c r="I115" s="8"/>
      <c r="J115" s="8"/>
      <c r="K115" s="8"/>
    </row>
    <row r="116" spans="1:15" ht="13.8" thickBot="1" x14ac:dyDescent="0.3">
      <c r="A116" t="s">
        <v>90</v>
      </c>
      <c r="B116" s="13" t="s">
        <v>89</v>
      </c>
      <c r="D116" s="8"/>
      <c r="E116" s="8"/>
      <c r="F116" s="8"/>
      <c r="G116" s="8"/>
      <c r="H116" s="8"/>
      <c r="I116" s="8"/>
      <c r="J116" s="8"/>
      <c r="K116" s="8"/>
    </row>
    <row r="117" spans="1:15" ht="13.8" thickTop="1" x14ac:dyDescent="0.25">
      <c r="B117" s="10" t="s">
        <v>18</v>
      </c>
      <c r="D117" s="21" t="s">
        <v>105</v>
      </c>
      <c r="E117" s="21" t="s">
        <v>106</v>
      </c>
      <c r="F117" s="21">
        <v>0</v>
      </c>
      <c r="G117" s="21" t="s">
        <v>107</v>
      </c>
      <c r="H117" s="21" t="s">
        <v>109</v>
      </c>
      <c r="I117" s="21" t="s">
        <v>108</v>
      </c>
      <c r="J117" s="21" t="str">
        <f>J2</f>
        <v>Pre-Preg S-Glass Cloth</v>
      </c>
      <c r="K117" s="21" t="s">
        <v>110</v>
      </c>
      <c r="L117" s="21" t="str">
        <f>L89</f>
        <v>Blank</v>
      </c>
      <c r="M117" s="21">
        <f>M89</f>
        <v>0</v>
      </c>
      <c r="N117" s="21">
        <f>N89</f>
        <v>0</v>
      </c>
      <c r="O117" s="1"/>
    </row>
    <row r="118" spans="1:15" x14ac:dyDescent="0.25">
      <c r="D118" s="25"/>
      <c r="E118" s="19"/>
      <c r="F118" s="19"/>
      <c r="G118" s="19"/>
      <c r="H118" s="19"/>
      <c r="I118" s="19"/>
      <c r="J118" s="25"/>
      <c r="K118" s="19"/>
    </row>
    <row r="119" spans="1:15" ht="13.8" x14ac:dyDescent="0.3">
      <c r="B119" s="13" t="s">
        <v>23</v>
      </c>
      <c r="D119" s="22">
        <f t="shared" ref="D119:E134" si="1">MIN(D3,D32,D61,D90)</f>
        <v>90213.473035999996</v>
      </c>
      <c r="E119" s="22">
        <f t="shared" si="1"/>
        <v>261328.99632839998</v>
      </c>
      <c r="F119" s="22"/>
      <c r="G119" s="22">
        <f>MIN(G3,G32,G61,G90)</f>
        <v>42815.140257599996</v>
      </c>
      <c r="H119" s="22">
        <f>MIN(H3,H32,H61,H90)</f>
        <v>73969.246379999997</v>
      </c>
      <c r="I119" s="22">
        <f>MIN(I3,I32,I61,I90)</f>
        <v>290365.55147599999</v>
      </c>
      <c r="J119" s="22">
        <f>MIN(J3,J32,J61,J90)</f>
        <v>65008.797894000003</v>
      </c>
      <c r="K119" s="22">
        <f>MIN(K3,K32,K61,K90)</f>
        <v>149.38887013999999</v>
      </c>
    </row>
    <row r="120" spans="1:15" ht="13.8" x14ac:dyDescent="0.3">
      <c r="B120" s="13" t="s">
        <v>24</v>
      </c>
      <c r="D120" s="22">
        <f t="shared" si="1"/>
        <v>8702264.2799999993</v>
      </c>
      <c r="E120" s="22">
        <f t="shared" si="1"/>
        <v>15954151.18</v>
      </c>
      <c r="F120" s="22"/>
      <c r="G120" s="22">
        <f t="shared" ref="G120:K135" si="2">MIN(G4,G33,G62,G91)</f>
        <v>3698462.3189999997</v>
      </c>
      <c r="H120" s="22">
        <f t="shared" si="2"/>
        <v>7702519.151965999</v>
      </c>
      <c r="I120" s="22">
        <f t="shared" si="2"/>
        <v>18590067.030412</v>
      </c>
      <c r="J120" s="22">
        <f t="shared" si="2"/>
        <v>5003800.6500000004</v>
      </c>
      <c r="K120" s="22">
        <f t="shared" si="2"/>
        <v>5700.0005079285593</v>
      </c>
    </row>
    <row r="121" spans="1:15" ht="13.8" x14ac:dyDescent="0.3">
      <c r="B121" s="13" t="s">
        <v>25</v>
      </c>
      <c r="D121" s="22">
        <f t="shared" si="1"/>
        <v>76434.887925999996</v>
      </c>
      <c r="E121" s="22">
        <f t="shared" si="1"/>
        <v>1696.9415346000001</v>
      </c>
      <c r="F121" s="22"/>
      <c r="G121" s="22">
        <f t="shared" si="2"/>
        <v>34335.267175866669</v>
      </c>
      <c r="H121" s="22">
        <f t="shared" si="2"/>
        <v>63091.416029999993</v>
      </c>
      <c r="I121" s="22">
        <f t="shared" si="2"/>
        <v>1885.4905939999999</v>
      </c>
      <c r="J121" s="22">
        <f t="shared" si="2"/>
        <v>65008.797894000003</v>
      </c>
      <c r="K121" s="22">
        <f t="shared" si="2"/>
        <v>149.38887013999999</v>
      </c>
    </row>
    <row r="122" spans="1:15" ht="13.8" x14ac:dyDescent="0.3">
      <c r="B122" s="13" t="s">
        <v>26</v>
      </c>
      <c r="D122" s="22">
        <f t="shared" si="1"/>
        <v>8702264.2799999993</v>
      </c>
      <c r="E122" s="22">
        <f t="shared" si="1"/>
        <v>917407.3701053157</v>
      </c>
      <c r="F122" s="22"/>
      <c r="G122" s="22">
        <f t="shared" si="2"/>
        <v>3698462.3189999997</v>
      </c>
      <c r="H122" s="22">
        <f t="shared" si="2"/>
        <v>7702519.151965999</v>
      </c>
      <c r="I122" s="22">
        <f t="shared" si="2"/>
        <v>1519995.4942399999</v>
      </c>
      <c r="J122" s="22">
        <f t="shared" si="2"/>
        <v>5003800.6500000004</v>
      </c>
      <c r="K122" s="22">
        <f t="shared" si="2"/>
        <v>5700.0005079285593</v>
      </c>
    </row>
    <row r="123" spans="1:15" ht="13.8" x14ac:dyDescent="0.3">
      <c r="B123" s="13" t="s">
        <v>27</v>
      </c>
      <c r="D123" s="22">
        <f t="shared" si="1"/>
        <v>0.03</v>
      </c>
      <c r="E123" s="22">
        <f t="shared" si="1"/>
        <v>0.314</v>
      </c>
      <c r="F123" s="22"/>
      <c r="G123" s="22">
        <f t="shared" si="2"/>
        <v>0.157</v>
      </c>
      <c r="H123" s="22">
        <f t="shared" si="2"/>
        <v>5.8999999999999997E-2</v>
      </c>
      <c r="I123" s="22">
        <f t="shared" si="2"/>
        <v>0.31900000000000001</v>
      </c>
      <c r="J123" s="22">
        <f t="shared" si="2"/>
        <v>0.1</v>
      </c>
      <c r="K123" s="22">
        <f t="shared" si="2"/>
        <v>0.37</v>
      </c>
    </row>
    <row r="124" spans="1:15" ht="13.8" x14ac:dyDescent="0.3">
      <c r="B124" s="13" t="s">
        <v>28</v>
      </c>
      <c r="D124" s="22">
        <f t="shared" si="1"/>
        <v>54824.264963999995</v>
      </c>
      <c r="E124" s="22">
        <f t="shared" si="1"/>
        <v>81061.591768199985</v>
      </c>
      <c r="F124" s="22"/>
      <c r="G124" s="22">
        <f t="shared" si="2"/>
        <v>48191.205746133324</v>
      </c>
      <c r="H124" s="22">
        <f t="shared" si="2"/>
        <v>52068.547941999997</v>
      </c>
      <c r="I124" s="22">
        <f t="shared" si="2"/>
        <v>90068.435297999997</v>
      </c>
      <c r="J124" s="22">
        <f t="shared" si="2"/>
        <v>65008.797894000003</v>
      </c>
      <c r="K124" s="22">
        <f t="shared" si="2"/>
        <v>91.37377493999999</v>
      </c>
    </row>
    <row r="125" spans="1:15" x14ac:dyDescent="0.25">
      <c r="B125" s="12" t="s">
        <v>15</v>
      </c>
      <c r="D125" s="22">
        <f t="shared" si="1"/>
        <v>8702264.2799999993</v>
      </c>
      <c r="E125" s="22">
        <f t="shared" si="1"/>
        <v>15954151.18</v>
      </c>
      <c r="F125" s="22"/>
      <c r="G125" s="22">
        <f t="shared" si="2"/>
        <v>3698462.3189999997</v>
      </c>
      <c r="H125" s="22">
        <f t="shared" si="2"/>
        <v>7702519.151965999</v>
      </c>
      <c r="I125" s="22">
        <f t="shared" si="2"/>
        <v>18590067.030412</v>
      </c>
      <c r="J125" s="22">
        <f t="shared" si="2"/>
        <v>5003800.6500000004</v>
      </c>
      <c r="K125" s="22">
        <f t="shared" si="2"/>
        <v>5700.0005079285593</v>
      </c>
    </row>
    <row r="126" spans="1:15" ht="13.8" x14ac:dyDescent="0.3">
      <c r="B126" s="13" t="s">
        <v>29</v>
      </c>
      <c r="D126" s="22">
        <f t="shared" si="1"/>
        <v>50763.208299999998</v>
      </c>
      <c r="E126" s="22">
        <f t="shared" si="1"/>
        <v>9790.0473149999998</v>
      </c>
      <c r="F126" s="22"/>
      <c r="G126" s="22">
        <f t="shared" si="2"/>
        <v>34069.364656199999</v>
      </c>
      <c r="H126" s="22">
        <f t="shared" si="2"/>
        <v>48297.566753999999</v>
      </c>
      <c r="I126" s="22">
        <f t="shared" si="2"/>
        <v>10877.83035</v>
      </c>
      <c r="J126" s="22">
        <f t="shared" si="2"/>
        <v>65008.797894000003</v>
      </c>
      <c r="K126" s="22">
        <f t="shared" si="2"/>
        <v>91.37377493999999</v>
      </c>
    </row>
    <row r="127" spans="1:15" x14ac:dyDescent="0.25">
      <c r="B127" s="12" t="s">
        <v>16</v>
      </c>
      <c r="D127" s="22">
        <f t="shared" si="1"/>
        <v>8702264.2799999993</v>
      </c>
      <c r="E127" s="22">
        <f t="shared" si="1"/>
        <v>1029999.9581198557</v>
      </c>
      <c r="F127" s="22"/>
      <c r="G127" s="22">
        <f t="shared" si="2"/>
        <v>3698462.3189999997</v>
      </c>
      <c r="H127" s="22">
        <f t="shared" si="2"/>
        <v>7702519.151965999</v>
      </c>
      <c r="I127" s="22">
        <f t="shared" si="2"/>
        <v>1519995.4942399999</v>
      </c>
      <c r="J127" s="22">
        <f t="shared" si="2"/>
        <v>5003800.6500000004</v>
      </c>
      <c r="K127" s="22">
        <f t="shared" si="2"/>
        <v>5700.0005079285593</v>
      </c>
    </row>
    <row r="128" spans="1:15" ht="13.8" x14ac:dyDescent="0.3">
      <c r="B128" s="13" t="s">
        <v>30</v>
      </c>
      <c r="D128" s="22">
        <f t="shared" si="1"/>
        <v>7106.8491619999995</v>
      </c>
      <c r="E128" s="22">
        <f t="shared" si="1"/>
        <v>8223.6397445999992</v>
      </c>
      <c r="F128" s="22"/>
      <c r="G128" s="22">
        <f t="shared" si="2"/>
        <v>11254.928468800001</v>
      </c>
      <c r="H128" s="22">
        <f t="shared" si="2"/>
        <v>11167.905825999998</v>
      </c>
      <c r="I128" s="22">
        <f t="shared" si="2"/>
        <v>9137.3774940000003</v>
      </c>
      <c r="J128" s="22">
        <f t="shared" si="2"/>
        <v>10177.295409</v>
      </c>
      <c r="K128" s="22">
        <f t="shared" si="2"/>
        <v>69.618114239999997</v>
      </c>
    </row>
    <row r="129" spans="1:11" ht="13.8" x14ac:dyDescent="0.3">
      <c r="B129" s="13" t="s">
        <v>31</v>
      </c>
      <c r="D129" s="22">
        <f t="shared" si="1"/>
        <v>391601.89259999996</v>
      </c>
      <c r="E129" s="22">
        <f t="shared" si="1"/>
        <v>379998.87355999998</v>
      </c>
      <c r="F129" s="22"/>
      <c r="G129" s="22">
        <f t="shared" si="2"/>
        <v>638166.04719999991</v>
      </c>
      <c r="H129" s="22">
        <f t="shared" si="2"/>
        <v>559990.70641799993</v>
      </c>
      <c r="I129" s="22">
        <f t="shared" si="2"/>
        <v>650059.14171599993</v>
      </c>
      <c r="J129" s="22">
        <f t="shared" si="2"/>
        <v>459769.50900000002</v>
      </c>
      <c r="K129" s="22">
        <f t="shared" si="2"/>
        <v>2175.0004228217999</v>
      </c>
    </row>
    <row r="130" spans="1:11" x14ac:dyDescent="0.25">
      <c r="B130" s="9" t="s">
        <v>17</v>
      </c>
      <c r="D130" s="22">
        <f t="shared" si="1"/>
        <v>0</v>
      </c>
      <c r="E130" s="22">
        <f t="shared" si="1"/>
        <v>0</v>
      </c>
      <c r="F130" s="22"/>
      <c r="G130" s="22">
        <f t="shared" si="2"/>
        <v>0</v>
      </c>
      <c r="H130" s="22">
        <f t="shared" si="2"/>
        <v>0</v>
      </c>
      <c r="I130" s="22">
        <f t="shared" si="2"/>
        <v>0</v>
      </c>
      <c r="J130" s="22">
        <f t="shared" si="2"/>
        <v>0</v>
      </c>
      <c r="K130" s="22">
        <f t="shared" si="2"/>
        <v>0</v>
      </c>
    </row>
    <row r="131" spans="1:11" x14ac:dyDescent="0.25">
      <c r="B131" s="9" t="s">
        <v>3</v>
      </c>
      <c r="D131" s="28">
        <f t="shared" si="1"/>
        <v>9.2519685039370077E-3</v>
      </c>
      <c r="E131" s="28">
        <f t="shared" si="1"/>
        <v>1.6929133858267716E-2</v>
      </c>
      <c r="F131" s="201"/>
      <c r="G131" s="28">
        <f>G15</f>
        <v>1.1811023622047244E-2</v>
      </c>
      <c r="H131" s="28">
        <f>H15</f>
        <v>8.5984251968503952E-3</v>
      </c>
      <c r="I131" s="28">
        <f>I15</f>
        <v>6.2007874015748039E-3</v>
      </c>
      <c r="J131" s="28">
        <f>J15</f>
        <v>9.0000000000000011E-3</v>
      </c>
      <c r="K131" s="28">
        <f>K15</f>
        <v>0</v>
      </c>
    </row>
    <row r="132" spans="1:11" ht="13.8" x14ac:dyDescent="0.3">
      <c r="B132" s="13" t="s">
        <v>78</v>
      </c>
      <c r="D132" s="22">
        <f t="shared" si="1"/>
        <v>8702264.2799999993</v>
      </c>
      <c r="E132" s="22">
        <f t="shared" si="1"/>
        <v>15954151.18</v>
      </c>
      <c r="F132" s="8"/>
      <c r="G132" s="22">
        <f t="shared" ref="G132:I135" si="3">MIN(G16,G45,G74,G103)</f>
        <v>3698462.3189999997</v>
      </c>
      <c r="H132" s="22">
        <f t="shared" si="3"/>
        <v>7702519.151965999</v>
      </c>
      <c r="I132" s="22">
        <f t="shared" si="3"/>
        <v>18590067.030412</v>
      </c>
      <c r="J132" s="22">
        <f t="shared" si="2"/>
        <v>5003800.6500000004</v>
      </c>
      <c r="K132" s="22">
        <f t="shared" si="2"/>
        <v>5700.0005079285593</v>
      </c>
    </row>
    <row r="133" spans="1:11" ht="13.8" x14ac:dyDescent="0.3">
      <c r="B133" s="13" t="s">
        <v>79</v>
      </c>
      <c r="D133" s="22">
        <f t="shared" si="1"/>
        <v>8702264.2799999993</v>
      </c>
      <c r="E133" s="22">
        <f t="shared" si="1"/>
        <v>973703.66411258571</v>
      </c>
      <c r="F133" s="8"/>
      <c r="G133" s="22">
        <f t="shared" si="3"/>
        <v>3698462.3189999997</v>
      </c>
      <c r="H133" s="22">
        <f t="shared" si="3"/>
        <v>7702519.151965999</v>
      </c>
      <c r="I133" s="22">
        <f t="shared" si="3"/>
        <v>1519995.4942399999</v>
      </c>
      <c r="J133" s="22">
        <f t="shared" si="2"/>
        <v>5003800.6500000004</v>
      </c>
      <c r="K133" s="22">
        <f t="shared" si="2"/>
        <v>5700.0005079285593</v>
      </c>
    </row>
    <row r="134" spans="1:11" x14ac:dyDescent="0.25">
      <c r="A134" t="s">
        <v>90</v>
      </c>
      <c r="B134" s="13" t="s">
        <v>87</v>
      </c>
      <c r="D134" s="22">
        <f t="shared" si="1"/>
        <v>3000</v>
      </c>
      <c r="E134" s="22">
        <f t="shared" si="1"/>
        <v>3000</v>
      </c>
      <c r="G134" s="22">
        <f t="shared" si="3"/>
        <v>6000</v>
      </c>
      <c r="H134" s="22">
        <f t="shared" si="3"/>
        <v>3000</v>
      </c>
      <c r="I134" s="22">
        <f t="shared" si="3"/>
        <v>3000</v>
      </c>
      <c r="J134" s="22">
        <f t="shared" si="2"/>
        <v>6000</v>
      </c>
      <c r="K134" s="22">
        <f t="shared" si="2"/>
        <v>0</v>
      </c>
    </row>
    <row r="135" spans="1:11" x14ac:dyDescent="0.25">
      <c r="A135" t="s">
        <v>90</v>
      </c>
      <c r="B135" s="13" t="s">
        <v>88</v>
      </c>
      <c r="D135" s="22">
        <f t="shared" ref="D135:E135" si="4">MIN(D19,D48,D77,D106)</f>
        <v>4500</v>
      </c>
      <c r="E135" s="22">
        <f t="shared" si="4"/>
        <v>4500</v>
      </c>
      <c r="G135" s="22">
        <f t="shared" si="3"/>
        <v>8000</v>
      </c>
      <c r="H135" s="22">
        <f t="shared" si="3"/>
        <v>3857.1428571428573</v>
      </c>
      <c r="I135" s="22">
        <f t="shared" si="3"/>
        <v>4500</v>
      </c>
      <c r="J135" s="22">
        <f t="shared" si="2"/>
        <v>8000</v>
      </c>
      <c r="K135" s="22">
        <f t="shared" si="2"/>
        <v>0</v>
      </c>
    </row>
    <row r="136" spans="1:11" x14ac:dyDescent="0.25">
      <c r="A136" t="s">
        <v>90</v>
      </c>
      <c r="B136" s="13" t="s">
        <v>91</v>
      </c>
    </row>
    <row r="137" spans="1:11" x14ac:dyDescent="0.25">
      <c r="A137" t="s">
        <v>90</v>
      </c>
      <c r="B137" s="33" t="s">
        <v>92</v>
      </c>
    </row>
    <row r="138" spans="1:11" x14ac:dyDescent="0.25">
      <c r="A138" t="s">
        <v>90</v>
      </c>
      <c r="B138" s="13" t="s">
        <v>93</v>
      </c>
    </row>
    <row r="139" spans="1:11" x14ac:dyDescent="0.25">
      <c r="A139" t="s">
        <v>90</v>
      </c>
      <c r="B139" s="13" t="s">
        <v>94</v>
      </c>
    </row>
    <row r="140" spans="1:11" x14ac:dyDescent="0.25">
      <c r="A140" t="s">
        <v>90</v>
      </c>
      <c r="B140" s="13" t="s">
        <v>95</v>
      </c>
    </row>
    <row r="141" spans="1:11" x14ac:dyDescent="0.25">
      <c r="A141" t="s">
        <v>90</v>
      </c>
      <c r="B141" s="13" t="s">
        <v>96</v>
      </c>
    </row>
    <row r="142" spans="1:11" x14ac:dyDescent="0.25">
      <c r="A142" t="s">
        <v>90</v>
      </c>
      <c r="B142" s="13" t="s">
        <v>97</v>
      </c>
    </row>
    <row r="143" spans="1:11" x14ac:dyDescent="0.25">
      <c r="A143" t="s">
        <v>90</v>
      </c>
      <c r="B143" s="13" t="s">
        <v>98</v>
      </c>
    </row>
    <row r="144" spans="1:11" x14ac:dyDescent="0.25">
      <c r="A144" t="s">
        <v>90</v>
      </c>
      <c r="B144" s="13" t="s">
        <v>99</v>
      </c>
    </row>
    <row r="145" spans="1:2" x14ac:dyDescent="0.25">
      <c r="A145" t="s">
        <v>90</v>
      </c>
      <c r="B145" s="13" t="s">
        <v>89</v>
      </c>
    </row>
  </sheetData>
  <phoneticPr fontId="3"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 ME</vt:lpstr>
      <vt:lpstr>Report</vt:lpstr>
      <vt:lpstr>Matl</vt:lpstr>
      <vt:lpstr>'READ ME'!Print_Area</vt:lpstr>
      <vt:lpstr>Report!Print_Area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Stress Analysis</dc:subject>
  <dc:creator>Abbott Aerospace</dc:creator>
  <cp:keywords>Stress; Method; Standard; Analysis</cp:keywords>
  <dc:description>enquiries@abbottaerospace.com</dc:description>
  <cp:lastModifiedBy>Richard Abbott</cp:lastModifiedBy>
  <cp:lastPrinted>2009-04-23T14:21:48Z</cp:lastPrinted>
  <dcterms:created xsi:type="dcterms:W3CDTF">2008-11-19T17:15:48Z</dcterms:created>
  <dcterms:modified xsi:type="dcterms:W3CDTF">2016-08-31T11:19:26Z</dcterms:modified>
  <cp:category>Analysis;AA-SM</cp:category>
  <cp:contentStatus>Released</cp:contentStatus>
</cp:coreProperties>
</file>