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3552" yWindow="216" windowWidth="14856" windowHeight="12468" tabRatio="722" activeTab="1"/>
  </bookViews>
  <sheets>
    <sheet name="READ ME" sheetId="17" r:id="rId1"/>
    <sheet name="FACING PLY" sheetId="9" r:id="rId2"/>
    <sheet name="Matl" sheetId="2" r:id="rId3"/>
  </sheets>
  <externalReferences>
    <externalReference r:id="rId4"/>
  </externalReferences>
  <definedNames>
    <definedName name="_xlnm.Print_Area" localSheetId="1">'FACING PLY'!$A$8:$K$63</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17" l="1"/>
  <c r="F11" i="9" l="1"/>
  <c r="L10" i="9"/>
  <c r="J10" i="9" s="1"/>
  <c r="F10" i="9"/>
  <c r="J9" i="9"/>
  <c r="F9" i="9"/>
  <c r="J8" i="9"/>
  <c r="F8" i="9"/>
  <c r="B12" i="9" l="1"/>
  <c r="X59" i="9" l="1"/>
  <c r="X58" i="9"/>
  <c r="X57" i="9"/>
  <c r="X56" i="9"/>
  <c r="K135" i="2"/>
  <c r="I135" i="2"/>
  <c r="H135" i="2"/>
  <c r="G135" i="2"/>
  <c r="E135" i="2"/>
  <c r="D135" i="2"/>
  <c r="K134" i="2"/>
  <c r="I134" i="2"/>
  <c r="H134" i="2"/>
  <c r="G134" i="2"/>
  <c r="E134" i="2"/>
  <c r="D134" i="2"/>
  <c r="K133" i="2"/>
  <c r="I133" i="2"/>
  <c r="H133" i="2"/>
  <c r="G133" i="2"/>
  <c r="E133" i="2"/>
  <c r="D133" i="2"/>
  <c r="K132" i="2"/>
  <c r="I132" i="2"/>
  <c r="H132" i="2"/>
  <c r="G132" i="2"/>
  <c r="E132" i="2"/>
  <c r="D132" i="2"/>
  <c r="K131" i="2"/>
  <c r="I131" i="2"/>
  <c r="H131" i="2"/>
  <c r="G131" i="2"/>
  <c r="E131" i="2"/>
  <c r="D131" i="2"/>
  <c r="K130" i="2"/>
  <c r="I130" i="2"/>
  <c r="H130" i="2"/>
  <c r="G130" i="2"/>
  <c r="E130" i="2"/>
  <c r="D130" i="2"/>
  <c r="K129" i="2"/>
  <c r="I129" i="2"/>
  <c r="H129" i="2"/>
  <c r="G129" i="2"/>
  <c r="E129" i="2"/>
  <c r="D129" i="2"/>
  <c r="K128" i="2"/>
  <c r="I128" i="2"/>
  <c r="H128" i="2"/>
  <c r="G128" i="2"/>
  <c r="E128" i="2"/>
  <c r="D128" i="2"/>
  <c r="K127" i="2"/>
  <c r="I127" i="2"/>
  <c r="H127" i="2"/>
  <c r="G127" i="2"/>
  <c r="E127" i="2"/>
  <c r="D127" i="2"/>
  <c r="K126" i="2"/>
  <c r="I126" i="2"/>
  <c r="H126" i="2"/>
  <c r="G126" i="2"/>
  <c r="E126" i="2"/>
  <c r="D126" i="2"/>
  <c r="K125" i="2"/>
  <c r="I125" i="2"/>
  <c r="H125" i="2"/>
  <c r="G125" i="2"/>
  <c r="E125" i="2"/>
  <c r="D125" i="2"/>
  <c r="K124" i="2"/>
  <c r="I124" i="2"/>
  <c r="H124" i="2"/>
  <c r="G124" i="2"/>
  <c r="E124" i="2"/>
  <c r="D124" i="2"/>
  <c r="K123" i="2"/>
  <c r="I123" i="2"/>
  <c r="H123" i="2"/>
  <c r="G123" i="2"/>
  <c r="E123" i="2"/>
  <c r="D123" i="2"/>
  <c r="K122" i="2"/>
  <c r="I122" i="2"/>
  <c r="H122" i="2"/>
  <c r="G122" i="2"/>
  <c r="E122" i="2"/>
  <c r="D122" i="2"/>
  <c r="K121" i="2"/>
  <c r="I121" i="2"/>
  <c r="H121" i="2"/>
  <c r="G121" i="2"/>
  <c r="E121" i="2"/>
  <c r="D121" i="2"/>
  <c r="K120" i="2"/>
  <c r="I120" i="2"/>
  <c r="H120" i="2"/>
  <c r="G120" i="2"/>
  <c r="E120" i="2"/>
  <c r="D120" i="2"/>
  <c r="K119" i="2"/>
  <c r="I119" i="2"/>
  <c r="H119" i="2"/>
  <c r="G119" i="2"/>
  <c r="E119" i="2"/>
  <c r="D119" i="2"/>
  <c r="J117" i="2"/>
  <c r="J89" i="2"/>
  <c r="J73" i="2"/>
  <c r="J71" i="2"/>
  <c r="J70" i="2"/>
  <c r="V68" i="2"/>
  <c r="U68" i="2"/>
  <c r="T68" i="2"/>
  <c r="R68" i="2"/>
  <c r="Q68" i="2"/>
  <c r="V66" i="2"/>
  <c r="U66" i="2"/>
  <c r="T66" i="2"/>
  <c r="R66" i="2"/>
  <c r="Q66" i="2"/>
  <c r="V63" i="2"/>
  <c r="U63" i="2"/>
  <c r="T63" i="2"/>
  <c r="R63" i="2"/>
  <c r="J62" i="2"/>
  <c r="J64" i="2" s="1"/>
  <c r="V61" i="2"/>
  <c r="U61" i="2"/>
  <c r="T61" i="2"/>
  <c r="R61" i="2"/>
  <c r="J61" i="2"/>
  <c r="J63" i="2" s="1"/>
  <c r="J66" i="2" s="1"/>
  <c r="J60" i="2"/>
  <c r="J48" i="2"/>
  <c r="J135" i="2" s="1"/>
  <c r="J47" i="2"/>
  <c r="J134" i="2" s="1"/>
  <c r="J43" i="2"/>
  <c r="J130" i="2" s="1"/>
  <c r="V39" i="2"/>
  <c r="U39" i="2"/>
  <c r="T39" i="2"/>
  <c r="R39" i="2"/>
  <c r="Q39" i="2"/>
  <c r="V37" i="2"/>
  <c r="U37" i="2"/>
  <c r="T37" i="2"/>
  <c r="R37" i="2"/>
  <c r="Q37" i="2"/>
  <c r="J36" i="2"/>
  <c r="J123" i="2" s="1"/>
  <c r="V34" i="2"/>
  <c r="U34" i="2"/>
  <c r="T34" i="2"/>
  <c r="R34" i="2"/>
  <c r="Q34" i="2"/>
  <c r="V32" i="2"/>
  <c r="U32" i="2"/>
  <c r="T32" i="2"/>
  <c r="R32" i="2"/>
  <c r="Q32" i="2"/>
  <c r="N31" i="2"/>
  <c r="M31" i="2"/>
  <c r="L31" i="2"/>
  <c r="L60" i="2" s="1"/>
  <c r="L89" i="2" s="1"/>
  <c r="L117" i="2" s="1"/>
  <c r="J31" i="2"/>
  <c r="J15" i="2"/>
  <c r="J131" i="2" s="1"/>
  <c r="J13" i="2"/>
  <c r="J12" i="2"/>
  <c r="V10" i="2"/>
  <c r="U10" i="2"/>
  <c r="T10" i="2"/>
  <c r="R10" i="2"/>
  <c r="Q10" i="2"/>
  <c r="V8" i="2"/>
  <c r="U8" i="2"/>
  <c r="T8" i="2"/>
  <c r="R8" i="2"/>
  <c r="Q8" i="2"/>
  <c r="V5" i="2"/>
  <c r="U5" i="2"/>
  <c r="T5" i="2"/>
  <c r="R5" i="2"/>
  <c r="Q5" i="2"/>
  <c r="J4" i="2"/>
  <c r="J33" i="2" s="1"/>
  <c r="V3" i="2"/>
  <c r="U3" i="2"/>
  <c r="T3" i="2"/>
  <c r="R3" i="2"/>
  <c r="Q3" i="2"/>
  <c r="J3" i="2"/>
  <c r="J32" i="2" s="1"/>
  <c r="J41" i="2" l="1"/>
  <c r="J128" i="2" s="1"/>
  <c r="J42" i="2"/>
  <c r="J129" i="2" s="1"/>
  <c r="W3" i="2"/>
  <c r="Y59" i="9"/>
  <c r="Y58" i="9"/>
  <c r="Y57" i="9"/>
  <c r="W32" i="2"/>
  <c r="J44" i="2"/>
  <c r="J120" i="2"/>
  <c r="J6" i="2"/>
  <c r="J119" i="2"/>
  <c r="J5" i="2"/>
  <c r="N89" i="2"/>
  <c r="M89" i="2" s="1"/>
  <c r="W63" i="2"/>
  <c r="W61" i="2"/>
  <c r="J68" i="2"/>
  <c r="CS50" i="9"/>
  <c r="CR50" i="9"/>
  <c r="B52" i="9" l="1"/>
  <c r="N117" i="2"/>
  <c r="M117" i="2" s="1"/>
  <c r="J34" i="2"/>
  <c r="J10" i="2"/>
  <c r="J8" i="2"/>
  <c r="W5" i="2"/>
  <c r="J121" i="2"/>
  <c r="J35" i="2"/>
  <c r="J122" i="2" s="1"/>
  <c r="J9" i="2"/>
  <c r="J67" i="2"/>
  <c r="AR50" i="9"/>
  <c r="AQ50" i="9"/>
  <c r="AP50" i="9"/>
  <c r="AO50" i="9"/>
  <c r="AN50" i="9"/>
  <c r="AM50" i="9"/>
  <c r="BC50" i="9" s="1"/>
  <c r="AL50" i="9"/>
  <c r="AK50" i="9"/>
  <c r="AJ50" i="9"/>
  <c r="AI50" i="9"/>
  <c r="AH50" i="9"/>
  <c r="J16" i="2" l="1"/>
  <c r="J38" i="2"/>
  <c r="J45" i="2" s="1"/>
  <c r="J11" i="2"/>
  <c r="J37" i="2"/>
  <c r="W37" i="2" s="1"/>
  <c r="W8" i="2"/>
  <c r="J39" i="2"/>
  <c r="W10" i="2"/>
  <c r="J69" i="2"/>
  <c r="W66" i="2"/>
  <c r="J74" i="2"/>
  <c r="W34" i="2"/>
  <c r="AV50" i="9"/>
  <c r="AU50" i="9"/>
  <c r="AX50" i="9"/>
  <c r="AW50" i="9"/>
  <c r="AF50" i="9"/>
  <c r="AE50" i="9"/>
  <c r="AD50" i="9"/>
  <c r="AC50" i="9"/>
  <c r="AB50" i="9"/>
  <c r="AA50" i="9"/>
  <c r="W50" i="9" s="1"/>
  <c r="F50" i="9"/>
  <c r="CS49" i="9"/>
  <c r="CR49" i="9"/>
  <c r="AR49" i="9"/>
  <c r="AQ49" i="9"/>
  <c r="AP49" i="9"/>
  <c r="AO49" i="9"/>
  <c r="AN49" i="9"/>
  <c r="AM49" i="9"/>
  <c r="BC49" i="9" s="1"/>
  <c r="AL49" i="9"/>
  <c r="AK49" i="9"/>
  <c r="AJ49" i="9"/>
  <c r="AI49" i="9"/>
  <c r="AH49" i="9"/>
  <c r="AF49" i="9"/>
  <c r="AE49" i="9"/>
  <c r="AD49" i="9"/>
  <c r="AC49" i="9"/>
  <c r="AB49" i="9"/>
  <c r="AA49" i="9"/>
  <c r="W49" i="9" s="1"/>
  <c r="F49" i="9"/>
  <c r="CS48" i="9"/>
  <c r="CR48" i="9"/>
  <c r="J125" i="2" l="1"/>
  <c r="AG49" i="9"/>
  <c r="AG50" i="9"/>
  <c r="J124" i="2"/>
  <c r="J40" i="2"/>
  <c r="J46" i="2" s="1"/>
  <c r="J17" i="2"/>
  <c r="J127" i="2"/>
  <c r="J75" i="2"/>
  <c r="W68" i="2"/>
  <c r="J126" i="2"/>
  <c r="J132" i="2"/>
  <c r="BE50" i="9"/>
  <c r="BY50" i="9" s="1"/>
  <c r="BF50" i="9"/>
  <c r="BZ50" i="9" s="1"/>
  <c r="BI50" i="9"/>
  <c r="CC50" i="9" s="1"/>
  <c r="BM50" i="9"/>
  <c r="BW50" i="9" s="1"/>
  <c r="AX49" i="9"/>
  <c r="BK50" i="9"/>
  <c r="BU50" i="9" s="1"/>
  <c r="BG50" i="9"/>
  <c r="CK50" i="9" s="1"/>
  <c r="AW49" i="9"/>
  <c r="AU49" i="9"/>
  <c r="AV49" i="9"/>
  <c r="AR48" i="9"/>
  <c r="AQ48" i="9"/>
  <c r="AP48" i="9"/>
  <c r="AO48" i="9"/>
  <c r="AN48" i="9"/>
  <c r="AM48" i="9"/>
  <c r="BC48" i="9" s="1"/>
  <c r="AL48" i="9"/>
  <c r="AK48" i="9"/>
  <c r="AJ48" i="9"/>
  <c r="AI48" i="9"/>
  <c r="AH48" i="9"/>
  <c r="AF48" i="9"/>
  <c r="AE48" i="9"/>
  <c r="AD48" i="9"/>
  <c r="AC48" i="9"/>
  <c r="AB48" i="9"/>
  <c r="AA48" i="9"/>
  <c r="W48" i="9" s="1"/>
  <c r="F48" i="9"/>
  <c r="CS47" i="9"/>
  <c r="CR47" i="9"/>
  <c r="AR47" i="9"/>
  <c r="AQ47" i="9"/>
  <c r="AP47" i="9"/>
  <c r="AO47" i="9"/>
  <c r="AN47" i="9"/>
  <c r="AM47" i="9"/>
  <c r="BC47" i="9" s="1"/>
  <c r="AL47" i="9"/>
  <c r="AK47" i="9"/>
  <c r="AJ47" i="9"/>
  <c r="AI47" i="9"/>
  <c r="AH47" i="9"/>
  <c r="AF47" i="9"/>
  <c r="AE47" i="9"/>
  <c r="AD47" i="9"/>
  <c r="AC47" i="9"/>
  <c r="AB47" i="9"/>
  <c r="AA47" i="9"/>
  <c r="W47" i="9" s="1"/>
  <c r="F47" i="9"/>
  <c r="CS46" i="9"/>
  <c r="CR46" i="9"/>
  <c r="AR46" i="9"/>
  <c r="AQ46" i="9"/>
  <c r="AP46" i="9"/>
  <c r="AO46" i="9"/>
  <c r="AN46" i="9"/>
  <c r="AM46" i="9"/>
  <c r="BC46" i="9" s="1"/>
  <c r="AL46" i="9"/>
  <c r="AK46" i="9"/>
  <c r="AJ46" i="9"/>
  <c r="AI46" i="9"/>
  <c r="AH46" i="9"/>
  <c r="AF46" i="9"/>
  <c r="AE46" i="9"/>
  <c r="AD46" i="9"/>
  <c r="AC46" i="9"/>
  <c r="AB46" i="9"/>
  <c r="AA46" i="9"/>
  <c r="W46" i="9" s="1"/>
  <c r="F46" i="9"/>
  <c r="CS45" i="9"/>
  <c r="CR45" i="9"/>
  <c r="AR45" i="9"/>
  <c r="AQ45" i="9"/>
  <c r="AP45" i="9"/>
  <c r="AO45" i="9"/>
  <c r="AN45" i="9"/>
  <c r="AM45" i="9"/>
  <c r="BC45" i="9" s="1"/>
  <c r="AL45" i="9"/>
  <c r="AK45" i="9"/>
  <c r="AJ45" i="9"/>
  <c r="AI45" i="9"/>
  <c r="AH45" i="9"/>
  <c r="AF45" i="9"/>
  <c r="AE45" i="9"/>
  <c r="AD45" i="9"/>
  <c r="AC45" i="9"/>
  <c r="AB45" i="9"/>
  <c r="AA45" i="9"/>
  <c r="W45" i="9" s="1"/>
  <c r="F45" i="9"/>
  <c r="CS44" i="9"/>
  <c r="CR44" i="9"/>
  <c r="AR44" i="9"/>
  <c r="AQ44" i="9"/>
  <c r="AP44" i="9"/>
  <c r="AO44" i="9"/>
  <c r="AN44" i="9"/>
  <c r="AM44" i="9"/>
  <c r="BC44" i="9" s="1"/>
  <c r="AL44" i="9"/>
  <c r="AK44" i="9"/>
  <c r="AJ44" i="9"/>
  <c r="AI44" i="9"/>
  <c r="AH44" i="9"/>
  <c r="AF44" i="9"/>
  <c r="AE44" i="9"/>
  <c r="AD44" i="9"/>
  <c r="AC44" i="9"/>
  <c r="AB44" i="9"/>
  <c r="AA44" i="9"/>
  <c r="W44" i="9" s="1"/>
  <c r="F44" i="9"/>
  <c r="CS43" i="9"/>
  <c r="CR43" i="9"/>
  <c r="AR43" i="9"/>
  <c r="AQ43" i="9"/>
  <c r="AP43" i="9"/>
  <c r="AO43" i="9"/>
  <c r="AN43" i="9"/>
  <c r="AM43" i="9"/>
  <c r="BC43" i="9" s="1"/>
  <c r="AL43" i="9"/>
  <c r="AK43" i="9"/>
  <c r="AJ43" i="9"/>
  <c r="AI43" i="9"/>
  <c r="AH43" i="9"/>
  <c r="AF43" i="9"/>
  <c r="AE43" i="9"/>
  <c r="AD43" i="9"/>
  <c r="AC43" i="9"/>
  <c r="AB43" i="9"/>
  <c r="AA43" i="9"/>
  <c r="W43" i="9" s="1"/>
  <c r="F43" i="9"/>
  <c r="CS42" i="9"/>
  <c r="CR42" i="9"/>
  <c r="J133" i="2" l="1"/>
  <c r="AG43" i="9"/>
  <c r="AG46" i="9"/>
  <c r="AG45" i="9"/>
  <c r="W39" i="2"/>
  <c r="BO50" i="9"/>
  <c r="CQ50" i="9"/>
  <c r="BH50" i="9"/>
  <c r="CB50" i="9" s="1"/>
  <c r="CA50" i="9" s="1"/>
  <c r="AG48" i="9"/>
  <c r="AG44" i="9"/>
  <c r="AG47" i="9"/>
  <c r="CE50" i="9"/>
  <c r="BQ50" i="9"/>
  <c r="BL50" i="9"/>
  <c r="BV50" i="9" s="1"/>
  <c r="BP50" i="9"/>
  <c r="CJ50" i="9"/>
  <c r="CI50" i="9" s="1"/>
  <c r="CG50" i="9" s="1"/>
  <c r="CM50" i="9"/>
  <c r="AV43" i="9"/>
  <c r="BS50" i="9"/>
  <c r="BJ50" i="9"/>
  <c r="CN50" i="9" s="1"/>
  <c r="AW44" i="9"/>
  <c r="AU47" i="9"/>
  <c r="BI49" i="9"/>
  <c r="BJ49" i="9" s="1"/>
  <c r="AU46" i="9"/>
  <c r="AX45" i="9"/>
  <c r="AU44" i="9"/>
  <c r="AW45" i="9"/>
  <c r="AV46" i="9"/>
  <c r="AV48" i="9"/>
  <c r="AX44" i="9"/>
  <c r="AX46" i="9"/>
  <c r="AX47" i="9"/>
  <c r="BM49" i="9"/>
  <c r="BW49" i="9" s="1"/>
  <c r="AX43" i="9"/>
  <c r="AU48" i="9"/>
  <c r="BE49" i="9"/>
  <c r="BY49" i="9" s="1"/>
  <c r="AX48" i="9"/>
  <c r="AW47" i="9"/>
  <c r="BK49" i="9"/>
  <c r="CO49" i="9" s="1"/>
  <c r="BF49" i="9"/>
  <c r="BP49" i="9" s="1"/>
  <c r="AU43" i="9"/>
  <c r="BG49" i="9"/>
  <c r="CA49" i="9" s="1"/>
  <c r="AV45" i="9"/>
  <c r="AW46" i="9"/>
  <c r="AU45" i="9"/>
  <c r="AW43" i="9"/>
  <c r="AW48" i="9"/>
  <c r="AV44" i="9"/>
  <c r="AV47" i="9"/>
  <c r="BT50" i="9" l="1"/>
  <c r="CD50" i="9"/>
  <c r="BR50" i="9"/>
  <c r="CL50" i="9"/>
  <c r="CK49" i="9"/>
  <c r="BO49" i="9"/>
  <c r="BK46" i="9"/>
  <c r="BL46" i="9" s="1"/>
  <c r="CP50" i="9"/>
  <c r="CO50" i="9" s="1"/>
  <c r="BG47" i="9"/>
  <c r="CA47" i="9" s="1"/>
  <c r="CF50" i="9"/>
  <c r="CC49" i="9"/>
  <c r="BG44" i="9"/>
  <c r="BQ44" i="9" s="1"/>
  <c r="CM49" i="9"/>
  <c r="CJ49" i="9"/>
  <c r="CI49" i="9" s="1"/>
  <c r="CG49" i="9" s="1"/>
  <c r="BH49" i="9"/>
  <c r="CL49" i="9" s="1"/>
  <c r="BQ49" i="9"/>
  <c r="BM48" i="9"/>
  <c r="CQ48" i="9" s="1"/>
  <c r="BF47" i="9"/>
  <c r="CJ47" i="9" s="1"/>
  <c r="BZ49" i="9"/>
  <c r="CN49" i="9"/>
  <c r="CE49" i="9"/>
  <c r="BI44" i="9"/>
  <c r="BJ44" i="9" s="1"/>
  <c r="BL49" i="9"/>
  <c r="CF49" i="9" s="1"/>
  <c r="BE44" i="9"/>
  <c r="BO44" i="9" s="1"/>
  <c r="BM43" i="9"/>
  <c r="CQ43" i="9" s="1"/>
  <c r="CQ49" i="9"/>
  <c r="BI47" i="9"/>
  <c r="BS47" i="9" s="1"/>
  <c r="BM47" i="9"/>
  <c r="CG47" i="9" s="1"/>
  <c r="BM46" i="9"/>
  <c r="BE43" i="9"/>
  <c r="BK45" i="9"/>
  <c r="BM45" i="9"/>
  <c r="BE45" i="9"/>
  <c r="BG45" i="9"/>
  <c r="BI45" i="9"/>
  <c r="BF45" i="9"/>
  <c r="BE48" i="9"/>
  <c r="BE46" i="9"/>
  <c r="BF43" i="9"/>
  <c r="BF48" i="9"/>
  <c r="BK47" i="9"/>
  <c r="CD49" i="9"/>
  <c r="BT49" i="9"/>
  <c r="BS49" i="9" s="1"/>
  <c r="BF46" i="9"/>
  <c r="BG48" i="9"/>
  <c r="BI46" i="9"/>
  <c r="BM44" i="9"/>
  <c r="BK48" i="9"/>
  <c r="BE47" i="9"/>
  <c r="BG46" i="9"/>
  <c r="BG43" i="9"/>
  <c r="BF44" i="9"/>
  <c r="BI43" i="9"/>
  <c r="BK44" i="9"/>
  <c r="BK43" i="9"/>
  <c r="BI48" i="9"/>
  <c r="AR42" i="9"/>
  <c r="AQ42" i="9"/>
  <c r="AP42" i="9"/>
  <c r="AO42" i="9"/>
  <c r="AN42" i="9"/>
  <c r="AM42" i="9"/>
  <c r="BC42" i="9" s="1"/>
  <c r="AL42" i="9"/>
  <c r="AK42" i="9"/>
  <c r="AJ42" i="9"/>
  <c r="AI42" i="9"/>
  <c r="AH42" i="9"/>
  <c r="AF42" i="9"/>
  <c r="AE42" i="9"/>
  <c r="AD42" i="9"/>
  <c r="AC42" i="9"/>
  <c r="AB42" i="9"/>
  <c r="AA42" i="9"/>
  <c r="W42" i="9" s="1"/>
  <c r="F42" i="9"/>
  <c r="CS41" i="9"/>
  <c r="CR41" i="9"/>
  <c r="AG42" i="9" l="1"/>
  <c r="BW48" i="9"/>
  <c r="BQ47" i="9"/>
  <c r="BH47" i="9"/>
  <c r="CL47" i="9" s="1"/>
  <c r="CK47" i="9" s="1"/>
  <c r="CE46" i="9"/>
  <c r="BY44" i="9"/>
  <c r="BU46" i="9"/>
  <c r="CK44" i="9"/>
  <c r="CA44" i="9"/>
  <c r="BH44" i="9"/>
  <c r="BR44" i="9" s="1"/>
  <c r="BR49" i="9"/>
  <c r="CB49" i="9"/>
  <c r="CM47" i="9"/>
  <c r="BV49" i="9"/>
  <c r="BU49" i="9" s="1"/>
  <c r="BW43" i="9"/>
  <c r="BZ47" i="9"/>
  <c r="AX42" i="9"/>
  <c r="CC47" i="9"/>
  <c r="CG43" i="9"/>
  <c r="BP47" i="9"/>
  <c r="BO47" i="9" s="1"/>
  <c r="CQ47" i="9"/>
  <c r="CM44" i="9"/>
  <c r="CC44" i="9"/>
  <c r="BS44" i="9"/>
  <c r="CP49" i="9"/>
  <c r="AV42" i="9"/>
  <c r="AW42" i="9"/>
  <c r="BZ48" i="9"/>
  <c r="BP48" i="9"/>
  <c r="CM48" i="9"/>
  <c r="BS48" i="9"/>
  <c r="BJ48" i="9"/>
  <c r="CK46" i="9"/>
  <c r="BQ46" i="9"/>
  <c r="BH46" i="9"/>
  <c r="CJ46" i="9"/>
  <c r="BP46" i="9"/>
  <c r="BZ46" i="9"/>
  <c r="CA45" i="9"/>
  <c r="BZ45" i="9" s="1"/>
  <c r="BH45" i="9"/>
  <c r="CK45" i="9"/>
  <c r="CQ46" i="9"/>
  <c r="CP46" i="9" s="1"/>
  <c r="CO46" i="9" s="1"/>
  <c r="CG46" i="9"/>
  <c r="BW46" i="9"/>
  <c r="CF46" i="9"/>
  <c r="BV46" i="9"/>
  <c r="CO44" i="9"/>
  <c r="CE44" i="9"/>
  <c r="BL44" i="9"/>
  <c r="BY45" i="9"/>
  <c r="CI45" i="9"/>
  <c r="CG45" i="9" s="1"/>
  <c r="CK43" i="9"/>
  <c r="BH43" i="9"/>
  <c r="CA43" i="9"/>
  <c r="BZ43" i="9" s="1"/>
  <c r="BQ43" i="9"/>
  <c r="BQ48" i="9"/>
  <c r="BH48" i="9"/>
  <c r="CA48" i="9"/>
  <c r="CM45" i="9"/>
  <c r="CC45" i="9"/>
  <c r="BJ45" i="9"/>
  <c r="CI43" i="9"/>
  <c r="BO43" i="9"/>
  <c r="BY43" i="9"/>
  <c r="BJ43" i="9"/>
  <c r="CE43" i="9"/>
  <c r="BU43" i="9"/>
  <c r="BL43" i="9"/>
  <c r="CO43" i="9"/>
  <c r="CC46" i="9"/>
  <c r="BS46" i="9"/>
  <c r="CM46" i="9"/>
  <c r="BJ46" i="9"/>
  <c r="BP45" i="9"/>
  <c r="BO45" i="9" s="1"/>
  <c r="CJ45" i="9"/>
  <c r="CC43" i="9"/>
  <c r="BS43" i="9"/>
  <c r="CM43" i="9"/>
  <c r="CQ44" i="9"/>
  <c r="BW44" i="9"/>
  <c r="CG44" i="9"/>
  <c r="BT44" i="9"/>
  <c r="CN44" i="9"/>
  <c r="CD44" i="9"/>
  <c r="BY48" i="9"/>
  <c r="BO48" i="9"/>
  <c r="AU42" i="9"/>
  <c r="CQ45" i="9"/>
  <c r="BW45" i="9"/>
  <c r="CO48" i="9"/>
  <c r="CE48" i="9"/>
  <c r="BL48" i="9"/>
  <c r="CP48" i="9" s="1"/>
  <c r="CI46" i="9"/>
  <c r="BY46" i="9"/>
  <c r="BO46" i="9"/>
  <c r="BJ47" i="9"/>
  <c r="BL47" i="9"/>
  <c r="CF47" i="9" s="1"/>
  <c r="CO47" i="9"/>
  <c r="CE47" i="9"/>
  <c r="CJ44" i="9"/>
  <c r="CI44" i="9" s="1"/>
  <c r="BZ44" i="9"/>
  <c r="BP44" i="9"/>
  <c r="CI47" i="9"/>
  <c r="BY47" i="9"/>
  <c r="BW47" i="9" s="1"/>
  <c r="BP43" i="9"/>
  <c r="CJ43" i="9"/>
  <c r="BL45" i="9"/>
  <c r="CO45" i="9"/>
  <c r="BU45" i="9"/>
  <c r="AR41" i="9"/>
  <c r="AQ41" i="9"/>
  <c r="AP41" i="9"/>
  <c r="AO41" i="9"/>
  <c r="AN41" i="9"/>
  <c r="AM41" i="9"/>
  <c r="BC41" i="9" s="1"/>
  <c r="AL41" i="9"/>
  <c r="AK41" i="9"/>
  <c r="AJ41" i="9"/>
  <c r="AI41" i="9"/>
  <c r="AH41" i="9"/>
  <c r="AF41" i="9"/>
  <c r="AE41" i="9"/>
  <c r="AD41" i="9"/>
  <c r="AC41" i="9"/>
  <c r="AB41" i="9"/>
  <c r="AA41" i="9"/>
  <c r="W41" i="9" s="1"/>
  <c r="F41" i="9"/>
  <c r="AG41" i="9" l="1"/>
  <c r="CL44" i="9"/>
  <c r="CB44" i="9"/>
  <c r="CB47" i="9"/>
  <c r="BR47" i="9"/>
  <c r="AV41" i="9"/>
  <c r="CP44" i="9"/>
  <c r="BR48" i="9"/>
  <c r="AX41" i="9"/>
  <c r="CB45" i="9"/>
  <c r="AU41" i="9"/>
  <c r="CN47" i="9"/>
  <c r="CD47" i="9"/>
  <c r="BT47" i="9"/>
  <c r="CF43" i="9"/>
  <c r="BV43" i="9"/>
  <c r="CP43" i="9"/>
  <c r="CD45" i="9"/>
  <c r="BT45" i="9"/>
  <c r="BS45" i="9" s="1"/>
  <c r="CB43" i="9"/>
  <c r="BR43" i="9"/>
  <c r="CL43" i="9"/>
  <c r="BV47" i="9"/>
  <c r="BU47" i="9" s="1"/>
  <c r="CP47" i="9"/>
  <c r="AW41" i="9"/>
  <c r="BV45" i="9"/>
  <c r="CP45" i="9"/>
  <c r="CF45" i="9"/>
  <c r="CE45" i="9" s="1"/>
  <c r="CL45" i="9"/>
  <c r="BR45" i="9"/>
  <c r="BQ45" i="9" s="1"/>
  <c r="CN48" i="9"/>
  <c r="CD48" i="9"/>
  <c r="CC48" i="9" s="1"/>
  <c r="BR46" i="9"/>
  <c r="CF48" i="9"/>
  <c r="BV48" i="9"/>
  <c r="BU48" i="9" s="1"/>
  <c r="BT48" i="9" s="1"/>
  <c r="CL48" i="9"/>
  <c r="CK48" i="9" s="1"/>
  <c r="CJ48" i="9" s="1"/>
  <c r="CI48" i="9" s="1"/>
  <c r="CG48" i="9" s="1"/>
  <c r="CB48" i="9"/>
  <c r="BV44" i="9"/>
  <c r="BU44" i="9" s="1"/>
  <c r="CF44" i="9"/>
  <c r="CN45" i="9"/>
  <c r="CD46" i="9"/>
  <c r="BT46" i="9"/>
  <c r="CN46" i="9"/>
  <c r="CD43" i="9"/>
  <c r="BT43" i="9"/>
  <c r="CN43" i="9"/>
  <c r="BI42" i="9"/>
  <c r="BK42" i="9"/>
  <c r="BM42" i="9"/>
  <c r="BG42" i="9"/>
  <c r="BE42" i="9"/>
  <c r="BF42" i="9"/>
  <c r="CB46" i="9"/>
  <c r="CA46" i="9" s="1"/>
  <c r="CL46" i="9"/>
  <c r="CS40" i="9"/>
  <c r="CR40" i="9"/>
  <c r="AR40" i="9"/>
  <c r="AQ40" i="9"/>
  <c r="AP40" i="9"/>
  <c r="AO40" i="9"/>
  <c r="AN40" i="9"/>
  <c r="AM40" i="9"/>
  <c r="BC40" i="9" s="1"/>
  <c r="AL40" i="9"/>
  <c r="AK40" i="9"/>
  <c r="AJ40" i="9"/>
  <c r="AI40" i="9"/>
  <c r="AH40" i="9"/>
  <c r="AF40" i="9"/>
  <c r="AE40" i="9"/>
  <c r="AD40" i="9"/>
  <c r="AC40" i="9"/>
  <c r="AB40" i="9"/>
  <c r="AA40" i="9"/>
  <c r="W40" i="9" s="1"/>
  <c r="F40" i="9"/>
  <c r="CS39" i="9"/>
  <c r="CR39" i="9"/>
  <c r="AG40" i="9" l="1"/>
  <c r="AX40" i="9"/>
  <c r="BM41" i="9"/>
  <c r="CQ41" i="9" s="1"/>
  <c r="AV40" i="9"/>
  <c r="BK41" i="9"/>
  <c r="CO41" i="9" s="1"/>
  <c r="BE41" i="9"/>
  <c r="BY41" i="9" s="1"/>
  <c r="BF41" i="9"/>
  <c r="BZ41" i="9" s="1"/>
  <c r="AU40" i="9"/>
  <c r="CM42" i="9"/>
  <c r="BS42" i="9"/>
  <c r="CC42" i="9"/>
  <c r="AW40" i="9"/>
  <c r="BG41" i="9"/>
  <c r="BJ42" i="9"/>
  <c r="BU42" i="9"/>
  <c r="BL42" i="9"/>
  <c r="CE42" i="9"/>
  <c r="CQ42" i="9"/>
  <c r="CG42" i="9"/>
  <c r="BI41" i="9"/>
  <c r="BJ41" i="9" s="1"/>
  <c r="BH42" i="9"/>
  <c r="CA42" i="9"/>
  <c r="CK42" i="9"/>
  <c r="CJ42" i="9" s="1"/>
  <c r="CI42" i="9"/>
  <c r="BO42" i="9"/>
  <c r="BZ42" i="9"/>
  <c r="BY42" i="9" s="1"/>
  <c r="BW42" i="9" s="1"/>
  <c r="BP42" i="9"/>
  <c r="BM40" i="9" l="1"/>
  <c r="BW40" i="9" s="1"/>
  <c r="BW41" i="9"/>
  <c r="CG41" i="9"/>
  <c r="BF40" i="9"/>
  <c r="CJ40" i="9" s="1"/>
  <c r="CE41" i="9"/>
  <c r="BL41" i="9"/>
  <c r="CF41" i="9" s="1"/>
  <c r="BO41" i="9"/>
  <c r="BV42" i="9"/>
  <c r="BK40" i="9"/>
  <c r="BU40" i="9" s="1"/>
  <c r="BP41" i="9"/>
  <c r="BE40" i="9"/>
  <c r="BY40" i="9" s="1"/>
  <c r="BI40" i="9"/>
  <c r="BJ40" i="9" s="1"/>
  <c r="CN42" i="9"/>
  <c r="BT42" i="9"/>
  <c r="CD42" i="9"/>
  <c r="CN41" i="9"/>
  <c r="BT41" i="9"/>
  <c r="CD41" i="9"/>
  <c r="CP42" i="9"/>
  <c r="CO42" i="9" s="1"/>
  <c r="CF42" i="9"/>
  <c r="CL42" i="9"/>
  <c r="BR42" i="9"/>
  <c r="BQ42" i="9" s="1"/>
  <c r="BH41" i="9"/>
  <c r="CM41" i="9"/>
  <c r="CC41" i="9"/>
  <c r="BS41" i="9"/>
  <c r="CK41" i="9"/>
  <c r="CJ41" i="9" s="1"/>
  <c r="CI41" i="9" s="1"/>
  <c r="CA41" i="9"/>
  <c r="BQ41" i="9"/>
  <c r="CB42" i="9"/>
  <c r="BG40" i="9"/>
  <c r="AR39" i="9"/>
  <c r="AQ39" i="9"/>
  <c r="AP39" i="9"/>
  <c r="AO39" i="9"/>
  <c r="AN39" i="9"/>
  <c r="AM39" i="9"/>
  <c r="BC39" i="9" s="1"/>
  <c r="AL39" i="9"/>
  <c r="AK39" i="9"/>
  <c r="AJ39" i="9"/>
  <c r="AI39" i="9"/>
  <c r="AH39" i="9"/>
  <c r="AF39" i="9"/>
  <c r="AE39" i="9"/>
  <c r="AD39" i="9"/>
  <c r="AC39" i="9"/>
  <c r="AB39" i="9"/>
  <c r="AA39" i="9"/>
  <c r="W39" i="9" s="1"/>
  <c r="F39" i="9"/>
  <c r="CS38" i="9"/>
  <c r="CR38" i="9"/>
  <c r="AR38" i="9"/>
  <c r="AQ38" i="9"/>
  <c r="AP38" i="9"/>
  <c r="AO38" i="9"/>
  <c r="AN38" i="9"/>
  <c r="AM38" i="9"/>
  <c r="BC38" i="9" s="1"/>
  <c r="AL38" i="9"/>
  <c r="AK38" i="9"/>
  <c r="AJ38" i="9"/>
  <c r="AI38" i="9"/>
  <c r="AH38" i="9"/>
  <c r="AF38" i="9"/>
  <c r="AE38" i="9"/>
  <c r="AD38" i="9"/>
  <c r="AC38" i="9"/>
  <c r="AB38" i="9"/>
  <c r="AA38" i="9"/>
  <c r="W38" i="9" s="1"/>
  <c r="F38" i="9"/>
  <c r="CS37" i="9"/>
  <c r="CR37" i="9"/>
  <c r="AG38" i="9" l="1"/>
  <c r="AG39" i="9"/>
  <c r="BV41" i="9"/>
  <c r="BU41" i="9" s="1"/>
  <c r="AX39" i="9"/>
  <c r="BZ40" i="9"/>
  <c r="CQ40" i="9"/>
  <c r="CP41" i="9"/>
  <c r="BP40" i="9"/>
  <c r="AW38" i="9"/>
  <c r="BO40" i="9"/>
  <c r="AV38" i="9"/>
  <c r="AV39" i="9"/>
  <c r="AW39" i="9"/>
  <c r="CE40" i="9"/>
  <c r="BL40" i="9"/>
  <c r="CF40" i="9" s="1"/>
  <c r="CO40" i="9"/>
  <c r="CM40" i="9"/>
  <c r="BS40" i="9"/>
  <c r="CC40" i="9"/>
  <c r="AU38" i="9"/>
  <c r="CI40" i="9"/>
  <c r="CG40" i="9" s="1"/>
  <c r="CL41" i="9"/>
  <c r="CB41" i="9"/>
  <c r="BR41" i="9"/>
  <c r="CN40" i="9"/>
  <c r="BT40" i="9"/>
  <c r="CD40" i="9"/>
  <c r="AU39" i="9"/>
  <c r="AX38" i="9"/>
  <c r="CK40" i="9"/>
  <c r="BQ40" i="9"/>
  <c r="CA40" i="9"/>
  <c r="BH40" i="9"/>
  <c r="BV40" i="9" l="1"/>
  <c r="CP40" i="9"/>
  <c r="BF38" i="9"/>
  <c r="CJ38" i="9" s="1"/>
  <c r="BG38" i="9"/>
  <c r="BH38" i="9" s="1"/>
  <c r="BM38" i="9"/>
  <c r="CQ38" i="9" s="1"/>
  <c r="BK38" i="9"/>
  <c r="CE38" i="9" s="1"/>
  <c r="BI38" i="9"/>
  <c r="BJ38" i="9" s="1"/>
  <c r="BE38" i="9"/>
  <c r="BO38" i="9" s="1"/>
  <c r="BR40" i="9"/>
  <c r="CB40" i="9"/>
  <c r="CL40" i="9"/>
  <c r="BM39" i="9"/>
  <c r="BI39" i="9"/>
  <c r="BE39" i="9"/>
  <c r="BF39" i="9"/>
  <c r="BG39" i="9"/>
  <c r="BK39" i="9"/>
  <c r="AR37" i="9"/>
  <c r="AQ37" i="9"/>
  <c r="AP37" i="9"/>
  <c r="AO37" i="9"/>
  <c r="AN37" i="9"/>
  <c r="AM37" i="9"/>
  <c r="BC37" i="9" s="1"/>
  <c r="AL37" i="9"/>
  <c r="AK37" i="9"/>
  <c r="AJ37" i="9"/>
  <c r="AI37" i="9"/>
  <c r="AH37" i="9"/>
  <c r="AF37" i="9"/>
  <c r="AE37" i="9"/>
  <c r="AD37" i="9"/>
  <c r="AC37" i="9"/>
  <c r="AB37" i="9"/>
  <c r="AA37" i="9"/>
  <c r="W37" i="9" s="1"/>
  <c r="F37" i="9"/>
  <c r="CS36" i="9"/>
  <c r="CR36" i="9"/>
  <c r="AG37" i="9" l="1"/>
  <c r="BU38" i="9"/>
  <c r="BP38" i="9"/>
  <c r="BZ38" i="9"/>
  <c r="BL38" i="9"/>
  <c r="BV38" i="9" s="1"/>
  <c r="AX37" i="9"/>
  <c r="BW38" i="9"/>
  <c r="CG38" i="9"/>
  <c r="CK38" i="9"/>
  <c r="CO38" i="9"/>
  <c r="CA38" i="9"/>
  <c r="BY38" i="9"/>
  <c r="CM38" i="9"/>
  <c r="CL38" i="9" s="1"/>
  <c r="CC38" i="9"/>
  <c r="BS38" i="9"/>
  <c r="AV37" i="9"/>
  <c r="CI38" i="9"/>
  <c r="AW37" i="9"/>
  <c r="CM39" i="9"/>
  <c r="CC39" i="9"/>
  <c r="BS39" i="9"/>
  <c r="BY39" i="9"/>
  <c r="BW39" i="9" s="1"/>
  <c r="BO39" i="9"/>
  <c r="BZ39" i="9"/>
  <c r="BP39" i="9"/>
  <c r="CK39" i="9"/>
  <c r="CJ39" i="9" s="1"/>
  <c r="CI39" i="9" s="1"/>
  <c r="CA39" i="9"/>
  <c r="BH39" i="9"/>
  <c r="CN38" i="9"/>
  <c r="CD38" i="9"/>
  <c r="BT38" i="9"/>
  <c r="BJ39" i="9"/>
  <c r="CO39" i="9"/>
  <c r="CE39" i="9"/>
  <c r="BU39" i="9"/>
  <c r="BR38" i="9"/>
  <c r="BQ38" i="9" s="1"/>
  <c r="CB38" i="9"/>
  <c r="BL39" i="9"/>
  <c r="CQ39" i="9"/>
  <c r="CG39" i="9"/>
  <c r="AU37" i="9"/>
  <c r="CF38" i="9" l="1"/>
  <c r="CP38" i="9"/>
  <c r="CB39" i="9"/>
  <c r="CD39" i="9"/>
  <c r="CN39" i="9"/>
  <c r="BT39" i="9"/>
  <c r="BI37" i="9"/>
  <c r="BK37" i="9"/>
  <c r="BM37" i="9"/>
  <c r="BE37" i="9"/>
  <c r="BF37" i="9"/>
  <c r="BG37" i="9"/>
  <c r="CF39" i="9"/>
  <c r="CP39" i="9"/>
  <c r="BV39" i="9"/>
  <c r="CL39" i="9"/>
  <c r="BR39" i="9"/>
  <c r="BQ39" i="9" s="1"/>
  <c r="AR36" i="9"/>
  <c r="AQ36" i="9"/>
  <c r="AP36" i="9"/>
  <c r="AO36" i="9"/>
  <c r="AN36" i="9"/>
  <c r="AM36" i="9"/>
  <c r="BC36" i="9" s="1"/>
  <c r="AL36" i="9"/>
  <c r="AK36" i="9"/>
  <c r="AJ36" i="9"/>
  <c r="AI36" i="9"/>
  <c r="AH36" i="9"/>
  <c r="AF36" i="9"/>
  <c r="AE36" i="9"/>
  <c r="AD36" i="9"/>
  <c r="AC36" i="9"/>
  <c r="AB36" i="9"/>
  <c r="AA36" i="9"/>
  <c r="W36" i="9" s="1"/>
  <c r="F36" i="9"/>
  <c r="AG36" i="9" l="1"/>
  <c r="AU36" i="9"/>
  <c r="AV36" i="9"/>
  <c r="BQ37" i="9"/>
  <c r="CA37" i="9"/>
  <c r="BZ37" i="9" s="1"/>
  <c r="BY37" i="9" s="1"/>
  <c r="BH37" i="9"/>
  <c r="CM37" i="9"/>
  <c r="CC37" i="9"/>
  <c r="BS37" i="9"/>
  <c r="BJ37" i="9"/>
  <c r="CO37" i="9"/>
  <c r="CE37" i="9"/>
  <c r="BU37" i="9"/>
  <c r="AX36" i="9"/>
  <c r="BL37" i="9"/>
  <c r="CG37" i="9"/>
  <c r="CQ37" i="9"/>
  <c r="BW37" i="9"/>
  <c r="CI37" i="9"/>
  <c r="BO37" i="9"/>
  <c r="CJ37" i="9"/>
  <c r="BP37" i="9"/>
  <c r="AW36" i="9"/>
  <c r="BI36" i="9" l="1"/>
  <c r="BJ36" i="9" s="1"/>
  <c r="BF36" i="9"/>
  <c r="BZ36" i="9" s="1"/>
  <c r="CP37" i="9"/>
  <c r="CF37" i="9"/>
  <c r="BV37" i="9"/>
  <c r="BM36" i="9"/>
  <c r="BK36" i="9"/>
  <c r="BE36" i="9"/>
  <c r="BR37" i="9"/>
  <c r="BG36" i="9"/>
  <c r="CL37" i="9"/>
  <c r="CK37" i="9" s="1"/>
  <c r="CB37" i="9"/>
  <c r="CN37" i="9"/>
  <c r="CD37" i="9"/>
  <c r="BT37" i="9"/>
  <c r="CM36" i="9" l="1"/>
  <c r="BS36" i="9"/>
  <c r="BP36" i="9"/>
  <c r="BL36" i="9"/>
  <c r="CG36" i="9"/>
  <c r="BW36" i="9"/>
  <c r="CQ36" i="9"/>
  <c r="CE36" i="9"/>
  <c r="CO36" i="9"/>
  <c r="CN36" i="9" s="1"/>
  <c r="BU36" i="9"/>
  <c r="BY36" i="9"/>
  <c r="BO36" i="9"/>
  <c r="CK36" i="9"/>
  <c r="CJ36" i="9" s="1"/>
  <c r="CI36" i="9" s="1"/>
  <c r="CA36" i="9"/>
  <c r="BH36" i="9"/>
  <c r="CD36" i="9"/>
  <c r="CC36" i="9" s="1"/>
  <c r="BT36" i="9"/>
  <c r="AD35" i="9"/>
  <c r="CP36" i="9" l="1"/>
  <c r="CF36" i="9"/>
  <c r="BV36" i="9"/>
  <c r="CL36" i="9"/>
  <c r="BR36" i="9"/>
  <c r="BQ36" i="9" s="1"/>
  <c r="CB36" i="9"/>
  <c r="AA35" i="9"/>
  <c r="F35" i="9"/>
  <c r="W35" i="9" l="1"/>
  <c r="AD34" i="9"/>
  <c r="AA34" i="9" l="1"/>
  <c r="F34" i="9"/>
  <c r="W34" i="9" l="1"/>
  <c r="AD33" i="9"/>
  <c r="AA33" i="9" l="1"/>
  <c r="F33" i="9"/>
  <c r="W33" i="9" l="1"/>
  <c r="AD32" i="9"/>
  <c r="AA32" i="9" l="1"/>
  <c r="F32" i="9"/>
  <c r="W32" i="9" l="1"/>
  <c r="AD31" i="9"/>
  <c r="AA31" i="9" l="1"/>
  <c r="F31" i="9"/>
  <c r="W31" i="9" l="1"/>
  <c r="AD30" i="9"/>
  <c r="AA30" i="9" l="1"/>
  <c r="F30" i="9"/>
  <c r="CV29" i="9"/>
  <c r="W30" i="9" l="1"/>
  <c r="AD29" i="9"/>
  <c r="AA29" i="9" l="1"/>
  <c r="F29" i="9"/>
  <c r="CV28" i="9"/>
  <c r="W29" i="9" l="1"/>
  <c r="AD28" i="9"/>
  <c r="AA28" i="9" l="1"/>
  <c r="F28" i="9"/>
  <c r="CV27" i="9"/>
  <c r="W28" i="9" l="1"/>
  <c r="AD27" i="9"/>
  <c r="AA27" i="9" l="1"/>
  <c r="F27" i="9" l="1"/>
  <c r="W27" i="9" s="1"/>
  <c r="CV26" i="9"/>
  <c r="AD26" i="9" l="1"/>
  <c r="AA26" i="9" l="1"/>
  <c r="F26" i="9"/>
  <c r="CV25" i="9"/>
  <c r="CW32" i="9" s="1"/>
  <c r="AP28" i="9"/>
  <c r="CR33" i="9"/>
  <c r="CR25" i="9"/>
  <c r="AI28" i="9"/>
  <c r="AQ35" i="9"/>
  <c r="CR28" i="9"/>
  <c r="AK35" i="9"/>
  <c r="AQ28" i="9"/>
  <c r="AN26" i="9"/>
  <c r="AO31" i="9"/>
  <c r="AJ26" i="9"/>
  <c r="AP34" i="9"/>
  <c r="AQ32" i="9"/>
  <c r="AO30" i="9"/>
  <c r="AJ34" i="9"/>
  <c r="CR30" i="9"/>
  <c r="AJ32" i="9"/>
  <c r="AP35" i="9"/>
  <c r="AQ29" i="9"/>
  <c r="AR27" i="9"/>
  <c r="AK26" i="9"/>
  <c r="AN34" i="9"/>
  <c r="AK30" i="9"/>
  <c r="AP31" i="9"/>
  <c r="AP27" i="9"/>
  <c r="AK32" i="9"/>
  <c r="AI34" i="9"/>
  <c r="CR27" i="9"/>
  <c r="AN32" i="9"/>
  <c r="AP26" i="9"/>
  <c r="AQ31" i="9"/>
  <c r="AO27" i="9"/>
  <c r="AJ28" i="9"/>
  <c r="AN31" i="9"/>
  <c r="AO28" i="9"/>
  <c r="AJ31" i="9"/>
  <c r="AR35" i="9"/>
  <c r="AM30" i="9"/>
  <c r="AP32" i="9"/>
  <c r="AQ27" i="9"/>
  <c r="AJ35" i="9"/>
  <c r="AI30" i="9"/>
  <c r="AR33" i="9"/>
  <c r="CR31" i="9"/>
  <c r="AM28" i="9"/>
  <c r="CR26" i="9"/>
  <c r="AR29" i="9"/>
  <c r="AQ34" i="9"/>
  <c r="CR35" i="9"/>
  <c r="CR32" i="9"/>
  <c r="AQ26" i="9"/>
  <c r="AN29" i="9"/>
  <c r="AR26" i="9"/>
  <c r="AR34" i="9"/>
  <c r="AQ33" i="9"/>
  <c r="AR31" i="9"/>
  <c r="AK33" i="9"/>
  <c r="AM31" i="9"/>
  <c r="AM33" i="9"/>
  <c r="AR28" i="9"/>
  <c r="AJ27" i="9"/>
  <c r="AO33" i="9"/>
  <c r="AK27" i="9"/>
  <c r="AJ33" i="9"/>
  <c r="AP30" i="9"/>
  <c r="AP29" i="9"/>
  <c r="CR29" i="9"/>
  <c r="AI16" i="9"/>
  <c r="AI35" i="9"/>
  <c r="AI32" i="9"/>
  <c r="AM35" i="9"/>
  <c r="AN28" i="9"/>
  <c r="AN35" i="9"/>
  <c r="AI31" i="9"/>
  <c r="AO26" i="9"/>
  <c r="AN27" i="9"/>
  <c r="W26" i="9" l="1"/>
  <c r="AL35" i="9"/>
  <c r="AU35" i="9" s="1"/>
  <c r="BC35" i="9"/>
  <c r="BC33" i="9"/>
  <c r="AL32" i="9"/>
  <c r="AV32" i="9" s="1"/>
  <c r="BC31" i="9"/>
  <c r="BC30" i="9"/>
  <c r="BC28" i="9"/>
  <c r="AM26" i="9"/>
  <c r="AO34" i="9"/>
  <c r="AK29" i="9"/>
  <c r="AN30" i="9"/>
  <c r="AK28" i="9"/>
  <c r="AQ30" i="9"/>
  <c r="AM27" i="9"/>
  <c r="AM34" i="9"/>
  <c r="AI26" i="9"/>
  <c r="AO29" i="9"/>
  <c r="AO32" i="9"/>
  <c r="AJ30" i="9"/>
  <c r="CR34" i="9"/>
  <c r="AN33" i="9"/>
  <c r="AK34" i="9"/>
  <c r="AI27" i="9"/>
  <c r="AR30" i="9"/>
  <c r="AI33" i="9"/>
  <c r="AM29" i="9"/>
  <c r="AP33" i="9"/>
  <c r="AK31" i="9"/>
  <c r="AM32" i="9"/>
  <c r="AR32" i="9"/>
  <c r="AI29" i="9"/>
  <c r="AJ29" i="9"/>
  <c r="AO35" i="9"/>
  <c r="BC27" i="9" l="1"/>
  <c r="AL30" i="9"/>
  <c r="AU30" i="9" s="1"/>
  <c r="AL31" i="9"/>
  <c r="AV31" i="9" s="1"/>
  <c r="AL34" i="9"/>
  <c r="AU34" i="9" s="1"/>
  <c r="BC34" i="9"/>
  <c r="BC32" i="9"/>
  <c r="AL28" i="9"/>
  <c r="AX28" i="9" s="1"/>
  <c r="AW28" i="9" s="1"/>
  <c r="BC26" i="9"/>
  <c r="AL33" i="9"/>
  <c r="AU33" i="9" s="1"/>
  <c r="BC29" i="9"/>
  <c r="AL29" i="9"/>
  <c r="AV29" i="9" s="1"/>
  <c r="AL27" i="9"/>
  <c r="AX27" i="9" s="1"/>
  <c r="AW27" i="9" s="1"/>
  <c r="AL26" i="9"/>
  <c r="AU26" i="9" s="1"/>
  <c r="AV35" i="9"/>
  <c r="AX35" i="9"/>
  <c r="AW35" i="9" s="1"/>
  <c r="AU32" i="9"/>
  <c r="AX32" i="9"/>
  <c r="AW32" i="9" s="1"/>
  <c r="AO25" i="9"/>
  <c r="AM25" i="9"/>
  <c r="AQ25" i="9"/>
  <c r="AP25" i="9"/>
  <c r="AN25" i="9"/>
  <c r="AR25" i="9"/>
  <c r="AX30" i="9" l="1"/>
  <c r="AW30" i="9" s="1"/>
  <c r="AU31" i="9"/>
  <c r="AV30" i="9"/>
  <c r="BG30" i="9" s="1"/>
  <c r="BH30" i="9" s="1"/>
  <c r="AX34" i="9"/>
  <c r="AW34" i="9" s="1"/>
  <c r="AV34" i="9"/>
  <c r="AX31" i="9"/>
  <c r="AW31" i="9" s="1"/>
  <c r="AU28" i="9"/>
  <c r="AV28" i="9"/>
  <c r="BG28" i="9" s="1"/>
  <c r="AV33" i="9"/>
  <c r="AX33" i="9"/>
  <c r="AW33" i="9" s="1"/>
  <c r="AX29" i="9"/>
  <c r="AW29" i="9" s="1"/>
  <c r="AV27" i="9"/>
  <c r="AV26" i="9"/>
  <c r="AX26" i="9"/>
  <c r="AW26" i="9" s="1"/>
  <c r="AU27" i="9"/>
  <c r="AU29" i="9"/>
  <c r="BF35" i="9"/>
  <c r="BI35" i="9"/>
  <c r="BJ35" i="9" s="1"/>
  <c r="BF34" i="9"/>
  <c r="BG35" i="9"/>
  <c r="BM35" i="9"/>
  <c r="BK32" i="9"/>
  <c r="BG32" i="9"/>
  <c r="BE32" i="9"/>
  <c r="BF32" i="9"/>
  <c r="BM32" i="9"/>
  <c r="BI32" i="9"/>
  <c r="BE35" i="9"/>
  <c r="BK35" i="9"/>
  <c r="BE31" i="9"/>
  <c r="BC25" i="9"/>
  <c r="AD25" i="9"/>
  <c r="AI25" i="9"/>
  <c r="AJ25" i="9"/>
  <c r="AK25" i="9"/>
  <c r="BK31" i="9" l="1"/>
  <c r="BL31" i="9" s="1"/>
  <c r="BV31" i="9" s="1"/>
  <c r="BU31" i="9" s="1"/>
  <c r="BF30" i="9"/>
  <c r="BM30" i="9"/>
  <c r="BM31" i="9"/>
  <c r="BI30" i="9"/>
  <c r="BS30" i="9" s="1"/>
  <c r="BK30" i="9"/>
  <c r="BG31" i="9"/>
  <c r="BH31" i="9" s="1"/>
  <c r="BR31" i="9" s="1"/>
  <c r="BM34" i="9"/>
  <c r="BE30" i="9"/>
  <c r="BO30" i="9" s="1"/>
  <c r="BI31" i="9"/>
  <c r="BF31" i="9"/>
  <c r="BM28" i="9"/>
  <c r="BF28" i="9"/>
  <c r="BE28" i="9"/>
  <c r="BK34" i="9"/>
  <c r="BL34" i="9" s="1"/>
  <c r="BE34" i="9"/>
  <c r="BI28" i="9"/>
  <c r="BJ28" i="9" s="1"/>
  <c r="BK28" i="9"/>
  <c r="BL28" i="9" s="1"/>
  <c r="BV28" i="9" s="1"/>
  <c r="BU28" i="9" s="1"/>
  <c r="BG34" i="9"/>
  <c r="BH34" i="9" s="1"/>
  <c r="BR34" i="9" s="1"/>
  <c r="BQ34" i="9" s="1"/>
  <c r="BP34" i="9" s="1"/>
  <c r="BI34" i="9"/>
  <c r="BJ34" i="9" s="1"/>
  <c r="BT34" i="9" s="1"/>
  <c r="BF29" i="9"/>
  <c r="BF33" i="9"/>
  <c r="BI33" i="9"/>
  <c r="BJ33" i="9" s="1"/>
  <c r="BG33" i="9"/>
  <c r="BH33" i="9" s="1"/>
  <c r="BM33" i="9"/>
  <c r="BG27" i="9"/>
  <c r="BQ27" i="9" s="1"/>
  <c r="BK26" i="9"/>
  <c r="BL26" i="9" s="1"/>
  <c r="BV26" i="9" s="1"/>
  <c r="BU26" i="9" s="1"/>
  <c r="BK33" i="9"/>
  <c r="BL33" i="9" s="1"/>
  <c r="BV33" i="9" s="1"/>
  <c r="BE33" i="9"/>
  <c r="BE26" i="9"/>
  <c r="BO26" i="9" s="1"/>
  <c r="BG26" i="9"/>
  <c r="BH26" i="9" s="1"/>
  <c r="BR26" i="9" s="1"/>
  <c r="BQ26" i="9" s="1"/>
  <c r="BM26" i="9"/>
  <c r="BF26" i="9"/>
  <c r="BP26" i="9" s="1"/>
  <c r="BK27" i="9"/>
  <c r="BL27" i="9" s="1"/>
  <c r="BI26" i="9"/>
  <c r="BJ26" i="9" s="1"/>
  <c r="BT26" i="9" s="1"/>
  <c r="BK29" i="9"/>
  <c r="BL29" i="9" s="1"/>
  <c r="BV29" i="9" s="1"/>
  <c r="BM29" i="9"/>
  <c r="BM27" i="9"/>
  <c r="BW27" i="9" s="1"/>
  <c r="BF27" i="9"/>
  <c r="BP27" i="9" s="1"/>
  <c r="BE27" i="9"/>
  <c r="BG29" i="9"/>
  <c r="BH29" i="9" s="1"/>
  <c r="BI27" i="9"/>
  <c r="BJ27" i="9" s="1"/>
  <c r="BI29" i="9"/>
  <c r="BJ29" i="9" s="1"/>
  <c r="BT29" i="9" s="1"/>
  <c r="BS29" i="9" s="1"/>
  <c r="BE29" i="9"/>
  <c r="BS34" i="9"/>
  <c r="BQ30" i="9"/>
  <c r="BQ31" i="9"/>
  <c r="BP31" i="9"/>
  <c r="BS35" i="9"/>
  <c r="BJ30" i="9"/>
  <c r="BT30" i="9" s="1"/>
  <c r="BJ31" i="9"/>
  <c r="BH28" i="9"/>
  <c r="BQ28" i="9"/>
  <c r="BP28" i="9" s="1"/>
  <c r="BO28" i="9" s="1"/>
  <c r="BL32" i="9"/>
  <c r="BR30" i="9"/>
  <c r="BT35" i="9"/>
  <c r="BW30" i="9"/>
  <c r="BH32" i="9"/>
  <c r="BQ32" i="9"/>
  <c r="BP32" i="9" s="1"/>
  <c r="BO32" i="9" s="1"/>
  <c r="BL30" i="9"/>
  <c r="BU30" i="9"/>
  <c r="BP30" i="9"/>
  <c r="BO31" i="9"/>
  <c r="BU35" i="9"/>
  <c r="BL35" i="9"/>
  <c r="BH35" i="9"/>
  <c r="BQ35" i="9"/>
  <c r="BP35" i="9" s="1"/>
  <c r="BO35" i="9" s="1"/>
  <c r="BJ32" i="9"/>
  <c r="AL25" i="9"/>
  <c r="AV25" i="9" s="1"/>
  <c r="AA25" i="9"/>
  <c r="F25" i="9"/>
  <c r="CR24" i="9"/>
  <c r="BO34" i="9" l="1"/>
  <c r="W25" i="9"/>
  <c r="BU33" i="9"/>
  <c r="BH27" i="9"/>
  <c r="BR27" i="9" s="1"/>
  <c r="BQ33" i="9"/>
  <c r="BP33" i="9" s="1"/>
  <c r="BO33" i="9"/>
  <c r="BU27" i="9"/>
  <c r="BS26" i="9"/>
  <c r="BR29" i="9"/>
  <c r="BQ29" i="9" s="1"/>
  <c r="BP29" i="9" s="1"/>
  <c r="BU29" i="9"/>
  <c r="BO29" i="9"/>
  <c r="BO27" i="9"/>
  <c r="BS27" i="9"/>
  <c r="BT31" i="9"/>
  <c r="BS31" i="9" s="1"/>
  <c r="BR35" i="9"/>
  <c r="BV30" i="9"/>
  <c r="BR33" i="9"/>
  <c r="BT33" i="9"/>
  <c r="BS33" i="9" s="1"/>
  <c r="BV35" i="9"/>
  <c r="BV27" i="9"/>
  <c r="BT27" i="9"/>
  <c r="BV32" i="9"/>
  <c r="BU32" i="9" s="1"/>
  <c r="BT32" i="9" s="1"/>
  <c r="BS32" i="9" s="1"/>
  <c r="BR32" i="9"/>
  <c r="BR28" i="9"/>
  <c r="BT28" i="9"/>
  <c r="BS28" i="9" s="1"/>
  <c r="AX25" i="9"/>
  <c r="AW25" i="9" s="1"/>
  <c r="AU25" i="9"/>
  <c r="BF25" i="9" l="1"/>
  <c r="BI25" i="9"/>
  <c r="BK25" i="9"/>
  <c r="BM25" i="9"/>
  <c r="BG25" i="9"/>
  <c r="BE25" i="9"/>
  <c r="AP24" i="9"/>
  <c r="AQ24" i="9"/>
  <c r="AM24" i="9"/>
  <c r="AO24" i="9"/>
  <c r="AR24" i="9"/>
  <c r="AN24" i="9"/>
  <c r="BC24" i="9" l="1"/>
  <c r="BJ25" i="9"/>
  <c r="BU25" i="9"/>
  <c r="BL25" i="9"/>
  <c r="BQ25" i="9"/>
  <c r="BP25" i="9" s="1"/>
  <c r="BO25" i="9" s="1"/>
  <c r="BW25" i="9"/>
  <c r="BH25" i="9"/>
  <c r="BS25" i="9"/>
  <c r="AD24" i="9"/>
  <c r="AI24" i="9"/>
  <c r="AK24" i="9"/>
  <c r="AJ24" i="9"/>
  <c r="AL24" i="9" l="1"/>
  <c r="AU24" i="9" s="1"/>
  <c r="BT25" i="9"/>
  <c r="BR25" i="9"/>
  <c r="BV25" i="9"/>
  <c r="AA24" i="9"/>
  <c r="F24" i="9"/>
  <c r="CR23" i="9"/>
  <c r="W24" i="9" l="1"/>
  <c r="AV24" i="9"/>
  <c r="AX24" i="9"/>
  <c r="AW24" i="9" s="1"/>
  <c r="BM24" i="9" l="1"/>
  <c r="BK24" i="9"/>
  <c r="BL24" i="9" s="1"/>
  <c r="BE24" i="9"/>
  <c r="BF24" i="9"/>
  <c r="BG24" i="9"/>
  <c r="BI24" i="9"/>
  <c r="AN23" i="9"/>
  <c r="AM23" i="9"/>
  <c r="AR23" i="9"/>
  <c r="AO23" i="9"/>
  <c r="AP23" i="9"/>
  <c r="AQ23" i="9"/>
  <c r="BJ24" i="9" l="1"/>
  <c r="BH24" i="9"/>
  <c r="BR24" i="9" s="1"/>
  <c r="BQ24" i="9"/>
  <c r="BP24" i="9" s="1"/>
  <c r="BO24" i="9" s="1"/>
  <c r="BC23" i="9"/>
  <c r="BV24" i="9"/>
  <c r="BU24" i="9" s="1"/>
  <c r="AD23" i="9"/>
  <c r="AI23" i="9"/>
  <c r="AJ23" i="9"/>
  <c r="AK23" i="9"/>
  <c r="BT24" i="9" l="1"/>
  <c r="BS24" i="9" s="1"/>
  <c r="AL23" i="9"/>
  <c r="AU23" i="9" s="1"/>
  <c r="AA23" i="9"/>
  <c r="F23" i="9"/>
  <c r="CV22" i="9"/>
  <c r="CR22" i="9"/>
  <c r="W23" i="9" l="1"/>
  <c r="AX23" i="9"/>
  <c r="AW23" i="9" s="1"/>
  <c r="AV23" i="9"/>
  <c r="BF23" i="9" l="1"/>
  <c r="BG23" i="9"/>
  <c r="BQ23" i="9" s="1"/>
  <c r="BK23" i="9"/>
  <c r="BE23" i="9"/>
  <c r="BI23" i="9"/>
  <c r="BM23" i="9"/>
  <c r="AQ22" i="9"/>
  <c r="AP22" i="9"/>
  <c r="AM22" i="9"/>
  <c r="AO22" i="9"/>
  <c r="AN22" i="9"/>
  <c r="AR22" i="9"/>
  <c r="BP23" i="9" l="1"/>
  <c r="BO23" i="9"/>
  <c r="BJ23" i="9"/>
  <c r="BH23" i="9"/>
  <c r="BL23" i="9"/>
  <c r="BU23" i="9"/>
  <c r="BC22" i="9"/>
  <c r="AD22" i="9"/>
  <c r="AJ22" i="9"/>
  <c r="AI22" i="9"/>
  <c r="AK22" i="9"/>
  <c r="BV23" i="9" l="1"/>
  <c r="BT23" i="9"/>
  <c r="BS23" i="9" s="1"/>
  <c r="BR23" i="9"/>
  <c r="AL22" i="9"/>
  <c r="AU22" i="9" s="1"/>
  <c r="AA22" i="9"/>
  <c r="F22" i="9"/>
  <c r="CV21" i="9"/>
  <c r="CR21" i="9"/>
  <c r="W22" i="9" l="1"/>
  <c r="AV22" i="9"/>
  <c r="AX22" i="9"/>
  <c r="AW22" i="9" s="1"/>
  <c r="BG22" i="9" l="1"/>
  <c r="BH22" i="9" s="1"/>
  <c r="BK22" i="9"/>
  <c r="BL22" i="9" s="1"/>
  <c r="BE22" i="9"/>
  <c r="BI22" i="9"/>
  <c r="BM22" i="9"/>
  <c r="BF22" i="9"/>
  <c r="AQ21" i="9"/>
  <c r="AM21" i="9"/>
  <c r="AR21" i="9"/>
  <c r="AN21" i="9"/>
  <c r="AO21" i="9"/>
  <c r="AP21" i="9"/>
  <c r="BQ22" i="9" l="1"/>
  <c r="BU22" i="9"/>
  <c r="BJ22" i="9"/>
  <c r="BT22" i="9" s="1"/>
  <c r="BS22" i="9"/>
  <c r="BP22" i="9"/>
  <c r="BO22" i="9" s="1"/>
  <c r="BC21" i="9"/>
  <c r="BV22" i="9"/>
  <c r="BR22" i="9"/>
  <c r="AJ21" i="9"/>
  <c r="AK21" i="9"/>
  <c r="AI21" i="9"/>
  <c r="AL21" i="9" l="1"/>
  <c r="AX21" i="9" s="1"/>
  <c r="AW21" i="9" s="1"/>
  <c r="AD21" i="9"/>
  <c r="AV21" i="9" l="1"/>
  <c r="AU21" i="9"/>
  <c r="AA21" i="9"/>
  <c r="F21" i="9"/>
  <c r="CV20" i="9"/>
  <c r="CR20" i="9"/>
  <c r="W21" i="9" l="1"/>
  <c r="BE21" i="9"/>
  <c r="BM21" i="9"/>
  <c r="BK21" i="9"/>
  <c r="BL21" i="9" s="1"/>
  <c r="BG21" i="9"/>
  <c r="BQ21" i="9" s="1"/>
  <c r="BI21" i="9"/>
  <c r="BF21" i="9"/>
  <c r="BP21" i="9" l="1"/>
  <c r="BO21" i="9"/>
  <c r="BH21" i="9"/>
  <c r="BJ21" i="9"/>
  <c r="AN20" i="9"/>
  <c r="AQ20" i="9"/>
  <c r="AM20" i="9"/>
  <c r="AO20" i="9"/>
  <c r="AP20" i="9"/>
  <c r="AR20" i="9"/>
  <c r="BR21" i="9" l="1"/>
  <c r="BT21" i="9"/>
  <c r="BS21" i="9" s="1"/>
  <c r="BC20" i="9"/>
  <c r="AD20" i="9"/>
  <c r="AK20" i="9"/>
  <c r="AJ20" i="9"/>
  <c r="AI20" i="9"/>
  <c r="AL20" i="9" l="1"/>
  <c r="AU20" i="9" s="1"/>
  <c r="AA20" i="9"/>
  <c r="F20" i="9"/>
  <c r="CV19" i="9"/>
  <c r="CR19" i="9"/>
  <c r="W20" i="9" l="1"/>
  <c r="AV20" i="9"/>
  <c r="AX20" i="9"/>
  <c r="AW20" i="9" s="1"/>
  <c r="BM20" i="9" l="1"/>
  <c r="BE20" i="9"/>
  <c r="BF20" i="9"/>
  <c r="BG20" i="9"/>
  <c r="BK20" i="9"/>
  <c r="BI20" i="9"/>
  <c r="AN19" i="9"/>
  <c r="AQ19" i="9"/>
  <c r="AM19" i="9"/>
  <c r="AR19" i="9"/>
  <c r="AP19" i="9"/>
  <c r="AO19" i="9"/>
  <c r="BH20" i="9" l="1"/>
  <c r="BL20" i="9"/>
  <c r="BC19" i="9"/>
  <c r="BJ20" i="9"/>
  <c r="AD19" i="9"/>
  <c r="AK19" i="9"/>
  <c r="AJ19" i="9"/>
  <c r="AI19" i="9"/>
  <c r="BV20" i="9" l="1"/>
  <c r="BU20" i="9" s="1"/>
  <c r="AL19" i="9"/>
  <c r="AU19" i="9" s="1"/>
  <c r="BT20" i="9"/>
  <c r="BS20" i="9" s="1"/>
  <c r="BR20" i="9" s="1"/>
  <c r="BQ20" i="9" s="1"/>
  <c r="BP20" i="9" s="1"/>
  <c r="BO20" i="9" s="1"/>
  <c r="AA19" i="9"/>
  <c r="F19" i="9"/>
  <c r="CV18" i="9"/>
  <c r="CR18" i="9"/>
  <c r="W19" i="9" l="1"/>
  <c r="AV19" i="9"/>
  <c r="AX19" i="9"/>
  <c r="AW19" i="9" s="1"/>
  <c r="BF19" i="9" l="1"/>
  <c r="BM19" i="9"/>
  <c r="BK19" i="9"/>
  <c r="BG19" i="9"/>
  <c r="BE19" i="9"/>
  <c r="BO19" i="9" s="1"/>
  <c r="BI19" i="9"/>
  <c r="BS19" i="9" s="1"/>
  <c r="AN18" i="9"/>
  <c r="AO18" i="9"/>
  <c r="AQ18" i="9"/>
  <c r="AM18" i="9"/>
  <c r="AP18" i="9"/>
  <c r="AR18" i="9"/>
  <c r="BP19" i="9" l="1"/>
  <c r="BL19" i="9"/>
  <c r="BU19" i="9"/>
  <c r="BH19" i="9"/>
  <c r="BJ19" i="9"/>
  <c r="BC18" i="9"/>
  <c r="AD18" i="9"/>
  <c r="AK18" i="9"/>
  <c r="AJ18" i="9"/>
  <c r="AI18" i="9"/>
  <c r="BT19" i="9" l="1"/>
  <c r="BR19" i="9"/>
  <c r="BQ19" i="9" s="1"/>
  <c r="BV19" i="9"/>
  <c r="AL18" i="9"/>
  <c r="AU18" i="9" s="1"/>
  <c r="AA18" i="9"/>
  <c r="F18" i="9"/>
  <c r="CV17" i="9"/>
  <c r="CR17" i="9"/>
  <c r="W18" i="9" l="1"/>
  <c r="AX18" i="9"/>
  <c r="AW18" i="9" s="1"/>
  <c r="AV18" i="9"/>
  <c r="BE18" i="9" l="1"/>
  <c r="BG18" i="9"/>
  <c r="BM18" i="9"/>
  <c r="BI18" i="9"/>
  <c r="BF18" i="9"/>
  <c r="BK18" i="9"/>
  <c r="AN17" i="9"/>
  <c r="AP17" i="9"/>
  <c r="AQ17" i="9"/>
  <c r="AO17" i="9"/>
  <c r="AM17" i="9"/>
  <c r="AR17" i="9"/>
  <c r="BW18" i="9" l="1"/>
  <c r="BQ18" i="9"/>
  <c r="BP18" i="9" s="1"/>
  <c r="BO18" i="9" s="1"/>
  <c r="BC17" i="9"/>
  <c r="BJ18" i="9"/>
  <c r="BL18" i="9"/>
  <c r="BH18" i="9"/>
  <c r="BS18" i="9"/>
  <c r="AD17" i="9"/>
  <c r="AK17" i="9"/>
  <c r="AI17" i="9"/>
  <c r="AJ17" i="9"/>
  <c r="AL17" i="9" l="1"/>
  <c r="AX17" i="9" s="1"/>
  <c r="AW17" i="9" s="1"/>
  <c r="BT18" i="9"/>
  <c r="BR18" i="9"/>
  <c r="BV18" i="9"/>
  <c r="BU18" i="9" s="1"/>
  <c r="AA17" i="9"/>
  <c r="F17" i="9"/>
  <c r="CV16" i="9"/>
  <c r="CR16" i="9"/>
  <c r="W17" i="9" l="1"/>
  <c r="CR55" i="9"/>
  <c r="H21" i="9" s="1"/>
  <c r="CR54" i="9"/>
  <c r="H20" i="9" s="1"/>
  <c r="CR53" i="9"/>
  <c r="H19" i="9" s="1"/>
  <c r="AV17" i="9"/>
  <c r="AU17" i="9"/>
  <c r="AD16" i="9"/>
  <c r="AA16" i="9"/>
  <c r="F16" i="9"/>
  <c r="CV15" i="9"/>
  <c r="CV14" i="9"/>
  <c r="AB16" i="9" s="1"/>
  <c r="AC16" i="9" s="1"/>
  <c r="CS14" i="9"/>
  <c r="CS21" i="9"/>
  <c r="CS16" i="9"/>
  <c r="CS18" i="9"/>
  <c r="CS29" i="9"/>
  <c r="CS17" i="9"/>
  <c r="CS26" i="9"/>
  <c r="CS19" i="9"/>
  <c r="CS30" i="9"/>
  <c r="CS34" i="9"/>
  <c r="CS27" i="9"/>
  <c r="CS22" i="9"/>
  <c r="AK16" i="9"/>
  <c r="AO16" i="9"/>
  <c r="CS20" i="9"/>
  <c r="CS35" i="9"/>
  <c r="AR16" i="9"/>
  <c r="AJ16" i="9"/>
  <c r="CS23" i="9"/>
  <c r="AP16" i="9"/>
  <c r="AN16" i="9"/>
  <c r="AQ16" i="9"/>
  <c r="CS24" i="9"/>
  <c r="CS32" i="9"/>
  <c r="CS25" i="9"/>
  <c r="CS31" i="9"/>
  <c r="CS28" i="9"/>
  <c r="AM16" i="9"/>
  <c r="CS33" i="9"/>
  <c r="W16" i="9" l="1"/>
  <c r="CS54" i="9"/>
  <c r="J20" i="9" s="1"/>
  <c r="CS53" i="9"/>
  <c r="J19" i="9" s="1"/>
  <c r="CS55" i="9"/>
  <c r="J21" i="9" s="1"/>
  <c r="BK17" i="9"/>
  <c r="BL17" i="9" s="1"/>
  <c r="F51" i="9"/>
  <c r="AE35" i="9"/>
  <c r="AE34" i="9"/>
  <c r="AF34" i="9" s="1"/>
  <c r="AG34" i="9" s="1"/>
  <c r="AE33" i="9"/>
  <c r="AE32" i="9"/>
  <c r="AE31" i="9"/>
  <c r="AE30" i="9"/>
  <c r="AE29" i="9"/>
  <c r="AE28" i="9"/>
  <c r="AE27" i="9"/>
  <c r="AF27" i="9" s="1"/>
  <c r="AG27" i="9" s="1"/>
  <c r="AE26" i="9"/>
  <c r="AE25" i="9"/>
  <c r="AE24" i="9"/>
  <c r="AE23" i="9"/>
  <c r="AE22" i="9"/>
  <c r="AE21" i="9"/>
  <c r="AE20" i="9"/>
  <c r="AE19" i="9"/>
  <c r="AE18" i="9"/>
  <c r="AE17" i="9"/>
  <c r="AF17" i="9" s="1"/>
  <c r="AG17" i="9" s="1"/>
  <c r="AB35" i="9"/>
  <c r="AC35" i="9" s="1"/>
  <c r="AB34" i="9"/>
  <c r="AC34" i="9" s="1"/>
  <c r="AB33" i="9"/>
  <c r="AC33" i="9" s="1"/>
  <c r="AB32" i="9"/>
  <c r="AC32" i="9" s="1"/>
  <c r="AB31" i="9"/>
  <c r="AC31" i="9" s="1"/>
  <c r="AB30" i="9"/>
  <c r="AC30" i="9" s="1"/>
  <c r="AB29" i="9"/>
  <c r="AC29" i="9" s="1"/>
  <c r="AB28" i="9"/>
  <c r="AC28" i="9" s="1"/>
  <c r="AB27" i="9"/>
  <c r="AC27" i="9" s="1"/>
  <c r="AB26" i="9"/>
  <c r="AC26" i="9" s="1"/>
  <c r="AB25" i="9"/>
  <c r="AC25" i="9" s="1"/>
  <c r="AB24" i="9"/>
  <c r="AC24" i="9" s="1"/>
  <c r="AB23" i="9"/>
  <c r="AC23" i="9" s="1"/>
  <c r="AB22" i="9"/>
  <c r="AC22" i="9" s="1"/>
  <c r="AB21" i="9"/>
  <c r="AC21" i="9" s="1"/>
  <c r="AB20" i="9"/>
  <c r="AC20" i="9" s="1"/>
  <c r="AB19" i="9"/>
  <c r="AC19" i="9" s="1"/>
  <c r="AB18" i="9"/>
  <c r="AC18" i="9" s="1"/>
  <c r="AB17" i="9"/>
  <c r="AC17" i="9" s="1"/>
  <c r="AE16" i="9"/>
  <c r="AF16" i="9" s="1"/>
  <c r="BM17" i="9"/>
  <c r="BG17" i="9"/>
  <c r="BH17" i="9" s="1"/>
  <c r="BF17" i="9"/>
  <c r="BE17" i="9"/>
  <c r="BI17" i="9"/>
  <c r="BS17" i="9" s="1"/>
  <c r="BC16" i="9"/>
  <c r="AL16" i="9"/>
  <c r="AU16" i="9" s="1"/>
  <c r="AH16" i="9" l="1"/>
  <c r="AH18" i="9"/>
  <c r="CM18" i="9" s="1"/>
  <c r="AH26" i="9"/>
  <c r="CO26" i="9" s="1"/>
  <c r="AH32" i="9"/>
  <c r="AH19" i="9"/>
  <c r="CI19" i="9" s="1"/>
  <c r="AF26" i="9"/>
  <c r="AG26" i="9" s="1"/>
  <c r="AH33" i="9"/>
  <c r="BZ33" i="9" s="1"/>
  <c r="AH31" i="9"/>
  <c r="BY31" i="9" s="1"/>
  <c r="BW31" i="9" s="1"/>
  <c r="AH35" i="9"/>
  <c r="CE35" i="9" s="1"/>
  <c r="AH23" i="9"/>
  <c r="BY23" i="9" s="1"/>
  <c r="BW23" i="9" s="1"/>
  <c r="AH30" i="9"/>
  <c r="CA30" i="9" s="1"/>
  <c r="AH21" i="9"/>
  <c r="AH27" i="9"/>
  <c r="CC27" i="9" s="1"/>
  <c r="AF33" i="9"/>
  <c r="AG33" i="9" s="1"/>
  <c r="AF18" i="9"/>
  <c r="AG18" i="9" s="1"/>
  <c r="AH25" i="9"/>
  <c r="CM25" i="9" s="1"/>
  <c r="AF31" i="9"/>
  <c r="AG31" i="9" s="1"/>
  <c r="AH22" i="9"/>
  <c r="CE22" i="9" s="1"/>
  <c r="AH28" i="9"/>
  <c r="CO28" i="9" s="1"/>
  <c r="BU17" i="9"/>
  <c r="AG16" i="9"/>
  <c r="AF23" i="9"/>
  <c r="AG23" i="9" s="1"/>
  <c r="CF22" i="9"/>
  <c r="CA32" i="9"/>
  <c r="CM32" i="9"/>
  <c r="CK32" i="9"/>
  <c r="CI32" i="9"/>
  <c r="CC32" i="9"/>
  <c r="BY32" i="9"/>
  <c r="BW32" i="9" s="1"/>
  <c r="CO32" i="9"/>
  <c r="CE32" i="9"/>
  <c r="CG32" i="9"/>
  <c r="CJ32" i="9"/>
  <c r="CQ32" i="9"/>
  <c r="BZ32" i="9"/>
  <c r="CD32" i="9"/>
  <c r="CF32" i="9"/>
  <c r="CN32" i="9"/>
  <c r="CP32" i="9"/>
  <c r="CB32" i="9"/>
  <c r="CL32" i="9"/>
  <c r="AH17" i="9"/>
  <c r="CK17" i="9" s="1"/>
  <c r="AF22" i="9"/>
  <c r="AG22" i="9" s="1"/>
  <c r="CM23" i="9"/>
  <c r="CK23" i="9"/>
  <c r="CQ23" i="9"/>
  <c r="CD23" i="9"/>
  <c r="CL23" i="9"/>
  <c r="CI21" i="9"/>
  <c r="CO21" i="9"/>
  <c r="CP21" i="9"/>
  <c r="CF21" i="9"/>
  <c r="CA21" i="9"/>
  <c r="CG21" i="9"/>
  <c r="CQ21" i="9"/>
  <c r="CK21" i="9"/>
  <c r="CJ21" i="9"/>
  <c r="CE21" i="9"/>
  <c r="BZ21" i="9"/>
  <c r="BY21" i="9" s="1"/>
  <c r="BW21" i="9" s="1"/>
  <c r="BV21" i="9" s="1"/>
  <c r="BU21" i="9" s="1"/>
  <c r="CC21" i="9"/>
  <c r="CM21" i="9"/>
  <c r="CB21" i="9"/>
  <c r="CD21" i="9"/>
  <c r="CN21" i="9"/>
  <c r="CL21" i="9"/>
  <c r="CL30" i="9"/>
  <c r="CO30" i="9"/>
  <c r="AF21" i="9"/>
  <c r="AG21" i="9" s="1"/>
  <c r="AF35" i="9"/>
  <c r="AG35" i="9" s="1"/>
  <c r="AH20" i="9"/>
  <c r="AF25" i="9"/>
  <c r="AG25" i="9" s="1"/>
  <c r="AH29" i="9"/>
  <c r="AF19" i="9"/>
  <c r="AG19" i="9" s="1"/>
  <c r="AH24" i="9"/>
  <c r="AF29" i="9"/>
  <c r="AG29" i="9" s="1"/>
  <c r="AH34" i="9"/>
  <c r="BQ17" i="9"/>
  <c r="BP17" i="9" s="1"/>
  <c r="BO17" i="9" s="1"/>
  <c r="BJ17" i="9"/>
  <c r="BT17" i="9" s="1"/>
  <c r="AX16" i="9"/>
  <c r="AW16" i="9" s="1"/>
  <c r="AV16" i="9"/>
  <c r="BV17" i="9"/>
  <c r="BR17" i="9"/>
  <c r="CO23" i="9" l="1"/>
  <c r="CA23" i="9"/>
  <c r="CN22" i="9"/>
  <c r="CO22" i="9"/>
  <c r="CP18" i="9"/>
  <c r="BZ18" i="9"/>
  <c r="CI23" i="9"/>
  <c r="CG23" i="9" s="1"/>
  <c r="CJ23" i="9"/>
  <c r="BY22" i="9"/>
  <c r="BW22" i="9" s="1"/>
  <c r="CA18" i="9"/>
  <c r="BY18" i="9"/>
  <c r="CF23" i="9"/>
  <c r="CC23" i="9"/>
  <c r="BZ23" i="9"/>
  <c r="CB22" i="9"/>
  <c r="CN18" i="9"/>
  <c r="CK18" i="9"/>
  <c r="CI18" i="9"/>
  <c r="CD22" i="9"/>
  <c r="CJ18" i="9"/>
  <c r="CO18" i="9"/>
  <c r="CN23" i="9"/>
  <c r="CP23" i="9"/>
  <c r="CI22" i="9"/>
  <c r="CD18" i="9"/>
  <c r="CC18" i="9"/>
  <c r="CE23" i="9"/>
  <c r="BZ22" i="9"/>
  <c r="CF18" i="9"/>
  <c r="CG18" i="9"/>
  <c r="CL18" i="9"/>
  <c r="CQ18" i="9"/>
  <c r="CB23" i="9"/>
  <c r="CM22" i="9"/>
  <c r="CB18" i="9"/>
  <c r="CE18" i="9"/>
  <c r="CF30" i="9"/>
  <c r="CE30" i="9"/>
  <c r="CK30" i="9"/>
  <c r="CJ26" i="9"/>
  <c r="CF26" i="9"/>
  <c r="CN26" i="9"/>
  <c r="CP30" i="9"/>
  <c r="CG30" i="9"/>
  <c r="CM30" i="9"/>
  <c r="CQ26" i="9"/>
  <c r="CP26" i="9"/>
  <c r="BZ30" i="9"/>
  <c r="CB30" i="9"/>
  <c r="CL26" i="9"/>
  <c r="CI26" i="9"/>
  <c r="CG26" i="9"/>
  <c r="CC22" i="9"/>
  <c r="CE26" i="9"/>
  <c r="CD30" i="9"/>
  <c r="BY30" i="9"/>
  <c r="CB26" i="9"/>
  <c r="CA26" i="9"/>
  <c r="CC26" i="9"/>
  <c r="CP22" i="9"/>
  <c r="CJ30" i="9"/>
  <c r="CQ30" i="9"/>
  <c r="CD26" i="9"/>
  <c r="BY26" i="9"/>
  <c r="BW26" i="9" s="1"/>
  <c r="CL22" i="9"/>
  <c r="CN30" i="9"/>
  <c r="CC30" i="9"/>
  <c r="CM26" i="9"/>
  <c r="CK26" i="9"/>
  <c r="CI30" i="9"/>
  <c r="BZ26" i="9"/>
  <c r="CG22" i="9"/>
  <c r="CK22" i="9"/>
  <c r="CQ28" i="9"/>
  <c r="CP28" i="9"/>
  <c r="CJ22" i="9"/>
  <c r="CE19" i="9"/>
  <c r="BY19" i="9"/>
  <c r="BW19" i="9" s="1"/>
  <c r="CP19" i="9"/>
  <c r="BZ19" i="9"/>
  <c r="CF19" i="9"/>
  <c r="CO19" i="9"/>
  <c r="CQ19" i="9"/>
  <c r="CG19" i="9"/>
  <c r="CD19" i="9"/>
  <c r="CK19" i="9"/>
  <c r="CC19" i="9"/>
  <c r="CB19" i="9"/>
  <c r="CJ19" i="9"/>
  <c r="CL19" i="9"/>
  <c r="CA19" i="9"/>
  <c r="CN19" i="9"/>
  <c r="CM19" i="9" s="1"/>
  <c r="CF33" i="9"/>
  <c r="CL33" i="9"/>
  <c r="CC33" i="9"/>
  <c r="CB33" i="9"/>
  <c r="CA33" i="9"/>
  <c r="CD33" i="9"/>
  <c r="CM33" i="9"/>
  <c r="CK33" i="9"/>
  <c r="CN33" i="9"/>
  <c r="CJ33" i="9"/>
  <c r="CG33" i="9"/>
  <c r="CO33" i="9"/>
  <c r="CQ33" i="9"/>
  <c r="BZ27" i="9"/>
  <c r="CP33" i="9"/>
  <c r="CI33" i="9"/>
  <c r="CE33" i="9"/>
  <c r="CA17" i="9"/>
  <c r="BY33" i="9"/>
  <c r="BW33" i="9" s="1"/>
  <c r="CM31" i="9"/>
  <c r="CB28" i="9"/>
  <c r="CF28" i="9"/>
  <c r="CI31" i="9"/>
  <c r="CI28" i="9"/>
  <c r="CG31" i="9"/>
  <c r="CL17" i="9"/>
  <c r="CJ31" i="9"/>
  <c r="CB31" i="9"/>
  <c r="CQ31" i="9"/>
  <c r="CC31" i="9"/>
  <c r="CE31" i="9"/>
  <c r="CF31" i="9"/>
  <c r="CA31" i="9"/>
  <c r="CP31" i="9"/>
  <c r="BZ31" i="9"/>
  <c r="CL25" i="9"/>
  <c r="CN31" i="9"/>
  <c r="CL31" i="9"/>
  <c r="CK31" i="9" s="1"/>
  <c r="CO31" i="9"/>
  <c r="CG25" i="9"/>
  <c r="CD31" i="9"/>
  <c r="CF35" i="9"/>
  <c r="CI35" i="9"/>
  <c r="CP35" i="9"/>
  <c r="CK35" i="9"/>
  <c r="CN35" i="9"/>
  <c r="CM35" i="9" s="1"/>
  <c r="CG35" i="9"/>
  <c r="BY35" i="9"/>
  <c r="BW35" i="9" s="1"/>
  <c r="CA35" i="9"/>
  <c r="CC35" i="9"/>
  <c r="CO35" i="9"/>
  <c r="CJ35" i="9"/>
  <c r="CQ35" i="9"/>
  <c r="CL35" i="9"/>
  <c r="CD35" i="9"/>
  <c r="BZ35" i="9"/>
  <c r="CB35" i="9"/>
  <c r="CD28" i="9"/>
  <c r="CN28" i="9"/>
  <c r="BZ28" i="9"/>
  <c r="CA28" i="9"/>
  <c r="BY28" i="9"/>
  <c r="BW28" i="9" s="1"/>
  <c r="CB17" i="9"/>
  <c r="CJ17" i="9"/>
  <c r="CC17" i="9"/>
  <c r="BZ17" i="9"/>
  <c r="CK28" i="9"/>
  <c r="CJ28" i="9"/>
  <c r="CM17" i="9"/>
  <c r="CF17" i="9"/>
  <c r="BY17" i="9"/>
  <c r="BW17" i="9" s="1"/>
  <c r="CI17" i="9"/>
  <c r="CP17" i="9"/>
  <c r="CG17" i="9"/>
  <c r="CL28" i="9"/>
  <c r="CG28" i="9"/>
  <c r="CC28" i="9"/>
  <c r="CE28" i="9"/>
  <c r="CP25" i="9"/>
  <c r="CC25" i="9"/>
  <c r="CA22" i="9"/>
  <c r="BY25" i="9"/>
  <c r="CK25" i="9"/>
  <c r="CJ25" i="9"/>
  <c r="CI25" i="9" s="1"/>
  <c r="CO25" i="9"/>
  <c r="CF25" i="9"/>
  <c r="BZ25" i="9"/>
  <c r="CE25" i="9"/>
  <c r="CD25" i="9"/>
  <c r="CQ25" i="9"/>
  <c r="CN25" i="9"/>
  <c r="CA25" i="9"/>
  <c r="CB25" i="9"/>
  <c r="CQ22" i="9"/>
  <c r="CM28" i="9"/>
  <c r="CL27" i="9"/>
  <c r="CB27" i="9"/>
  <c r="CO27" i="9"/>
  <c r="CP27" i="9"/>
  <c r="CI27" i="9"/>
  <c r="CF27" i="9"/>
  <c r="CE27" i="9"/>
  <c r="CN27" i="9"/>
  <c r="CK27" i="9"/>
  <c r="CJ27" i="9" s="1"/>
  <c r="CD27" i="9"/>
  <c r="BY27" i="9"/>
  <c r="CG27" i="9"/>
  <c r="CA27" i="9"/>
  <c r="CM27" i="9"/>
  <c r="CQ27" i="9"/>
  <c r="BG16" i="9"/>
  <c r="CA16" i="9" s="1"/>
  <c r="CO17" i="9"/>
  <c r="CE17" i="9"/>
  <c r="BE16" i="9"/>
  <c r="CI16" i="9" s="1"/>
  <c r="CQ29" i="9"/>
  <c r="BY29" i="9"/>
  <c r="BW29" i="9" s="1"/>
  <c r="CI29" i="9"/>
  <c r="CE29" i="9"/>
  <c r="CK29" i="9"/>
  <c r="CJ29" i="9" s="1"/>
  <c r="CC29" i="9"/>
  <c r="BZ29" i="9"/>
  <c r="CA29" i="9"/>
  <c r="CO29" i="9"/>
  <c r="CM29" i="9"/>
  <c r="CG29" i="9"/>
  <c r="CF29" i="9"/>
  <c r="CP29" i="9"/>
  <c r="CN29" i="9"/>
  <c r="CD29" i="9"/>
  <c r="CB29" i="9"/>
  <c r="CL29" i="9"/>
  <c r="CO24" i="9"/>
  <c r="CQ24" i="9"/>
  <c r="CE24" i="9"/>
  <c r="CG24" i="9"/>
  <c r="CF24" i="9"/>
  <c r="CP24" i="9"/>
  <c r="CM24" i="9"/>
  <c r="BZ24" i="9"/>
  <c r="BY24" i="9"/>
  <c r="BW24" i="9" s="1"/>
  <c r="CA24" i="9"/>
  <c r="CC24" i="9"/>
  <c r="CJ24" i="9"/>
  <c r="CK24" i="9"/>
  <c r="CI24" i="9"/>
  <c r="CL24" i="9"/>
  <c r="CN24" i="9"/>
  <c r="CB24" i="9"/>
  <c r="CD24" i="9"/>
  <c r="CG34" i="9"/>
  <c r="CC34" i="9"/>
  <c r="CQ34" i="9"/>
  <c r="CA34" i="9"/>
  <c r="CK34" i="9"/>
  <c r="BZ34" i="9"/>
  <c r="CM34" i="9"/>
  <c r="CJ34" i="9"/>
  <c r="CI34" i="9"/>
  <c r="BY34" i="9"/>
  <c r="BW34" i="9" s="1"/>
  <c r="BV34" i="9" s="1"/>
  <c r="BU34" i="9" s="1"/>
  <c r="CD34" i="9"/>
  <c r="CN34" i="9"/>
  <c r="CL34" i="9"/>
  <c r="CO34" i="9"/>
  <c r="CE34" i="9"/>
  <c r="CB34" i="9"/>
  <c r="CF34" i="9"/>
  <c r="CP34" i="9"/>
  <c r="CQ17" i="9"/>
  <c r="CQ20" i="9"/>
  <c r="CG20" i="9"/>
  <c r="BZ20" i="9"/>
  <c r="CJ20" i="9"/>
  <c r="CO20" i="9"/>
  <c r="CC20" i="9"/>
  <c r="CM20" i="9"/>
  <c r="CK20" i="9"/>
  <c r="BY20" i="9"/>
  <c r="BW20" i="9" s="1"/>
  <c r="CI20" i="9"/>
  <c r="CE20" i="9"/>
  <c r="CA20" i="9"/>
  <c r="CD20" i="9"/>
  <c r="CN20" i="9"/>
  <c r="CL20" i="9"/>
  <c r="CB20" i="9"/>
  <c r="CF20" i="9"/>
  <c r="CP20" i="9"/>
  <c r="CN17" i="9"/>
  <c r="BF16" i="9"/>
  <c r="BP16" i="9" s="1"/>
  <c r="CD17" i="9"/>
  <c r="BI16" i="9"/>
  <c r="BK16" i="9"/>
  <c r="BM16" i="9"/>
  <c r="CK16" i="9" l="1"/>
  <c r="CK14" i="9" s="1"/>
  <c r="BQ16" i="9"/>
  <c r="BH16" i="9"/>
  <c r="BR16" i="9" s="1"/>
  <c r="CI14" i="9"/>
  <c r="CA14" i="9"/>
  <c r="CZ37" i="9" s="1"/>
  <c r="BO16" i="9"/>
  <c r="BY16" i="9"/>
  <c r="BY14" i="9" s="1"/>
  <c r="CY37" i="9" s="1"/>
  <c r="BZ16" i="9"/>
  <c r="BZ14" i="9" s="1"/>
  <c r="CW41" i="9" s="1"/>
  <c r="CJ16" i="9"/>
  <c r="CJ14" i="9" s="1"/>
  <c r="CM16" i="9"/>
  <c r="CM14" i="9" s="1"/>
  <c r="CC16" i="9"/>
  <c r="CC14" i="9" s="1"/>
  <c r="BS16" i="9"/>
  <c r="BJ16" i="9"/>
  <c r="BU16" i="9"/>
  <c r="CO16" i="9"/>
  <c r="CE16" i="9"/>
  <c r="CE14" i="9" s="1"/>
  <c r="BL16" i="9"/>
  <c r="BW16" i="9"/>
  <c r="BW14" i="9" s="1"/>
  <c r="CQ16" i="9"/>
  <c r="CQ14" i="9" s="1"/>
  <c r="CG16" i="9"/>
  <c r="CG14" i="9" s="1"/>
  <c r="CB16" i="9" l="1"/>
  <c r="CB14" i="9" s="1"/>
  <c r="CL16" i="9"/>
  <c r="CL14" i="9" s="1"/>
  <c r="CW40" i="9"/>
  <c r="CV40" i="9"/>
  <c r="CZ38" i="9"/>
  <c r="DA42" i="9"/>
  <c r="J37" i="9" s="1"/>
  <c r="CX42" i="9"/>
  <c r="DA39" i="9"/>
  <c r="H30" i="9"/>
  <c r="CN16" i="9"/>
  <c r="CN14" i="9" s="1"/>
  <c r="CO14" i="9"/>
  <c r="DA40" i="9"/>
  <c r="CZ40" i="9" s="1"/>
  <c r="CY40" i="9" s="1"/>
  <c r="CW42" i="9"/>
  <c r="CZ39" i="9"/>
  <c r="CX40" i="9"/>
  <c r="DA37" i="9"/>
  <c r="BV16" i="9"/>
  <c r="BV14" i="9" s="1"/>
  <c r="BU14" i="9" s="1"/>
  <c r="CP16" i="9"/>
  <c r="CP14" i="9" s="1"/>
  <c r="CF16" i="9"/>
  <c r="CF14" i="9" s="1"/>
  <c r="CD16" i="9"/>
  <c r="CD14" i="9" s="1"/>
  <c r="BT16" i="9"/>
  <c r="BT14" i="9" l="1"/>
  <c r="BS14" i="9" s="1"/>
  <c r="BR14" i="9" s="1"/>
  <c r="BQ14" i="9" s="1"/>
  <c r="BP14" i="9" s="1"/>
  <c r="BO14" i="9" s="1"/>
  <c r="CV42" i="9"/>
  <c r="CY39" i="9"/>
  <c r="CX39" i="9" s="1"/>
  <c r="CW39" i="9" s="1"/>
  <c r="CZ42" i="9"/>
  <c r="CY42" i="9" s="1"/>
  <c r="DA41" i="9"/>
  <c r="CZ41" i="9" s="1"/>
  <c r="CY41" i="9" s="1"/>
  <c r="CX41" i="9"/>
  <c r="DA38" i="9"/>
  <c r="CV41" i="9"/>
  <c r="CY38" i="9"/>
  <c r="CX38" i="9" s="1"/>
  <c r="CW38" i="9" l="1"/>
  <c r="CV38" i="9" s="1"/>
  <c r="CV39" i="9"/>
  <c r="CX37" i="9"/>
  <c r="CW37" i="9" s="1"/>
  <c r="CV37" i="9" s="1"/>
  <c r="H25" i="9" s="1"/>
  <c r="I48" i="9" s="1"/>
  <c r="I37" i="9"/>
  <c r="H37" i="9" s="1"/>
  <c r="AE60" i="9" s="1"/>
  <c r="AD60" i="9" s="1"/>
  <c r="AC60" i="9" s="1"/>
  <c r="J25" i="9" l="1"/>
  <c r="I25" i="9" s="1"/>
  <c r="I50" i="9" s="1"/>
  <c r="H26" i="9"/>
  <c r="I46" i="9" s="1"/>
  <c r="J36" i="9"/>
  <c r="I36" i="9"/>
  <c r="H36" i="9"/>
  <c r="AE59" i="9"/>
  <c r="AD59" i="9"/>
  <c r="AC59" i="9"/>
  <c r="I26" i="9"/>
  <c r="I49" i="9" s="1"/>
  <c r="J35" i="9"/>
  <c r="I35" i="9"/>
  <c r="H35" i="9"/>
  <c r="AE58" i="9"/>
  <c r="AD58" i="9"/>
  <c r="AC58" i="9"/>
  <c r="J27" i="9"/>
  <c r="I51" i="9" s="1"/>
  <c r="J32" i="9"/>
  <c r="I32" i="9"/>
  <c r="H32" i="9"/>
  <c r="I27" i="9"/>
  <c r="H27" i="9"/>
  <c r="J31" i="9"/>
  <c r="I31" i="9"/>
  <c r="H31" i="9"/>
  <c r="J26" i="9"/>
  <c r="J30" i="9"/>
  <c r="I30" i="9"/>
  <c r="C58" i="9" l="1"/>
  <c r="I44" i="9"/>
  <c r="I43" i="9"/>
  <c r="I45" i="9"/>
  <c r="I42" i="9"/>
  <c r="AF20" i="9" l="1"/>
  <c r="AG20" i="9" s="1"/>
  <c r="AF24" i="9"/>
  <c r="AG24" i="9" s="1"/>
  <c r="AF28" i="9"/>
  <c r="AG28" i="9" s="1"/>
  <c r="AF30" i="9"/>
  <c r="AG30" i="9" s="1"/>
  <c r="AF32" i="9"/>
  <c r="AG32" i="9" s="1"/>
  <c r="W51" i="9"/>
  <c r="AC53" i="9" s="1"/>
  <c r="AC51" i="9"/>
  <c r="AC52" i="9" s="1"/>
  <c r="C57" i="9"/>
  <c r="C56" i="9"/>
</calcChain>
</file>

<file path=xl/sharedStrings.xml><?xml version="1.0" encoding="utf-8"?>
<sst xmlns="http://schemas.openxmlformats.org/spreadsheetml/2006/main" count="449" uniqueCount="175">
  <si>
    <t>Equivalent Stiffnesses</t>
  </si>
  <si>
    <t>Orientation</t>
  </si>
  <si>
    <t>Thickness</t>
  </si>
  <si>
    <t>z</t>
  </si>
  <si>
    <t>z bar</t>
  </si>
  <si>
    <t>(degree)</t>
  </si>
  <si>
    <t>Radians</t>
  </si>
  <si>
    <t>(Mpa)</t>
  </si>
  <si>
    <t>A</t>
  </si>
  <si>
    <t>Compression Modulus, 1 - axis</t>
  </si>
  <si>
    <t>Compression Modulus, 2 - axis</t>
  </si>
  <si>
    <t>ILS</t>
  </si>
  <si>
    <t>MINIMUM</t>
  </si>
  <si>
    <t>Condition:</t>
  </si>
  <si>
    <t>Total Laminate Thickness:</t>
  </si>
  <si>
    <r>
      <t>Ftu</t>
    </r>
    <r>
      <rPr>
        <vertAlign val="subscript"/>
        <sz val="8"/>
        <rFont val="Arial"/>
        <family val="2"/>
      </rPr>
      <t>1</t>
    </r>
    <r>
      <rPr>
        <sz val="8"/>
        <rFont val="Arial"/>
        <family val="2"/>
      </rPr>
      <t xml:space="preserve"> =</t>
    </r>
  </si>
  <si>
    <r>
      <t>E</t>
    </r>
    <r>
      <rPr>
        <vertAlign val="subscript"/>
        <sz val="8"/>
        <rFont val="Arial"/>
        <family val="2"/>
      </rPr>
      <t>11</t>
    </r>
    <r>
      <rPr>
        <sz val="8"/>
        <rFont val="Arial"/>
        <family val="2"/>
      </rPr>
      <t xml:space="preserve"> =</t>
    </r>
  </si>
  <si>
    <r>
      <t>Ftu</t>
    </r>
    <r>
      <rPr>
        <vertAlign val="subscript"/>
        <sz val="8"/>
        <rFont val="Arial"/>
        <family val="2"/>
      </rPr>
      <t>2</t>
    </r>
    <r>
      <rPr>
        <sz val="8"/>
        <rFont val="Arial"/>
        <family val="2"/>
      </rPr>
      <t xml:space="preserve"> =</t>
    </r>
  </si>
  <si>
    <r>
      <t>E</t>
    </r>
    <r>
      <rPr>
        <vertAlign val="subscript"/>
        <sz val="8"/>
        <rFont val="Arial"/>
        <family val="2"/>
      </rPr>
      <t>22</t>
    </r>
    <r>
      <rPr>
        <sz val="8"/>
        <rFont val="Arial"/>
        <family val="2"/>
      </rPr>
      <t xml:space="preserve"> =</t>
    </r>
  </si>
  <si>
    <r>
      <t>v</t>
    </r>
    <r>
      <rPr>
        <vertAlign val="subscript"/>
        <sz val="8"/>
        <rFont val="Arial"/>
        <family val="2"/>
      </rPr>
      <t>12</t>
    </r>
    <r>
      <rPr>
        <sz val="8"/>
        <rFont val="Arial"/>
        <family val="2"/>
      </rPr>
      <t xml:space="preserve"> =</t>
    </r>
  </si>
  <si>
    <r>
      <t>Fcu</t>
    </r>
    <r>
      <rPr>
        <vertAlign val="subscript"/>
        <sz val="8"/>
        <rFont val="Arial"/>
        <family val="2"/>
      </rPr>
      <t>1</t>
    </r>
    <r>
      <rPr>
        <sz val="8"/>
        <rFont val="Arial"/>
        <family val="2"/>
      </rPr>
      <t xml:space="preserve"> =</t>
    </r>
  </si>
  <si>
    <r>
      <t>Fcu</t>
    </r>
    <r>
      <rPr>
        <vertAlign val="subscript"/>
        <sz val="8"/>
        <rFont val="Arial"/>
        <family val="2"/>
      </rPr>
      <t>2</t>
    </r>
    <r>
      <rPr>
        <sz val="8"/>
        <rFont val="Arial"/>
        <family val="2"/>
      </rPr>
      <t xml:space="preserve"> =</t>
    </r>
  </si>
  <si>
    <r>
      <t>Fsu</t>
    </r>
    <r>
      <rPr>
        <vertAlign val="subscript"/>
        <sz val="8"/>
        <rFont val="Arial"/>
        <family val="2"/>
      </rPr>
      <t>12</t>
    </r>
    <r>
      <rPr>
        <sz val="8"/>
        <rFont val="Arial"/>
        <family val="2"/>
      </rPr>
      <t xml:space="preserve"> =</t>
    </r>
  </si>
  <si>
    <r>
      <t>G</t>
    </r>
    <r>
      <rPr>
        <vertAlign val="subscript"/>
        <sz val="8"/>
        <rFont val="Arial"/>
        <family val="2"/>
      </rPr>
      <t>12</t>
    </r>
    <r>
      <rPr>
        <sz val="8"/>
        <rFont val="Arial"/>
        <family val="2"/>
      </rPr>
      <t xml:space="preserve"> =</t>
    </r>
  </si>
  <si>
    <t>-</t>
  </si>
  <si>
    <t>Revision:</t>
  </si>
  <si>
    <t>Date:</t>
  </si>
  <si>
    <t>Material Specification</t>
  </si>
  <si>
    <t>Laminate Properties</t>
  </si>
  <si>
    <r>
      <t>E</t>
    </r>
    <r>
      <rPr>
        <vertAlign val="subscript"/>
        <sz val="8"/>
        <rFont val="Arial"/>
        <family val="2"/>
      </rPr>
      <t>av11</t>
    </r>
    <r>
      <rPr>
        <sz val="8"/>
        <rFont val="Arial"/>
        <family val="2"/>
      </rPr>
      <t xml:space="preserve"> =</t>
    </r>
  </si>
  <si>
    <r>
      <t>E</t>
    </r>
    <r>
      <rPr>
        <vertAlign val="subscript"/>
        <sz val="8"/>
        <rFont val="Arial"/>
        <family val="2"/>
      </rPr>
      <t>av22</t>
    </r>
    <r>
      <rPr>
        <sz val="8"/>
        <rFont val="Arial"/>
        <family val="2"/>
      </rPr>
      <t xml:space="preserve"> =</t>
    </r>
  </si>
  <si>
    <t>CAI Compression Strain =</t>
  </si>
  <si>
    <t>Filled Hole Tensions Strain =</t>
  </si>
  <si>
    <t>Double Shear Bearing</t>
  </si>
  <si>
    <t>25/50/25</t>
  </si>
  <si>
    <t>Open Hole Tension Stress</t>
  </si>
  <si>
    <t>Open Hole Compression Stress</t>
  </si>
  <si>
    <t>Filled Hole Tensions Stress</t>
  </si>
  <si>
    <t>Filled Hole Compression Stress</t>
  </si>
  <si>
    <t>50% Bypass Tension Stress</t>
  </si>
  <si>
    <t>50% Bypass Compression Stress</t>
  </si>
  <si>
    <t>25% Bypass Tension Stress</t>
  </si>
  <si>
    <t>25% Bypass Compression Stress</t>
  </si>
  <si>
    <t>Single Shear Bearing Stress</t>
  </si>
  <si>
    <t>Matl!D3:K29</t>
  </si>
  <si>
    <t>Matl!D32:K58</t>
  </si>
  <si>
    <t>Matl!D61:K87</t>
  </si>
  <si>
    <t>Matl!D90:K116</t>
  </si>
  <si>
    <t>Matl!D119:K145</t>
  </si>
  <si>
    <t>Wet Laminate Carbon Cloth</t>
  </si>
  <si>
    <t>Wet Laminate Carbon Tape</t>
  </si>
  <si>
    <t>Wet Laminate Glass Cloth</t>
  </si>
  <si>
    <t>Pre-Preg Carbon Tape</t>
  </si>
  <si>
    <t>Pre-Preg Carbon Cloth</t>
  </si>
  <si>
    <t>Foam Core</t>
  </si>
  <si>
    <t>B</t>
  </si>
  <si>
    <t>(in)</t>
  </si>
  <si>
    <t>psi</t>
  </si>
  <si>
    <t>Blank</t>
  </si>
  <si>
    <t>test</t>
  </si>
  <si>
    <t>Author:</t>
  </si>
  <si>
    <t>Document Number:</t>
  </si>
  <si>
    <t>Check:</t>
  </si>
  <si>
    <t>Revision Level :</t>
  </si>
  <si>
    <t>Page:</t>
  </si>
  <si>
    <t>Total Pages:</t>
  </si>
  <si>
    <t>Report:</t>
  </si>
  <si>
    <t>Section:</t>
  </si>
  <si>
    <t xml:space="preserve"> </t>
  </si>
  <si>
    <r>
      <t>A</t>
    </r>
    <r>
      <rPr>
        <vertAlign val="subscript"/>
        <sz val="10"/>
        <rFont val="Calibri"/>
        <family val="2"/>
        <scheme val="minor"/>
      </rPr>
      <t>11</t>
    </r>
    <r>
      <rPr>
        <sz val="10"/>
        <rFont val="Calibri"/>
        <family val="2"/>
        <scheme val="minor"/>
      </rPr>
      <t xml:space="preserve"> =</t>
    </r>
  </si>
  <si>
    <r>
      <t>A</t>
    </r>
    <r>
      <rPr>
        <vertAlign val="subscript"/>
        <sz val="10"/>
        <rFont val="Calibri"/>
        <family val="2"/>
        <scheme val="minor"/>
      </rPr>
      <t>22</t>
    </r>
    <r>
      <rPr>
        <sz val="10"/>
        <rFont val="Calibri"/>
        <family val="2"/>
        <scheme val="minor"/>
      </rPr>
      <t xml:space="preserve"> =</t>
    </r>
  </si>
  <si>
    <r>
      <t>A</t>
    </r>
    <r>
      <rPr>
        <vertAlign val="subscript"/>
        <sz val="10"/>
        <rFont val="Calibri"/>
        <family val="2"/>
        <scheme val="minor"/>
      </rPr>
      <t>12</t>
    </r>
    <r>
      <rPr>
        <sz val="10"/>
        <rFont val="Calibri"/>
        <family val="2"/>
        <scheme val="minor"/>
      </rPr>
      <t xml:space="preserve"> =</t>
    </r>
  </si>
  <si>
    <r>
      <t>A</t>
    </r>
    <r>
      <rPr>
        <vertAlign val="subscript"/>
        <sz val="10"/>
        <rFont val="Calibri"/>
        <family val="2"/>
        <scheme val="minor"/>
      </rPr>
      <t>21</t>
    </r>
    <r>
      <rPr>
        <sz val="10"/>
        <rFont val="Calibri"/>
        <family val="2"/>
        <scheme val="minor"/>
      </rPr>
      <t xml:space="preserve"> =</t>
    </r>
  </si>
  <si>
    <r>
      <t>A</t>
    </r>
    <r>
      <rPr>
        <vertAlign val="subscript"/>
        <sz val="10"/>
        <rFont val="Calibri"/>
        <family val="2"/>
        <scheme val="minor"/>
      </rPr>
      <t>13</t>
    </r>
    <r>
      <rPr>
        <sz val="10"/>
        <rFont val="Calibri"/>
        <family val="2"/>
        <scheme val="minor"/>
      </rPr>
      <t xml:space="preserve"> =</t>
    </r>
  </si>
  <si>
    <r>
      <t>A</t>
    </r>
    <r>
      <rPr>
        <vertAlign val="subscript"/>
        <sz val="10"/>
        <rFont val="Calibri"/>
        <family val="2"/>
        <scheme val="minor"/>
      </rPr>
      <t>31</t>
    </r>
    <r>
      <rPr>
        <sz val="10"/>
        <rFont val="Calibri"/>
        <family val="2"/>
        <scheme val="minor"/>
      </rPr>
      <t xml:space="preserve"> =</t>
    </r>
  </si>
  <si>
    <r>
      <t>A</t>
    </r>
    <r>
      <rPr>
        <vertAlign val="subscript"/>
        <sz val="10"/>
        <rFont val="Calibri"/>
        <family val="2"/>
        <scheme val="minor"/>
      </rPr>
      <t>32</t>
    </r>
    <r>
      <rPr>
        <sz val="10"/>
        <rFont val="Calibri"/>
        <family val="2"/>
        <scheme val="minor"/>
      </rPr>
      <t xml:space="preserve"> =</t>
    </r>
  </si>
  <si>
    <r>
      <t>A</t>
    </r>
    <r>
      <rPr>
        <vertAlign val="subscript"/>
        <sz val="10"/>
        <rFont val="Calibri"/>
        <family val="2"/>
        <scheme val="minor"/>
      </rPr>
      <t>23</t>
    </r>
    <r>
      <rPr>
        <sz val="10"/>
        <rFont val="Calibri"/>
        <family val="2"/>
        <scheme val="minor"/>
      </rPr>
      <t xml:space="preserve"> =</t>
    </r>
  </si>
  <si>
    <r>
      <t>A</t>
    </r>
    <r>
      <rPr>
        <vertAlign val="subscript"/>
        <sz val="10"/>
        <rFont val="Calibri"/>
        <family val="2"/>
        <scheme val="minor"/>
      </rPr>
      <t>33</t>
    </r>
    <r>
      <rPr>
        <sz val="10"/>
        <rFont val="Calibri"/>
        <family val="2"/>
        <scheme val="minor"/>
      </rPr>
      <t xml:space="preserve"> =</t>
    </r>
  </si>
  <si>
    <r>
      <t>B</t>
    </r>
    <r>
      <rPr>
        <vertAlign val="subscript"/>
        <sz val="10"/>
        <rFont val="Calibri"/>
        <family val="2"/>
        <scheme val="minor"/>
      </rPr>
      <t>11</t>
    </r>
    <r>
      <rPr>
        <sz val="10"/>
        <rFont val="Calibri"/>
        <family val="2"/>
        <scheme val="minor"/>
      </rPr>
      <t xml:space="preserve"> =</t>
    </r>
  </si>
  <si>
    <r>
      <t>B</t>
    </r>
    <r>
      <rPr>
        <vertAlign val="subscript"/>
        <sz val="10"/>
        <rFont val="Calibri"/>
        <family val="2"/>
        <scheme val="minor"/>
      </rPr>
      <t>22</t>
    </r>
    <r>
      <rPr>
        <sz val="10"/>
        <rFont val="Calibri"/>
        <family val="2"/>
        <scheme val="minor"/>
      </rPr>
      <t xml:space="preserve"> =</t>
    </r>
  </si>
  <si>
    <r>
      <t>B</t>
    </r>
    <r>
      <rPr>
        <vertAlign val="subscript"/>
        <sz val="10"/>
        <rFont val="Calibri"/>
        <family val="2"/>
        <scheme val="minor"/>
      </rPr>
      <t>12</t>
    </r>
    <r>
      <rPr>
        <sz val="10"/>
        <rFont val="Calibri"/>
        <family val="2"/>
        <scheme val="minor"/>
      </rPr>
      <t xml:space="preserve"> =</t>
    </r>
  </si>
  <si>
    <r>
      <t>B</t>
    </r>
    <r>
      <rPr>
        <vertAlign val="subscript"/>
        <sz val="10"/>
        <rFont val="Calibri"/>
        <family val="2"/>
        <scheme val="minor"/>
      </rPr>
      <t>21</t>
    </r>
    <r>
      <rPr>
        <sz val="10"/>
        <rFont val="Calibri"/>
        <family val="2"/>
        <scheme val="minor"/>
      </rPr>
      <t xml:space="preserve"> =</t>
    </r>
  </si>
  <si>
    <r>
      <t>B</t>
    </r>
    <r>
      <rPr>
        <vertAlign val="subscript"/>
        <sz val="10"/>
        <rFont val="Calibri"/>
        <family val="2"/>
        <scheme val="minor"/>
      </rPr>
      <t>13</t>
    </r>
    <r>
      <rPr>
        <sz val="10"/>
        <rFont val="Calibri"/>
        <family val="2"/>
        <scheme val="minor"/>
      </rPr>
      <t xml:space="preserve"> =</t>
    </r>
  </si>
  <si>
    <r>
      <t>B</t>
    </r>
    <r>
      <rPr>
        <vertAlign val="subscript"/>
        <sz val="10"/>
        <rFont val="Calibri"/>
        <family val="2"/>
        <scheme val="minor"/>
      </rPr>
      <t>31</t>
    </r>
    <r>
      <rPr>
        <sz val="10"/>
        <rFont val="Calibri"/>
        <family val="2"/>
        <scheme val="minor"/>
      </rPr>
      <t xml:space="preserve"> =</t>
    </r>
  </si>
  <si>
    <r>
      <t>B</t>
    </r>
    <r>
      <rPr>
        <vertAlign val="subscript"/>
        <sz val="10"/>
        <rFont val="Calibri"/>
        <family val="2"/>
        <scheme val="minor"/>
      </rPr>
      <t>32</t>
    </r>
    <r>
      <rPr>
        <sz val="10"/>
        <rFont val="Calibri"/>
        <family val="2"/>
        <scheme val="minor"/>
      </rPr>
      <t xml:space="preserve"> =</t>
    </r>
  </si>
  <si>
    <r>
      <t>B</t>
    </r>
    <r>
      <rPr>
        <vertAlign val="subscript"/>
        <sz val="10"/>
        <rFont val="Calibri"/>
        <family val="2"/>
        <scheme val="minor"/>
      </rPr>
      <t>23</t>
    </r>
    <r>
      <rPr>
        <sz val="10"/>
        <rFont val="Calibri"/>
        <family val="2"/>
        <scheme val="minor"/>
      </rPr>
      <t xml:space="preserve"> =</t>
    </r>
  </si>
  <si>
    <r>
      <t>B</t>
    </r>
    <r>
      <rPr>
        <vertAlign val="subscript"/>
        <sz val="10"/>
        <rFont val="Calibri"/>
        <family val="2"/>
        <scheme val="minor"/>
      </rPr>
      <t>33</t>
    </r>
    <r>
      <rPr>
        <sz val="10"/>
        <rFont val="Calibri"/>
        <family val="2"/>
        <scheme val="minor"/>
      </rPr>
      <t xml:space="preserve"> =</t>
    </r>
  </si>
  <si>
    <r>
      <t>D</t>
    </r>
    <r>
      <rPr>
        <vertAlign val="subscript"/>
        <sz val="10"/>
        <rFont val="Calibri"/>
        <family val="2"/>
        <scheme val="minor"/>
      </rPr>
      <t>11</t>
    </r>
    <r>
      <rPr>
        <sz val="10"/>
        <rFont val="Calibri"/>
        <family val="2"/>
        <scheme val="minor"/>
      </rPr>
      <t xml:space="preserve"> =</t>
    </r>
  </si>
  <si>
    <r>
      <t>D</t>
    </r>
    <r>
      <rPr>
        <vertAlign val="subscript"/>
        <sz val="10"/>
        <rFont val="Calibri"/>
        <family val="2"/>
        <scheme val="minor"/>
      </rPr>
      <t>22</t>
    </r>
    <r>
      <rPr>
        <sz val="10"/>
        <rFont val="Calibri"/>
        <family val="2"/>
        <scheme val="minor"/>
      </rPr>
      <t xml:space="preserve"> =</t>
    </r>
  </si>
  <si>
    <r>
      <t>D</t>
    </r>
    <r>
      <rPr>
        <vertAlign val="subscript"/>
        <sz val="10"/>
        <rFont val="Calibri"/>
        <family val="2"/>
        <scheme val="minor"/>
      </rPr>
      <t>12</t>
    </r>
    <r>
      <rPr>
        <sz val="10"/>
        <rFont val="Calibri"/>
        <family val="2"/>
        <scheme val="minor"/>
      </rPr>
      <t xml:space="preserve"> =</t>
    </r>
  </si>
  <si>
    <r>
      <t>D</t>
    </r>
    <r>
      <rPr>
        <vertAlign val="subscript"/>
        <sz val="10"/>
        <rFont val="Calibri"/>
        <family val="2"/>
        <scheme val="minor"/>
      </rPr>
      <t>21</t>
    </r>
    <r>
      <rPr>
        <sz val="10"/>
        <rFont val="Calibri"/>
        <family val="2"/>
        <scheme val="minor"/>
      </rPr>
      <t xml:space="preserve"> =</t>
    </r>
  </si>
  <si>
    <r>
      <t>D</t>
    </r>
    <r>
      <rPr>
        <vertAlign val="subscript"/>
        <sz val="10"/>
        <rFont val="Calibri"/>
        <family val="2"/>
        <scheme val="minor"/>
      </rPr>
      <t>13</t>
    </r>
    <r>
      <rPr>
        <sz val="10"/>
        <rFont val="Calibri"/>
        <family val="2"/>
        <scheme val="minor"/>
      </rPr>
      <t xml:space="preserve"> =</t>
    </r>
  </si>
  <si>
    <r>
      <t>D</t>
    </r>
    <r>
      <rPr>
        <vertAlign val="subscript"/>
        <sz val="10"/>
        <rFont val="Calibri"/>
        <family val="2"/>
        <scheme val="minor"/>
      </rPr>
      <t>31</t>
    </r>
    <r>
      <rPr>
        <sz val="10"/>
        <rFont val="Calibri"/>
        <family val="2"/>
        <scheme val="minor"/>
      </rPr>
      <t xml:space="preserve"> =</t>
    </r>
  </si>
  <si>
    <r>
      <t>D</t>
    </r>
    <r>
      <rPr>
        <vertAlign val="subscript"/>
        <sz val="10"/>
        <rFont val="Calibri"/>
        <family val="2"/>
        <scheme val="minor"/>
      </rPr>
      <t>32</t>
    </r>
    <r>
      <rPr>
        <sz val="10"/>
        <rFont val="Calibri"/>
        <family val="2"/>
        <scheme val="minor"/>
      </rPr>
      <t xml:space="preserve"> =</t>
    </r>
  </si>
  <si>
    <r>
      <t>D</t>
    </r>
    <r>
      <rPr>
        <vertAlign val="subscript"/>
        <sz val="10"/>
        <rFont val="Calibri"/>
        <family val="2"/>
        <scheme val="minor"/>
      </rPr>
      <t>23</t>
    </r>
    <r>
      <rPr>
        <sz val="10"/>
        <rFont val="Calibri"/>
        <family val="2"/>
        <scheme val="minor"/>
      </rPr>
      <t xml:space="preserve"> =</t>
    </r>
  </si>
  <si>
    <r>
      <t>D</t>
    </r>
    <r>
      <rPr>
        <vertAlign val="subscript"/>
        <sz val="10"/>
        <rFont val="Calibri"/>
        <family val="2"/>
        <scheme val="minor"/>
      </rPr>
      <t>33</t>
    </r>
    <r>
      <rPr>
        <sz val="10"/>
        <rFont val="Calibri"/>
        <family val="2"/>
        <scheme val="minor"/>
      </rPr>
      <t xml:space="preserve"> =</t>
    </r>
  </si>
  <si>
    <r>
      <t>E</t>
    </r>
    <r>
      <rPr>
        <vertAlign val="subscript"/>
        <sz val="8"/>
        <rFont val="Calibri"/>
        <family val="2"/>
        <scheme val="minor"/>
      </rPr>
      <t>av11</t>
    </r>
    <r>
      <rPr>
        <sz val="8"/>
        <rFont val="Calibri"/>
        <family val="2"/>
        <scheme val="minor"/>
      </rPr>
      <t xml:space="preserve"> =</t>
    </r>
  </si>
  <si>
    <r>
      <t>E</t>
    </r>
    <r>
      <rPr>
        <vertAlign val="subscript"/>
        <sz val="8"/>
        <rFont val="Calibri"/>
        <family val="2"/>
        <scheme val="minor"/>
      </rPr>
      <t>av22</t>
    </r>
    <r>
      <rPr>
        <sz val="8"/>
        <rFont val="Calibri"/>
        <family val="2"/>
        <scheme val="minor"/>
      </rPr>
      <t xml:space="preserve"> =</t>
    </r>
  </si>
  <si>
    <r>
      <t>v</t>
    </r>
    <r>
      <rPr>
        <vertAlign val="subscript"/>
        <sz val="10"/>
        <rFont val="Calibri"/>
        <family val="2"/>
        <scheme val="minor"/>
      </rPr>
      <t>12</t>
    </r>
    <r>
      <rPr>
        <sz val="10"/>
        <rFont val="Calibri"/>
        <family val="2"/>
        <scheme val="minor"/>
      </rPr>
      <t xml:space="preserve"> =</t>
    </r>
  </si>
  <si>
    <r>
      <t>v</t>
    </r>
    <r>
      <rPr>
        <vertAlign val="subscript"/>
        <sz val="10"/>
        <rFont val="Calibri"/>
        <family val="2"/>
        <scheme val="minor"/>
      </rPr>
      <t>21</t>
    </r>
    <r>
      <rPr>
        <sz val="10"/>
        <rFont val="Calibri"/>
        <family val="2"/>
        <scheme val="minor"/>
      </rPr>
      <t xml:space="preserve"> =</t>
    </r>
  </si>
  <si>
    <r>
      <t>G</t>
    </r>
    <r>
      <rPr>
        <vertAlign val="subscript"/>
        <sz val="10"/>
        <rFont val="Calibri"/>
        <family val="2"/>
        <scheme val="minor"/>
      </rPr>
      <t>12</t>
    </r>
    <r>
      <rPr>
        <sz val="10"/>
        <rFont val="Calibri"/>
        <family val="2"/>
        <scheme val="minor"/>
      </rPr>
      <t xml:space="preserve"> =</t>
    </r>
  </si>
  <si>
    <r>
      <t>Ftu</t>
    </r>
    <r>
      <rPr>
        <vertAlign val="subscript"/>
        <sz val="10"/>
        <rFont val="Calibri"/>
        <family val="2"/>
        <scheme val="minor"/>
      </rPr>
      <t>1</t>
    </r>
    <r>
      <rPr>
        <sz val="10"/>
        <rFont val="Calibri"/>
        <family val="2"/>
        <scheme val="minor"/>
      </rPr>
      <t xml:space="preserve"> =</t>
    </r>
  </si>
  <si>
    <r>
      <t>Ftu</t>
    </r>
    <r>
      <rPr>
        <vertAlign val="subscript"/>
        <sz val="10"/>
        <rFont val="Calibri"/>
        <family val="2"/>
        <scheme val="minor"/>
      </rPr>
      <t>2</t>
    </r>
    <r>
      <rPr>
        <sz val="10"/>
        <rFont val="Calibri"/>
        <family val="2"/>
        <scheme val="minor"/>
      </rPr>
      <t xml:space="preserve"> =</t>
    </r>
  </si>
  <si>
    <r>
      <t>Fcu</t>
    </r>
    <r>
      <rPr>
        <vertAlign val="subscript"/>
        <sz val="10"/>
        <rFont val="Calibri"/>
        <family val="2"/>
        <scheme val="minor"/>
      </rPr>
      <t>1</t>
    </r>
    <r>
      <rPr>
        <sz val="10"/>
        <rFont val="Calibri"/>
        <family val="2"/>
        <scheme val="minor"/>
      </rPr>
      <t xml:space="preserve"> =</t>
    </r>
  </si>
  <si>
    <r>
      <t>Fcu</t>
    </r>
    <r>
      <rPr>
        <vertAlign val="subscript"/>
        <sz val="10"/>
        <rFont val="Calibri"/>
        <family val="2"/>
        <scheme val="minor"/>
      </rPr>
      <t>2</t>
    </r>
    <r>
      <rPr>
        <sz val="10"/>
        <rFont val="Calibri"/>
        <family val="2"/>
        <scheme val="minor"/>
      </rPr>
      <t xml:space="preserve"> =</t>
    </r>
  </si>
  <si>
    <r>
      <t>Fsu</t>
    </r>
    <r>
      <rPr>
        <vertAlign val="subscript"/>
        <sz val="10"/>
        <rFont val="Calibri"/>
        <family val="2"/>
        <scheme val="minor"/>
      </rPr>
      <t>12</t>
    </r>
    <r>
      <rPr>
        <sz val="10"/>
        <rFont val="Calibri"/>
        <family val="2"/>
        <scheme val="minor"/>
      </rPr>
      <t xml:space="preserve"> =</t>
    </r>
  </si>
  <si>
    <r>
      <t>Q</t>
    </r>
    <r>
      <rPr>
        <vertAlign val="subscript"/>
        <sz val="10"/>
        <rFont val="Calibri"/>
        <family val="2"/>
        <scheme val="minor"/>
      </rPr>
      <t>11</t>
    </r>
    <r>
      <rPr>
        <sz val="10"/>
        <rFont val="Calibri"/>
        <family val="2"/>
        <scheme val="minor"/>
      </rPr>
      <t xml:space="preserve"> =</t>
    </r>
  </si>
  <si>
    <r>
      <t>Q</t>
    </r>
    <r>
      <rPr>
        <vertAlign val="subscript"/>
        <sz val="10"/>
        <rFont val="Calibri"/>
        <family val="2"/>
        <scheme val="minor"/>
      </rPr>
      <t>22</t>
    </r>
    <r>
      <rPr>
        <sz val="10"/>
        <rFont val="Calibri"/>
        <family val="2"/>
        <scheme val="minor"/>
      </rPr>
      <t xml:space="preserve"> =</t>
    </r>
  </si>
  <si>
    <r>
      <t>Q</t>
    </r>
    <r>
      <rPr>
        <vertAlign val="subscript"/>
        <sz val="10"/>
        <rFont val="Calibri"/>
        <family val="2"/>
        <scheme val="minor"/>
      </rPr>
      <t>12</t>
    </r>
    <r>
      <rPr>
        <sz val="10"/>
        <rFont val="Calibri"/>
        <family val="2"/>
        <scheme val="minor"/>
      </rPr>
      <t xml:space="preserve"> =</t>
    </r>
  </si>
  <si>
    <r>
      <t>Q</t>
    </r>
    <r>
      <rPr>
        <vertAlign val="subscript"/>
        <sz val="10"/>
        <rFont val="Calibri"/>
        <family val="2"/>
        <scheme val="minor"/>
      </rPr>
      <t>21</t>
    </r>
    <r>
      <rPr>
        <sz val="10"/>
        <rFont val="Calibri"/>
        <family val="2"/>
        <scheme val="minor"/>
      </rPr>
      <t xml:space="preserve"> =</t>
    </r>
  </si>
  <si>
    <r>
      <t>Q</t>
    </r>
    <r>
      <rPr>
        <vertAlign val="subscript"/>
        <sz val="10"/>
        <rFont val="Calibri"/>
        <family val="2"/>
        <scheme val="minor"/>
      </rPr>
      <t>13</t>
    </r>
    <r>
      <rPr>
        <sz val="10"/>
        <rFont val="Calibri"/>
        <family val="2"/>
        <scheme val="minor"/>
      </rPr>
      <t xml:space="preserve"> =</t>
    </r>
  </si>
  <si>
    <r>
      <t>Q</t>
    </r>
    <r>
      <rPr>
        <vertAlign val="subscript"/>
        <sz val="10"/>
        <rFont val="Calibri"/>
        <family val="2"/>
        <scheme val="minor"/>
      </rPr>
      <t>31</t>
    </r>
    <r>
      <rPr>
        <sz val="10"/>
        <rFont val="Calibri"/>
        <family val="2"/>
        <scheme val="minor"/>
      </rPr>
      <t xml:space="preserve"> =</t>
    </r>
  </si>
  <si>
    <r>
      <t>Q</t>
    </r>
    <r>
      <rPr>
        <vertAlign val="subscript"/>
        <sz val="10"/>
        <rFont val="Calibri"/>
        <family val="2"/>
        <scheme val="minor"/>
      </rPr>
      <t>32</t>
    </r>
    <r>
      <rPr>
        <sz val="10"/>
        <rFont val="Calibri"/>
        <family val="2"/>
        <scheme val="minor"/>
      </rPr>
      <t xml:space="preserve"> =</t>
    </r>
  </si>
  <si>
    <r>
      <t>Q</t>
    </r>
    <r>
      <rPr>
        <vertAlign val="subscript"/>
        <sz val="10"/>
        <rFont val="Calibri"/>
        <family val="2"/>
        <scheme val="minor"/>
      </rPr>
      <t>23</t>
    </r>
    <r>
      <rPr>
        <sz val="10"/>
        <rFont val="Calibri"/>
        <family val="2"/>
        <scheme val="minor"/>
      </rPr>
      <t xml:space="preserve"> =</t>
    </r>
  </si>
  <si>
    <r>
      <t>Q</t>
    </r>
    <r>
      <rPr>
        <vertAlign val="subscript"/>
        <sz val="10"/>
        <rFont val="Calibri"/>
        <family val="2"/>
        <scheme val="minor"/>
      </rPr>
      <t>33</t>
    </r>
    <r>
      <rPr>
        <sz val="10"/>
        <rFont val="Calibri"/>
        <family val="2"/>
        <scheme val="minor"/>
      </rPr>
      <t xml:space="preserve"> =</t>
    </r>
  </si>
  <si>
    <t>Ply</t>
  </si>
  <si>
    <t>Number</t>
  </si>
  <si>
    <t>D</t>
  </si>
  <si>
    <t>Pre-Preg S-Glass Cloth</t>
  </si>
  <si>
    <t>R. Abbott</t>
  </si>
  <si>
    <t>IR</t>
  </si>
  <si>
    <t>Number of Plies</t>
  </si>
  <si>
    <t>Number of Zeros</t>
  </si>
  <si>
    <t>Total Report Pages:</t>
  </si>
  <si>
    <t>Section Number:</t>
  </si>
  <si>
    <t>Sheet Name</t>
  </si>
  <si>
    <t>IMPORTANT INFORMATION</t>
  </si>
  <si>
    <t>Report Title:</t>
  </si>
  <si>
    <t>Title:</t>
  </si>
  <si>
    <t>About us:</t>
  </si>
  <si>
    <t xml:space="preserve"> spreadsheets@abbottaerospace.com</t>
  </si>
  <si>
    <t>Proprietary information:</t>
  </si>
  <si>
    <t>Average Laminate Strain Allowables</t>
  </si>
  <si>
    <t>Compression</t>
  </si>
  <si>
    <t>Tension</t>
  </si>
  <si>
    <t>(CAI)</t>
  </si>
  <si>
    <t>(OHT)</t>
  </si>
  <si>
    <t>HOT WET</t>
  </si>
  <si>
    <t>HOT</t>
  </si>
  <si>
    <t>ROOM TEMP</t>
  </si>
  <si>
    <t>COLD</t>
  </si>
  <si>
    <t>STANDARD SPREADSHEET METHOD</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</si>
  <si>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</si>
  <si>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</si>
  <si>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</si>
  <si>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</si>
  <si>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AA-SM-101-007</t>
  </si>
  <si>
    <t>LAMINATE PHYSICAL PROPERTIES - KT AT HOLE</t>
  </si>
  <si>
    <t>KT =</t>
  </si>
  <si>
    <t>A Matrix</t>
  </si>
  <si>
    <t>B Matrix</t>
  </si>
  <si>
    <t>D Matrix</t>
  </si>
  <si>
    <t>Eₓₓ =</t>
  </si>
  <si>
    <t>Eᵧᵧ =</t>
  </si>
  <si>
    <t>Gₓᵧ =</t>
  </si>
  <si>
    <t>vᵧₓ =</t>
  </si>
  <si>
    <t>vₓᵧ =</t>
  </si>
  <si>
    <t>A₁₁ =</t>
  </si>
  <si>
    <t>A₂₂ =</t>
  </si>
  <si>
    <t>A₁₂ =</t>
  </si>
  <si>
    <t>A₃₃ =</t>
  </si>
  <si>
    <t>Ref Seng C. Tan, Stress Concentrations in Laminated Composites</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</si>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</sst>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
    <numFmt numFmtId="166" formatCode="0.0000"/>
    <numFmt numFmtId="167" formatCode="0.00000"/>
    <numFmt numFmtId="168" formatCode="0.000E+00"/>
    <numFmt numFmtId="169" formatCode="0.0E+00"/>
  </numFmts>
  <fonts count="30" x14ac:knownFonts="1">
    <font>
      <sz val="10"/>
      <name val="Arial"/>
    </font>
    <font>
      <sz val="11"/>
      <color theme="1"/>
      <name val="Calibri"/>
      <family val="2"/>
      <scheme val="minor"/>
    </font>
    <font>
      <sz val="10"/>
      <name val="Arial"/>
      <family val="2"/>
    </font>
    <font>
      <sz val="10"/>
      <name val="Arial"/>
      <family val="2"/>
    </font>
    <font>
      <sz val="8"/>
      <name val="Arial"/>
      <family val="2"/>
    </font>
    <font>
      <b/>
      <sz val="10"/>
      <name val="Arial"/>
      <family val="2"/>
    </font>
    <font>
      <b/>
      <sz val="8"/>
      <name val="Arial"/>
      <family val="2"/>
    </font>
    <font>
      <vertAlign val="subscript"/>
      <sz val="8"/>
      <name val="Arial"/>
      <family val="2"/>
    </font>
    <font>
      <sz val="10"/>
      <color indexed="14"/>
      <name val="Arial"/>
      <family val="2"/>
    </font>
    <font>
      <sz val="10"/>
      <name val="Arial"/>
      <family val="2"/>
    </font>
    <font>
      <sz val="10"/>
      <name val="Calibri"/>
      <family val="2"/>
      <scheme val="minor"/>
    </font>
    <font>
      <b/>
      <sz val="10"/>
      <name val="Calibri"/>
      <family val="2"/>
      <scheme val="minor"/>
    </font>
    <font>
      <sz val="12"/>
      <name val="Calibri"/>
      <family val="2"/>
      <scheme val="minor"/>
    </font>
    <font>
      <b/>
      <sz val="12"/>
      <name val="Calibri"/>
      <family val="2"/>
      <scheme val="minor"/>
    </font>
    <font>
      <vertAlign val="subscript"/>
      <sz val="10"/>
      <name val="Calibri"/>
      <family val="2"/>
      <scheme val="minor"/>
    </font>
    <font>
      <sz val="8"/>
      <name val="Calibri"/>
      <family val="2"/>
      <scheme val="minor"/>
    </font>
    <font>
      <vertAlign val="subscript"/>
      <sz val="8"/>
      <name val="Calibri"/>
      <family val="2"/>
      <scheme val="minor"/>
    </font>
    <font>
      <b/>
      <sz val="10"/>
      <color indexed="12"/>
      <name val="Calibri"/>
      <family val="2"/>
      <scheme val="minor"/>
    </font>
    <font>
      <sz val="10"/>
      <color rgb="FF0000FF"/>
      <name val="Calibri"/>
      <family val="2"/>
      <scheme val="minor"/>
    </font>
    <font>
      <sz val="10"/>
      <color indexed="12"/>
      <name val="Calibri"/>
      <family val="2"/>
      <scheme val="minor"/>
    </font>
    <font>
      <b/>
      <sz val="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b/>
      <i/>
      <u/>
      <sz val="10"/>
      <color theme="10"/>
      <name val="Calibri"/>
      <family val="2"/>
    </font>
    <font>
      <i/>
      <sz val="10"/>
      <name val="Calibri"/>
      <family val="2"/>
      <scheme val="minor"/>
    </font>
    <font>
      <u/>
      <sz val="10"/>
      <color theme="10"/>
      <name val="Arial"/>
    </font>
    <font>
      <u/>
      <sz val="10"/>
      <color theme="10"/>
      <name val="Calibri"/>
      <family val="2"/>
      <scheme val="minor"/>
    </font>
  </fonts>
  <fills count="2">
    <fill>
      <patternFill patternType="none"/>
    </fill>
    <fill>
      <patternFill patternType="gray125"/>
    </fill>
  </fills>
  <borders count="24">
    <border>
      <left/>
      <right/>
      <top/>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indexed="64"/>
      </right>
      <top/>
      <bottom style="thin">
        <color theme="0" tint="-0.34998626667073579"/>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0">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4" fillId="0" borderId="0" applyNumberFormat="0" applyFill="0" applyBorder="0" applyAlignment="0" applyProtection="0">
      <alignment vertical="top"/>
      <protection locked="0"/>
    </xf>
    <xf numFmtId="0" fontId="1" fillId="0" borderId="0"/>
    <xf numFmtId="0" fontId="28" fillId="0" borderId="0" applyNumberFormat="0" applyFill="0" applyBorder="0" applyAlignment="0" applyProtection="0"/>
    <xf numFmtId="0" fontId="24" fillId="0" borderId="0" applyNumberFormat="0" applyFill="0" applyBorder="0" applyAlignment="0" applyProtection="0">
      <alignment vertical="top"/>
      <protection locked="0"/>
    </xf>
  </cellStyleXfs>
  <cellXfs count="229">
    <xf numFmtId="0" fontId="0" fillId="0" borderId="0" xfId="0"/>
    <xf numFmtId="0" fontId="0" fillId="0" borderId="1" xfId="0" applyBorder="1" applyAlignment="1">
      <alignment horizontal="center"/>
    </xf>
    <xf numFmtId="2" fontId="0" fillId="0" borderId="0" xfId="0" applyNumberFormat="1" applyFill="1" applyAlignment="1">
      <alignment horizontal="center"/>
    </xf>
    <xf numFmtId="0" fontId="0" fillId="0" borderId="0" xfId="0" applyAlignment="1">
      <alignment horizontal="center"/>
    </xf>
    <xf numFmtId="0" fontId="5" fillId="0" borderId="0" xfId="0" applyFont="1"/>
    <xf numFmtId="0" fontId="3" fillId="0" borderId="0" xfId="0" applyFont="1" applyFill="1" applyAlignment="1">
      <alignment horizontal="center"/>
    </xf>
    <xf numFmtId="0" fontId="3" fillId="0" borderId="0" xfId="0" applyFont="1" applyFill="1"/>
    <xf numFmtId="165" fontId="0" fillId="0" borderId="0" xfId="0" applyNumberFormat="1" applyAlignment="1">
      <alignment horizontal="center"/>
    </xf>
    <xf numFmtId="0" fontId="4" fillId="0" borderId="0" xfId="0" applyFont="1" applyFill="1" applyBorder="1" applyProtection="1"/>
    <xf numFmtId="0" fontId="6" fillId="0" borderId="0" xfId="0" applyFont="1" applyFill="1" applyBorder="1" applyProtection="1"/>
    <xf numFmtId="165" fontId="0" fillId="0" borderId="0" xfId="0" applyNumberFormat="1" applyFill="1" applyAlignment="1">
      <alignment horizontal="center"/>
    </xf>
    <xf numFmtId="0" fontId="4" fillId="0" borderId="0" xfId="0" applyFont="1" applyBorder="1" applyAlignment="1" applyProtection="1">
      <alignment horizontal="left"/>
    </xf>
    <xf numFmtId="0" fontId="4" fillId="0" borderId="0" xfId="0" applyFont="1" applyBorder="1" applyAlignment="1">
      <alignment horizontal="left"/>
    </xf>
    <xf numFmtId="165" fontId="8" fillId="0" borderId="0" xfId="0" applyNumberFormat="1" applyFont="1" applyFill="1" applyAlignment="1">
      <alignment horizontal="center"/>
    </xf>
    <xf numFmtId="2" fontId="8" fillId="0" borderId="0" xfId="0" applyNumberFormat="1" applyFont="1" applyFill="1" applyAlignment="1">
      <alignment horizontal="center"/>
    </xf>
    <xf numFmtId="0" fontId="8" fillId="0" borderId="0" xfId="0" applyFont="1" applyAlignment="1">
      <alignment horizontal="center"/>
    </xf>
    <xf numFmtId="165" fontId="8" fillId="0" borderId="0" xfId="0" applyNumberFormat="1" applyFont="1" applyAlignment="1">
      <alignment horizontal="center"/>
    </xf>
    <xf numFmtId="2" fontId="8" fillId="0" borderId="0" xfId="0" applyNumberFormat="1" applyFont="1" applyAlignment="1">
      <alignment horizontal="center"/>
    </xf>
    <xf numFmtId="0" fontId="8" fillId="0" borderId="0" xfId="0" applyFont="1"/>
    <xf numFmtId="2" fontId="2" fillId="0" borderId="0" xfId="0" applyNumberFormat="1" applyFont="1" applyFill="1" applyAlignment="1">
      <alignment horizontal="center"/>
    </xf>
    <xf numFmtId="0" fontId="2" fillId="0" borderId="1" xfId="0" applyFont="1" applyBorder="1" applyAlignment="1">
      <alignment horizontal="center"/>
    </xf>
    <xf numFmtId="165" fontId="0" fillId="0" borderId="0" xfId="0" applyNumberFormat="1"/>
    <xf numFmtId="166" fontId="0" fillId="0" borderId="0" xfId="0" applyNumberFormat="1" applyFill="1" applyAlignment="1">
      <alignment horizontal="center"/>
    </xf>
    <xf numFmtId="167" fontId="0" fillId="0" borderId="0" xfId="0" applyNumberFormat="1" applyFill="1" applyAlignment="1">
      <alignment horizontal="center"/>
    </xf>
    <xf numFmtId="0" fontId="4" fillId="0" borderId="0" xfId="0" applyFont="1" applyFill="1" applyBorder="1" applyAlignment="1">
      <alignment horizontal="left"/>
    </xf>
    <xf numFmtId="164" fontId="8" fillId="0" borderId="0" xfId="0" applyNumberFormat="1" applyFont="1" applyFill="1" applyAlignment="1">
      <alignment horizontal="center"/>
    </xf>
    <xf numFmtId="0" fontId="2" fillId="0" borderId="0" xfId="0" applyFont="1" applyFill="1" applyAlignment="1">
      <alignment horizontal="center"/>
    </xf>
    <xf numFmtId="165" fontId="9" fillId="0" borderId="0" xfId="0" applyNumberFormat="1" applyFont="1" applyFill="1" applyAlignment="1">
      <alignment horizontal="center"/>
    </xf>
    <xf numFmtId="164" fontId="9" fillId="0" borderId="0" xfId="0" applyNumberFormat="1" applyFont="1" applyFill="1" applyAlignment="1">
      <alignment horizontal="center"/>
    </xf>
    <xf numFmtId="164" fontId="9" fillId="0" borderId="0" xfId="0" applyNumberFormat="1" applyFont="1" applyAlignment="1">
      <alignment horizontal="center"/>
    </xf>
    <xf numFmtId="2" fontId="9" fillId="0" borderId="0" xfId="0" applyNumberFormat="1" applyFont="1" applyFill="1" applyAlignment="1">
      <alignment horizontal="center"/>
    </xf>
    <xf numFmtId="167" fontId="9" fillId="0" borderId="0" xfId="0" applyNumberFormat="1" applyFont="1" applyFill="1" applyAlignment="1">
      <alignment horizontal="center"/>
    </xf>
    <xf numFmtId="0" fontId="9" fillId="0" borderId="1" xfId="0" applyFont="1" applyBorder="1" applyAlignment="1">
      <alignment horizontal="center"/>
    </xf>
    <xf numFmtId="165" fontId="9" fillId="0" borderId="0" xfId="0" applyNumberFormat="1" applyFont="1" applyAlignment="1">
      <alignment horizontal="center"/>
    </xf>
    <xf numFmtId="2" fontId="9" fillId="0" borderId="0" xfId="0" applyNumberFormat="1" applyFont="1" applyFill="1" applyBorder="1" applyAlignment="1">
      <alignment horizontal="center"/>
    </xf>
    <xf numFmtId="2" fontId="9" fillId="0" borderId="0" xfId="0" applyNumberFormat="1" applyFont="1" applyAlignment="1">
      <alignment horizontal="center"/>
    </xf>
    <xf numFmtId="0" fontId="9" fillId="0" borderId="0" xfId="0" applyFont="1"/>
    <xf numFmtId="166" fontId="9" fillId="0" borderId="0" xfId="0" applyNumberFormat="1" applyFont="1" applyFill="1" applyAlignment="1">
      <alignment horizontal="center"/>
    </xf>
    <xf numFmtId="166" fontId="0" fillId="0" borderId="0" xfId="0" applyNumberFormat="1" applyAlignment="1">
      <alignment horizontal="center"/>
    </xf>
    <xf numFmtId="0" fontId="10" fillId="0" borderId="0" xfId="2" applyFont="1"/>
    <xf numFmtId="0" fontId="10" fillId="0" borderId="0" xfId="2" applyFont="1" applyAlignment="1">
      <alignment horizontal="right"/>
    </xf>
    <xf numFmtId="0" fontId="11" fillId="0" borderId="0" xfId="2" applyFont="1" applyAlignment="1">
      <alignment horizontal="left"/>
    </xf>
    <xf numFmtId="0" fontId="11" fillId="0" borderId="0" xfId="2" applyFont="1"/>
    <xf numFmtId="0" fontId="10" fillId="0" borderId="4" xfId="2" applyFont="1" applyBorder="1" applyAlignment="1">
      <alignment horizontal="center"/>
    </xf>
    <xf numFmtId="0" fontId="11" fillId="0" borderId="0" xfId="2" applyFont="1" applyAlignment="1">
      <alignment horizontal="right"/>
    </xf>
    <xf numFmtId="0" fontId="10" fillId="0" borderId="4" xfId="0" applyFont="1" applyBorder="1"/>
    <xf numFmtId="0" fontId="10" fillId="0" borderId="4" xfId="0" applyFont="1" applyBorder="1" applyAlignment="1">
      <alignment horizontal="center"/>
    </xf>
    <xf numFmtId="0" fontId="12" fillId="0" borderId="0" xfId="0" applyFont="1" applyProtection="1"/>
    <xf numFmtId="0" fontId="10" fillId="0" borderId="0" xfId="0" applyFont="1" applyBorder="1" applyProtection="1"/>
    <xf numFmtId="0" fontId="10" fillId="0" borderId="2" xfId="0" applyFont="1" applyBorder="1" applyProtection="1"/>
    <xf numFmtId="0" fontId="10" fillId="0" borderId="3" xfId="0" applyFont="1" applyBorder="1" applyProtection="1"/>
    <xf numFmtId="0" fontId="10" fillId="0" borderId="0" xfId="0" applyFont="1" applyProtection="1"/>
    <xf numFmtId="0" fontId="10" fillId="0" borderId="4" xfId="0" applyFont="1" applyBorder="1" applyProtection="1"/>
    <xf numFmtId="0" fontId="10" fillId="0" borderId="5" xfId="0" applyFont="1" applyBorder="1" applyProtection="1"/>
    <xf numFmtId="0" fontId="12" fillId="0" borderId="0" xfId="0" applyFont="1" applyBorder="1" applyProtection="1"/>
    <xf numFmtId="0" fontId="10" fillId="0" borderId="5" xfId="0" applyFont="1" applyBorder="1" applyAlignment="1" applyProtection="1"/>
    <xf numFmtId="0" fontId="10" fillId="0" borderId="4" xfId="0" applyFont="1" applyBorder="1" applyAlignment="1" applyProtection="1"/>
    <xf numFmtId="0" fontId="10" fillId="0" borderId="0" xfId="0" applyFont="1" applyAlignment="1" applyProtection="1"/>
    <xf numFmtId="0" fontId="10" fillId="0" borderId="0" xfId="0" applyFont="1" applyAlignment="1" applyProtection="1">
      <alignment horizontal="center"/>
    </xf>
    <xf numFmtId="0" fontId="11" fillId="0" borderId="0" xfId="0" applyFont="1" applyBorder="1" applyProtection="1"/>
    <xf numFmtId="0" fontId="10" fillId="0" borderId="5" xfId="0" applyFont="1" applyBorder="1" applyAlignment="1" applyProtection="1">
      <alignment horizontal="center"/>
    </xf>
    <xf numFmtId="0" fontId="10" fillId="0" borderId="0" xfId="0" applyFont="1" applyBorder="1" applyAlignment="1" applyProtection="1">
      <alignment horizontal="center"/>
    </xf>
    <xf numFmtId="0" fontId="10" fillId="0" borderId="7" xfId="0" applyFont="1" applyBorder="1" applyAlignment="1" applyProtection="1">
      <alignment horizontal="center"/>
    </xf>
    <xf numFmtId="0" fontId="10" fillId="0" borderId="4" xfId="0" applyFont="1" applyBorder="1" applyAlignment="1" applyProtection="1">
      <alignment horizontal="center"/>
    </xf>
    <xf numFmtId="0" fontId="10" fillId="0" borderId="0" xfId="0" applyFont="1" applyBorder="1" applyAlignment="1" applyProtection="1">
      <alignment horizontal="left"/>
    </xf>
    <xf numFmtId="2" fontId="10" fillId="0" borderId="0" xfId="0" applyNumberFormat="1" applyFont="1" applyBorder="1" applyAlignment="1" applyProtection="1">
      <alignment horizontal="center"/>
    </xf>
    <xf numFmtId="0" fontId="11" fillId="0" borderId="0" xfId="0" applyFont="1" applyBorder="1" applyAlignment="1" applyProtection="1">
      <alignment horizontal="left"/>
    </xf>
    <xf numFmtId="0" fontId="10" fillId="0" borderId="0" xfId="0" applyFont="1" applyBorder="1" applyAlignment="1" applyProtection="1">
      <alignment horizontal="right"/>
      <protection locked="0"/>
    </xf>
    <xf numFmtId="0" fontId="15" fillId="0" borderId="0" xfId="0" applyFont="1" applyBorder="1" applyAlignment="1" applyProtection="1">
      <alignment horizontal="left"/>
    </xf>
    <xf numFmtId="0" fontId="10" fillId="0" borderId="7" xfId="0" applyFont="1" applyBorder="1" applyProtection="1"/>
    <xf numFmtId="1" fontId="11" fillId="0" borderId="5" xfId="0" applyNumberFormat="1" applyFont="1" applyBorder="1" applyAlignment="1" applyProtection="1">
      <alignment horizontal="center"/>
    </xf>
    <xf numFmtId="1" fontId="11" fillId="0" borderId="0" xfId="0" applyNumberFormat="1" applyFont="1" applyBorder="1" applyAlignment="1" applyProtection="1">
      <alignment horizontal="center"/>
    </xf>
    <xf numFmtId="1" fontId="11" fillId="0" borderId="7" xfId="0" applyNumberFormat="1" applyFont="1" applyBorder="1" applyAlignment="1" applyProtection="1">
      <alignment horizontal="center"/>
    </xf>
    <xf numFmtId="1" fontId="11" fillId="0" borderId="4" xfId="0" applyNumberFormat="1" applyFont="1" applyBorder="1" applyAlignment="1" applyProtection="1">
      <alignment horizontal="center"/>
    </xf>
    <xf numFmtId="0" fontId="11" fillId="0" borderId="0" xfId="0" applyFont="1" applyBorder="1" applyAlignment="1" applyProtection="1">
      <alignment horizontal="center"/>
    </xf>
    <xf numFmtId="0" fontId="10" fillId="0" borderId="0" xfId="0" applyFont="1" applyFill="1" applyBorder="1" applyAlignment="1" applyProtection="1">
      <alignment horizontal="center"/>
    </xf>
    <xf numFmtId="1" fontId="10" fillId="0" borderId="0" xfId="0" applyNumberFormat="1" applyFont="1" applyBorder="1" applyAlignment="1" applyProtection="1">
      <alignment horizontal="center"/>
    </xf>
    <xf numFmtId="2" fontId="10" fillId="0" borderId="0" xfId="0" applyNumberFormat="1" applyFont="1" applyAlignment="1" applyProtection="1">
      <alignment horizontal="center"/>
    </xf>
    <xf numFmtId="0" fontId="10" fillId="0" borderId="0" xfId="0" applyFont="1" applyBorder="1" applyProtection="1">
      <protection locked="0"/>
    </xf>
    <xf numFmtId="0" fontId="10" fillId="0" borderId="0" xfId="0" applyFont="1" applyAlignment="1" applyProtection="1">
      <alignment horizontal="right"/>
    </xf>
    <xf numFmtId="166" fontId="10" fillId="0" borderId="0" xfId="0" applyNumberFormat="1" applyFont="1" applyAlignment="1" applyProtection="1">
      <alignment horizontal="center"/>
    </xf>
    <xf numFmtId="1" fontId="10" fillId="0" borderId="0" xfId="0" applyNumberFormat="1" applyFont="1" applyAlignment="1" applyProtection="1">
      <alignment horizontal="center"/>
    </xf>
    <xf numFmtId="1" fontId="10" fillId="0" borderId="5" xfId="0" applyNumberFormat="1" applyFont="1" applyBorder="1" applyAlignment="1" applyProtection="1">
      <alignment horizontal="center"/>
    </xf>
    <xf numFmtId="1" fontId="10" fillId="0" borderId="7" xfId="0" applyNumberFormat="1" applyFont="1" applyBorder="1" applyAlignment="1" applyProtection="1">
      <alignment horizontal="center"/>
    </xf>
    <xf numFmtId="1" fontId="10" fillId="0" borderId="4" xfId="0" applyNumberFormat="1" applyFont="1" applyBorder="1" applyAlignment="1" applyProtection="1">
      <alignment horizontal="center"/>
    </xf>
    <xf numFmtId="1" fontId="10" fillId="0" borderId="5" xfId="0" applyNumberFormat="1" applyFont="1" applyFill="1" applyBorder="1" applyAlignment="1" applyProtection="1">
      <alignment horizontal="center"/>
    </xf>
    <xf numFmtId="1" fontId="10" fillId="0" borderId="0" xfId="0" applyNumberFormat="1" applyFont="1" applyFill="1" applyBorder="1" applyAlignment="1" applyProtection="1">
      <alignment horizontal="center"/>
    </xf>
    <xf numFmtId="1" fontId="10" fillId="0" borderId="7" xfId="0" applyNumberFormat="1" applyFont="1" applyFill="1" applyBorder="1" applyAlignment="1" applyProtection="1">
      <alignment horizontal="center"/>
    </xf>
    <xf numFmtId="0" fontId="10" fillId="0" borderId="0" xfId="0" applyFont="1" applyBorder="1" applyAlignment="1" applyProtection="1">
      <alignment horizontal="right"/>
    </xf>
    <xf numFmtId="166" fontId="10" fillId="0" borderId="0" xfId="0" applyNumberFormat="1" applyFont="1" applyBorder="1" applyAlignment="1" applyProtection="1">
      <alignment horizontal="center"/>
    </xf>
    <xf numFmtId="165" fontId="10" fillId="0" borderId="0" xfId="0" applyNumberFormat="1" applyFont="1" applyBorder="1" applyAlignment="1" applyProtection="1">
      <alignment horizontal="center"/>
    </xf>
    <xf numFmtId="169" fontId="10" fillId="0" borderId="0" xfId="0" applyNumberFormat="1" applyFont="1" applyBorder="1" applyProtection="1"/>
    <xf numFmtId="9" fontId="11" fillId="0" borderId="0" xfId="1" applyFont="1" applyBorder="1" applyAlignment="1" applyProtection="1">
      <alignment horizontal="center"/>
    </xf>
    <xf numFmtId="2" fontId="10" fillId="0" borderId="0" xfId="0" applyNumberFormat="1" applyFont="1" applyFill="1" applyBorder="1" applyAlignment="1" applyProtection="1">
      <alignment horizontal="center"/>
    </xf>
    <xf numFmtId="2" fontId="10" fillId="0" borderId="0" xfId="0" applyNumberFormat="1" applyFont="1" applyBorder="1" applyProtection="1"/>
    <xf numFmtId="165" fontId="10" fillId="0" borderId="0" xfId="0" applyNumberFormat="1" applyFont="1" applyAlignment="1" applyProtection="1">
      <alignment horizontal="center"/>
    </xf>
    <xf numFmtId="9" fontId="10" fillId="0" borderId="0" xfId="1" applyFont="1" applyBorder="1" applyAlignment="1" applyProtection="1">
      <alignment horizontal="center"/>
    </xf>
    <xf numFmtId="1" fontId="10" fillId="0" borderId="6" xfId="0" applyNumberFormat="1" applyFont="1" applyBorder="1" applyAlignment="1" applyProtection="1">
      <alignment horizontal="center"/>
    </xf>
    <xf numFmtId="1" fontId="10" fillId="0" borderId="8" xfId="0" applyNumberFormat="1" applyFont="1" applyBorder="1" applyAlignment="1" applyProtection="1">
      <alignment horizontal="center"/>
    </xf>
    <xf numFmtId="0" fontId="10" fillId="0" borderId="0" xfId="0" quotePrefix="1" applyFont="1" applyProtection="1"/>
    <xf numFmtId="9" fontId="10" fillId="0" borderId="0" xfId="1" applyFont="1" applyProtection="1"/>
    <xf numFmtId="0" fontId="10" fillId="0" borderId="0" xfId="0" applyFont="1" applyFill="1" applyBorder="1" applyAlignment="1" applyProtection="1">
      <alignment horizontal="left"/>
    </xf>
    <xf numFmtId="168" fontId="10" fillId="0" borderId="0" xfId="0" applyNumberFormat="1" applyFont="1" applyProtection="1"/>
    <xf numFmtId="0" fontId="10" fillId="0" borderId="0" xfId="0" applyFont="1" applyBorder="1" applyAlignment="1" applyProtection="1"/>
    <xf numFmtId="0" fontId="10" fillId="0" borderId="0" xfId="0" applyFont="1" applyFill="1" applyAlignment="1" applyProtection="1">
      <alignment horizontal="center"/>
    </xf>
    <xf numFmtId="0" fontId="10" fillId="0" borderId="0" xfId="0" applyFont="1" applyFill="1" applyProtection="1"/>
    <xf numFmtId="1" fontId="10" fillId="0" borderId="0" xfId="0" applyNumberFormat="1" applyFont="1" applyBorder="1" applyProtection="1"/>
    <xf numFmtId="0" fontId="10" fillId="0" borderId="0" xfId="0" applyFont="1" applyProtection="1">
      <protection locked="0"/>
    </xf>
    <xf numFmtId="167" fontId="10" fillId="0" borderId="0" xfId="0" applyNumberFormat="1" applyFont="1" applyBorder="1" applyAlignment="1" applyProtection="1">
      <alignment horizontal="left"/>
    </xf>
    <xf numFmtId="164" fontId="10" fillId="0" borderId="0" xfId="0" applyNumberFormat="1" applyFont="1" applyBorder="1" applyProtection="1"/>
    <xf numFmtId="166" fontId="10" fillId="0" borderId="0" xfId="0" applyNumberFormat="1" applyFont="1" applyBorder="1" applyProtection="1"/>
    <xf numFmtId="0" fontId="10" fillId="0" borderId="0" xfId="0" applyFont="1" applyAlignment="1" applyProtection="1">
      <alignment horizontal="right"/>
      <protection locked="0"/>
    </xf>
    <xf numFmtId="0" fontId="12" fillId="0" borderId="0" xfId="0" applyFont="1" applyAlignment="1" applyProtection="1"/>
    <xf numFmtId="0" fontId="15" fillId="0" borderId="0" xfId="0" applyFont="1" applyAlignment="1" applyProtection="1">
      <alignment horizontal="right"/>
    </xf>
    <xf numFmtId="0" fontId="15" fillId="0" borderId="0" xfId="0" applyFont="1" applyProtection="1"/>
    <xf numFmtId="1" fontId="10" fillId="0" borderId="0" xfId="0" applyNumberFormat="1" applyFont="1" applyProtection="1">
      <protection locked="0"/>
    </xf>
    <xf numFmtId="164" fontId="10" fillId="0" borderId="0" xfId="0" applyNumberFormat="1" applyFont="1" applyProtection="1">
      <protection locked="0"/>
    </xf>
    <xf numFmtId="1" fontId="10" fillId="0" borderId="9" xfId="0" applyNumberFormat="1" applyFont="1" applyBorder="1" applyAlignment="1" applyProtection="1">
      <alignment horizontal="center"/>
      <protection locked="0"/>
    </xf>
    <xf numFmtId="1" fontId="10" fillId="0" borderId="10" xfId="0" applyNumberFormat="1" applyFont="1" applyBorder="1" applyAlignment="1" applyProtection="1">
      <alignment horizontal="center"/>
      <protection locked="0"/>
    </xf>
    <xf numFmtId="1" fontId="10" fillId="0" borderId="11" xfId="0" applyNumberFormat="1" applyFont="1" applyBorder="1" applyAlignment="1" applyProtection="1">
      <alignment horizontal="center"/>
      <protection locked="0"/>
    </xf>
    <xf numFmtId="1" fontId="10" fillId="0" borderId="12" xfId="0" applyNumberFormat="1" applyFont="1" applyBorder="1" applyAlignment="1" applyProtection="1">
      <alignment horizontal="center"/>
      <protection locked="0"/>
    </xf>
    <xf numFmtId="1" fontId="10" fillId="0" borderId="0" xfId="0" applyNumberFormat="1" applyFont="1" applyBorder="1" applyAlignment="1" applyProtection="1">
      <alignment horizontal="center"/>
      <protection locked="0"/>
    </xf>
    <xf numFmtId="1" fontId="10" fillId="0" borderId="13" xfId="0" applyNumberFormat="1" applyFont="1" applyBorder="1" applyAlignment="1" applyProtection="1">
      <alignment horizontal="center"/>
      <protection locked="0"/>
    </xf>
    <xf numFmtId="1" fontId="10" fillId="0" borderId="14" xfId="0" applyNumberFormat="1" applyFont="1" applyBorder="1" applyAlignment="1" applyProtection="1">
      <alignment horizontal="center"/>
      <protection locked="0"/>
    </xf>
    <xf numFmtId="1" fontId="10" fillId="0" borderId="15" xfId="0" applyNumberFormat="1" applyFont="1" applyBorder="1" applyAlignment="1" applyProtection="1">
      <alignment horizontal="center"/>
      <protection locked="0"/>
    </xf>
    <xf numFmtId="1" fontId="10" fillId="0" borderId="16" xfId="0" applyNumberFormat="1" applyFont="1" applyBorder="1" applyAlignment="1" applyProtection="1">
      <alignment horizontal="center"/>
      <protection locked="0"/>
    </xf>
    <xf numFmtId="0" fontId="10" fillId="0" borderId="0" xfId="0" applyFont="1" applyBorder="1" applyAlignment="1" applyProtection="1">
      <protection locked="0"/>
    </xf>
    <xf numFmtId="0" fontId="11" fillId="0" borderId="0" xfId="0" applyFont="1" applyAlignment="1" applyProtection="1">
      <protection locked="0"/>
    </xf>
    <xf numFmtId="0" fontId="17" fillId="0" borderId="0" xfId="0" applyFont="1" applyBorder="1" applyAlignment="1" applyProtection="1">
      <protection locked="0"/>
    </xf>
    <xf numFmtId="0" fontId="10" fillId="0" borderId="0" xfId="0" applyFont="1" applyBorder="1" applyAlignment="1" applyProtection="1">
      <alignment horizontal="right" indent="1"/>
    </xf>
    <xf numFmtId="0" fontId="10" fillId="0" borderId="0" xfId="0" applyFont="1" applyAlignment="1" applyProtection="1">
      <alignment horizontal="left" indent="1"/>
    </xf>
    <xf numFmtId="165" fontId="2" fillId="0" borderId="0" xfId="0" applyNumberFormat="1" applyFont="1" applyAlignment="1">
      <alignment horizontal="center"/>
    </xf>
    <xf numFmtId="0" fontId="10" fillId="0" borderId="0" xfId="0" applyFont="1" applyBorder="1" applyAlignment="1" applyProtection="1">
      <alignment horizontal="center"/>
      <protection locked="0"/>
    </xf>
    <xf numFmtId="164" fontId="8" fillId="0" borderId="0" xfId="0" applyNumberFormat="1" applyFont="1" applyAlignment="1">
      <alignment horizontal="center"/>
    </xf>
    <xf numFmtId="0" fontId="11" fillId="0" borderId="0" xfId="0" applyFont="1" applyFill="1" applyBorder="1" applyAlignment="1" applyProtection="1">
      <alignment horizontal="left"/>
    </xf>
    <xf numFmtId="2" fontId="11" fillId="0" borderId="0" xfId="0" applyNumberFormat="1" applyFont="1" applyBorder="1" applyAlignment="1" applyProtection="1">
      <alignment horizontal="left"/>
    </xf>
    <xf numFmtId="167" fontId="10" fillId="0" borderId="0" xfId="0" applyNumberFormat="1" applyFont="1" applyBorder="1" applyProtection="1"/>
    <xf numFmtId="169" fontId="10" fillId="0" borderId="0" xfId="0" applyNumberFormat="1" applyFont="1" applyBorder="1" applyAlignment="1" applyProtection="1">
      <alignment horizontal="center"/>
    </xf>
    <xf numFmtId="11" fontId="10" fillId="0" borderId="0" xfId="0" applyNumberFormat="1" applyFont="1" applyBorder="1" applyAlignment="1" applyProtection="1">
      <alignment horizontal="center"/>
    </xf>
    <xf numFmtId="0" fontId="11" fillId="0" borderId="0" xfId="0" applyFont="1" applyBorder="1" applyAlignment="1" applyProtection="1">
      <alignment horizontal="center"/>
      <protection locked="0"/>
    </xf>
    <xf numFmtId="0" fontId="20" fillId="0" borderId="0" xfId="0" applyFont="1" applyBorder="1" applyProtection="1">
      <protection locked="0"/>
    </xf>
    <xf numFmtId="1" fontId="10" fillId="0" borderId="17" xfId="0" applyNumberFormat="1" applyFont="1" applyBorder="1" applyAlignment="1" applyProtection="1">
      <alignment horizontal="center"/>
    </xf>
    <xf numFmtId="1" fontId="10" fillId="0" borderId="18" xfId="0" applyNumberFormat="1" applyFont="1" applyBorder="1" applyAlignment="1" applyProtection="1">
      <alignment horizontal="center"/>
    </xf>
    <xf numFmtId="1" fontId="10" fillId="0" borderId="19" xfId="0" applyNumberFormat="1" applyFont="1" applyBorder="1" applyAlignment="1" applyProtection="1">
      <alignment horizontal="center"/>
    </xf>
    <xf numFmtId="1" fontId="10" fillId="0" borderId="20" xfId="0" applyNumberFormat="1" applyFont="1" applyBorder="1" applyAlignment="1" applyProtection="1">
      <alignment horizontal="center"/>
    </xf>
    <xf numFmtId="0" fontId="13" fillId="0" borderId="0" xfId="0" applyFont="1" applyProtection="1"/>
    <xf numFmtId="166" fontId="10" fillId="0" borderId="0" xfId="0" applyNumberFormat="1" applyFont="1" applyFill="1" applyBorder="1" applyAlignment="1" applyProtection="1">
      <alignment horizontal="center"/>
      <protection locked="0"/>
    </xf>
    <xf numFmtId="164" fontId="10" fillId="0" borderId="0" xfId="0" applyNumberFormat="1" applyFont="1" applyFill="1" applyBorder="1" applyAlignment="1" applyProtection="1">
      <alignment horizontal="center"/>
      <protection locked="0"/>
    </xf>
    <xf numFmtId="0" fontId="10" fillId="0" borderId="0" xfId="0" applyFont="1" applyFill="1" applyBorder="1" applyProtection="1">
      <protection locked="0"/>
    </xf>
    <xf numFmtId="1" fontId="10" fillId="0" borderId="0" xfId="1" applyNumberFormat="1" applyFont="1" applyFill="1" applyBorder="1" applyAlignment="1" applyProtection="1">
      <alignment horizontal="center"/>
    </xf>
    <xf numFmtId="0" fontId="19" fillId="0" borderId="0" xfId="0" applyFont="1" applyFill="1" applyBorder="1" applyAlignment="1" applyProtection="1">
      <alignment horizontal="center"/>
      <protection locked="0"/>
    </xf>
    <xf numFmtId="0" fontId="10" fillId="0" borderId="0" xfId="0" applyFont="1" applyFill="1" applyBorder="1" applyAlignment="1" applyProtection="1">
      <protection locked="0"/>
    </xf>
    <xf numFmtId="0" fontId="10" fillId="0" borderId="0" xfId="0" applyFont="1" applyFill="1" applyBorder="1" applyAlignment="1" applyProtection="1">
      <alignment horizontal="right"/>
      <protection locked="0"/>
    </xf>
    <xf numFmtId="164" fontId="11" fillId="0" borderId="0" xfId="0" applyNumberFormat="1" applyFont="1" applyFill="1" applyBorder="1" applyAlignment="1" applyProtection="1">
      <alignment horizontal="left"/>
      <protection locked="0"/>
    </xf>
    <xf numFmtId="2" fontId="11" fillId="0" borderId="0" xfId="0" applyNumberFormat="1" applyFont="1" applyFill="1" applyBorder="1" applyAlignment="1" applyProtection="1">
      <alignment horizontal="left"/>
      <protection locked="0"/>
    </xf>
    <xf numFmtId="0" fontId="17" fillId="0" borderId="0" xfId="0" applyFont="1" applyFill="1" applyBorder="1" applyAlignment="1" applyProtection="1">
      <protection locked="0"/>
    </xf>
    <xf numFmtId="0" fontId="10" fillId="0" borderId="0" xfId="2" applyFont="1" applyProtection="1"/>
    <xf numFmtId="0" fontId="10" fillId="0" borderId="0" xfId="2" applyFont="1" applyBorder="1" applyProtection="1"/>
    <xf numFmtId="0" fontId="10" fillId="0" borderId="0" xfId="2" applyFont="1" applyAlignment="1" applyProtection="1">
      <alignment horizontal="right"/>
    </xf>
    <xf numFmtId="0" fontId="10" fillId="0" borderId="0" xfId="2" applyFont="1" applyFill="1" applyBorder="1" applyAlignment="1" applyProtection="1">
      <protection locked="0"/>
    </xf>
    <xf numFmtId="0" fontId="11" fillId="0" borderId="0" xfId="2" applyFont="1" applyProtection="1"/>
    <xf numFmtId="0" fontId="10" fillId="0" borderId="0" xfId="4" applyFont="1" applyProtection="1">
      <protection locked="0"/>
    </xf>
    <xf numFmtId="0" fontId="10" fillId="0" borderId="0" xfId="4" applyFont="1" applyAlignment="1" applyProtection="1">
      <alignment horizontal="right"/>
      <protection locked="0"/>
    </xf>
    <xf numFmtId="0" fontId="21" fillId="0" borderId="0" xfId="4" applyFont="1" applyProtection="1">
      <protection locked="0"/>
    </xf>
    <xf numFmtId="0" fontId="21" fillId="0" borderId="0" xfId="4" applyFont="1" applyAlignment="1" applyProtection="1">
      <alignment horizontal="left"/>
      <protection locked="0"/>
    </xf>
    <xf numFmtId="0" fontId="10" fillId="0" borderId="0" xfId="4" applyFont="1"/>
    <xf numFmtId="0" fontId="10" fillId="0" borderId="0" xfId="4" applyFont="1" applyAlignment="1">
      <alignment horizontal="right"/>
    </xf>
    <xf numFmtId="0" fontId="11" fillId="0" borderId="0" xfId="4" applyFont="1" applyAlignment="1">
      <alignment horizontal="left"/>
    </xf>
    <xf numFmtId="14" fontId="21" fillId="0" borderId="0" xfId="4" quotePrefix="1" applyNumberFormat="1" applyFont="1" applyProtection="1">
      <protection locked="0"/>
    </xf>
    <xf numFmtId="0" fontId="22" fillId="0" borderId="0" xfId="4" applyFont="1" applyAlignment="1" applyProtection="1">
      <alignment horizontal="left"/>
      <protection locked="0"/>
    </xf>
    <xf numFmtId="0" fontId="10" fillId="0" borderId="0" xfId="5" applyFont="1"/>
    <xf numFmtId="0" fontId="11" fillId="0" borderId="0" xfId="4" applyFont="1"/>
    <xf numFmtId="0" fontId="11" fillId="0" borderId="0" xfId="4" quotePrefix="1" applyFont="1" applyAlignment="1">
      <alignment vertical="center"/>
    </xf>
    <xf numFmtId="0" fontId="11" fillId="0" borderId="0" xfId="4" applyFont="1" applyAlignment="1">
      <alignment vertical="center"/>
    </xf>
    <xf numFmtId="0" fontId="10" fillId="0" borderId="0" xfId="4" applyFont="1" applyAlignment="1">
      <alignment horizontal="center"/>
    </xf>
    <xf numFmtId="0" fontId="11" fillId="0" borderId="0" xfId="4" applyFont="1" applyAlignment="1">
      <alignment horizontal="right"/>
    </xf>
    <xf numFmtId="0" fontId="12" fillId="0" borderId="0" xfId="4" applyFont="1"/>
    <xf numFmtId="0" fontId="13" fillId="0" borderId="0" xfId="4" applyFont="1"/>
    <xf numFmtId="0" fontId="23" fillId="0" borderId="0" xfId="4" applyFont="1"/>
    <xf numFmtId="0" fontId="10" fillId="0" borderId="0" xfId="4" applyFont="1" applyBorder="1" applyAlignment="1"/>
    <xf numFmtId="0" fontId="23" fillId="0" borderId="0" xfId="4" applyFont="1" applyBorder="1" applyAlignment="1"/>
    <xf numFmtId="0" fontId="20" fillId="0" borderId="0" xfId="0" applyFont="1" applyBorder="1" applyAlignment="1" applyProtection="1">
      <alignment horizontal="center"/>
      <protection locked="0"/>
    </xf>
    <xf numFmtId="0" fontId="17" fillId="0" borderId="0" xfId="0" applyFont="1" applyFill="1" applyBorder="1" applyAlignment="1" applyProtection="1">
      <alignment horizontal="center"/>
      <protection locked="0"/>
    </xf>
    <xf numFmtId="0" fontId="10" fillId="0" borderId="0" xfId="0" applyFont="1" applyAlignment="1"/>
    <xf numFmtId="0" fontId="11" fillId="0" borderId="0" xfId="0" applyFont="1" applyFill="1" applyProtection="1"/>
    <xf numFmtId="0" fontId="11" fillId="0" borderId="0" xfId="0" quotePrefix="1" applyFont="1" applyFill="1" applyProtection="1"/>
    <xf numFmtId="17" fontId="11" fillId="0" borderId="0" xfId="2" applyNumberFormat="1" applyFont="1"/>
    <xf numFmtId="0" fontId="21" fillId="0" borderId="0" xfId="4" applyFont="1"/>
    <xf numFmtId="0" fontId="22" fillId="0" borderId="0" xfId="4" applyFont="1" applyAlignment="1">
      <alignment horizontal="left"/>
    </xf>
    <xf numFmtId="0" fontId="10" fillId="0" borderId="0" xfId="0" applyFont="1" applyAlignment="1">
      <alignment horizontal="center"/>
    </xf>
    <xf numFmtId="1" fontId="11" fillId="0" borderId="0" xfId="0" applyNumberFormat="1" applyFont="1" applyBorder="1" applyAlignment="1" applyProtection="1">
      <alignment horizontal="right"/>
      <protection locked="0"/>
    </xf>
    <xf numFmtId="0" fontId="11" fillId="0" borderId="0" xfId="0" applyFont="1" applyAlignment="1">
      <alignment horizontal="center"/>
    </xf>
    <xf numFmtId="0" fontId="11" fillId="0" borderId="0" xfId="0" applyFont="1" applyBorder="1" applyProtection="1">
      <protection locked="0"/>
    </xf>
    <xf numFmtId="0" fontId="25" fillId="0" borderId="0" xfId="0" applyFont="1" applyAlignment="1">
      <alignment horizontal="center"/>
    </xf>
    <xf numFmtId="0" fontId="26" fillId="0" borderId="0" xfId="6" applyFont="1" applyBorder="1" applyAlignment="1" applyProtection="1">
      <alignment horizontal="center"/>
      <protection locked="0"/>
    </xf>
    <xf numFmtId="0" fontId="10" fillId="0" borderId="0" xfId="4" applyFont="1" applyBorder="1" applyAlignment="1">
      <alignment horizontal="center"/>
    </xf>
    <xf numFmtId="0" fontId="10" fillId="0" borderId="0" xfId="4" applyFont="1" applyBorder="1"/>
    <xf numFmtId="0" fontId="10" fillId="0" borderId="0" xfId="4" applyFont="1" applyBorder="1" applyAlignment="1">
      <alignment horizontal="right"/>
    </xf>
    <xf numFmtId="0" fontId="11" fillId="0" borderId="0" xfId="4" applyFont="1" applyBorder="1" applyAlignment="1">
      <alignment horizontal="left"/>
    </xf>
    <xf numFmtId="0" fontId="10" fillId="0" borderId="0" xfId="5" applyFont="1" applyBorder="1" applyAlignment="1">
      <alignment horizontal="center"/>
    </xf>
    <xf numFmtId="1" fontId="10" fillId="0" borderId="0" xfId="5" applyNumberFormat="1" applyFont="1" applyBorder="1" applyAlignment="1">
      <alignment horizontal="center"/>
    </xf>
    <xf numFmtId="0" fontId="12" fillId="0" borderId="0" xfId="4" applyFont="1" applyBorder="1" applyAlignment="1">
      <alignment horizontal="center"/>
    </xf>
    <xf numFmtId="0" fontId="12" fillId="0" borderId="0" xfId="4" applyFont="1" applyBorder="1"/>
    <xf numFmtId="165" fontId="10" fillId="0" borderId="0" xfId="5" applyNumberFormat="1" applyFont="1" applyBorder="1" applyAlignment="1">
      <alignment horizontal="center"/>
    </xf>
    <xf numFmtId="1" fontId="10" fillId="0" borderId="3" xfId="0" applyNumberFormat="1" applyFont="1" applyBorder="1" applyAlignment="1" applyProtection="1">
      <alignment horizontal="center"/>
    </xf>
    <xf numFmtId="1" fontId="10" fillId="0" borderId="21" xfId="0" applyNumberFormat="1" applyFont="1" applyBorder="1" applyAlignment="1" applyProtection="1">
      <alignment horizontal="center"/>
    </xf>
    <xf numFmtId="1" fontId="10" fillId="0" borderId="22" xfId="0" applyNumberFormat="1" applyFont="1" applyBorder="1" applyAlignment="1" applyProtection="1">
      <alignment horizontal="center"/>
    </xf>
    <xf numFmtId="1" fontId="10" fillId="0" borderId="23" xfId="0" applyNumberFormat="1" applyFont="1" applyBorder="1" applyAlignment="1" applyProtection="1">
      <alignment horizontal="center"/>
    </xf>
    <xf numFmtId="1" fontId="10" fillId="0" borderId="0" xfId="1" applyNumberFormat="1" applyFont="1" applyFill="1" applyBorder="1" applyAlignment="1" applyProtection="1">
      <alignment horizontal="left"/>
    </xf>
    <xf numFmtId="165" fontId="10" fillId="0" borderId="0" xfId="0" applyNumberFormat="1" applyFont="1" applyFill="1" applyAlignment="1" applyProtection="1">
      <alignment horizontal="center"/>
    </xf>
    <xf numFmtId="165" fontId="10" fillId="0" borderId="0" xfId="0" applyNumberFormat="1" applyFont="1" applyFill="1" applyAlignment="1" applyProtection="1"/>
    <xf numFmtId="165" fontId="10" fillId="0" borderId="0" xfId="0" applyNumberFormat="1" applyFont="1" applyAlignment="1"/>
    <xf numFmtId="1" fontId="10" fillId="0" borderId="0" xfId="1" applyNumberFormat="1" applyFont="1" applyFill="1" applyBorder="1" applyAlignment="1" applyProtection="1">
      <alignment horizontal="right"/>
    </xf>
    <xf numFmtId="2" fontId="10" fillId="0" borderId="0" xfId="0" applyNumberFormat="1" applyFont="1" applyFill="1" applyBorder="1" applyAlignment="1" applyProtection="1">
      <alignment horizontal="right"/>
      <protection locked="0"/>
    </xf>
    <xf numFmtId="1" fontId="10" fillId="0" borderId="0" xfId="0" applyNumberFormat="1" applyFont="1" applyFill="1" applyBorder="1" applyAlignment="1" applyProtection="1">
      <alignment horizontal="left"/>
      <protection locked="0"/>
    </xf>
    <xf numFmtId="2" fontId="10" fillId="0" borderId="0" xfId="0" applyNumberFormat="1" applyFont="1" applyAlignment="1" applyProtection="1">
      <alignment horizontal="left"/>
    </xf>
    <xf numFmtId="0" fontId="27" fillId="0" borderId="0" xfId="0" applyFont="1" applyBorder="1" applyAlignment="1" applyProtection="1">
      <protection locked="0"/>
    </xf>
    <xf numFmtId="0" fontId="10" fillId="0" borderId="0" xfId="4" applyFont="1" applyBorder="1" applyAlignment="1">
      <alignment horizontal="left" vertical="top" wrapText="1"/>
    </xf>
    <xf numFmtId="0" fontId="10" fillId="0" borderId="4" xfId="4" applyFont="1" applyBorder="1" applyAlignment="1">
      <alignment horizontal="center"/>
    </xf>
    <xf numFmtId="14" fontId="11" fillId="0" borderId="0" xfId="4" applyNumberFormat="1" applyFont="1"/>
    <xf numFmtId="0" fontId="10" fillId="0" borderId="0" xfId="4" applyFont="1" applyBorder="1" applyAlignment="1">
      <alignment horizontal="left" vertical="top" wrapText="1"/>
    </xf>
    <xf numFmtId="0" fontId="10" fillId="0" borderId="0" xfId="4" applyFont="1" applyBorder="1" applyAlignment="1">
      <alignment horizontal="left" wrapText="1"/>
    </xf>
    <xf numFmtId="0" fontId="18" fillId="0" borderId="0" xfId="0" applyFont="1" applyFill="1" applyBorder="1" applyAlignment="1" applyProtection="1">
      <alignment horizontal="center" shrinkToFit="1"/>
      <protection locked="0"/>
    </xf>
    <xf numFmtId="0" fontId="20" fillId="0" borderId="0" xfId="0" applyFont="1" applyBorder="1" applyAlignment="1" applyProtection="1">
      <alignment horizontal="center"/>
      <protection locked="0"/>
    </xf>
    <xf numFmtId="0" fontId="29" fillId="0" borderId="0" xfId="8" applyFont="1" applyBorder="1" applyAlignment="1" applyProtection="1">
      <alignment horizontal="center"/>
    </xf>
    <xf numFmtId="0" fontId="24" fillId="0" borderId="0" xfId="9" applyBorder="1" applyAlignment="1" applyProtection="1">
      <alignment horizontal="center"/>
    </xf>
    <xf numFmtId="0" fontId="24" fillId="0" borderId="0" xfId="9" applyBorder="1" applyAlignment="1" applyProtection="1">
      <alignment horizontal="center"/>
    </xf>
    <xf numFmtId="0" fontId="28" fillId="0" borderId="0" xfId="8" applyBorder="1" applyAlignment="1">
      <alignment horizontal="center"/>
    </xf>
    <xf numFmtId="0" fontId="24" fillId="0" borderId="0" xfId="9" applyFont="1" applyBorder="1" applyAlignment="1" applyProtection="1">
      <alignment horizontal="center"/>
    </xf>
  </cellXfs>
  <cellStyles count="10">
    <cellStyle name="Hyperlink" xfId="6" builtinId="8"/>
    <cellStyle name="Hyperlink 2" xfId="8"/>
    <cellStyle name="Hyperlink 2 2" xfId="9"/>
    <cellStyle name="Normal" xfId="0" builtinId="0"/>
    <cellStyle name="Normal 2" xfId="2"/>
    <cellStyle name="Normal 2 2" xfId="4"/>
    <cellStyle name="Normal 3" xfId="7"/>
    <cellStyle name="Normal 4" xfId="5"/>
    <cellStyle name="Percent" xfId="1" builtinId="5"/>
    <cellStyle name="Percent 2" xfId="3"/>
  </cellStyles>
  <dxfs count="3">
    <dxf>
      <fill>
        <patternFill>
          <bgColor indexed="26"/>
        </patternFill>
      </fill>
    </dxf>
    <dxf>
      <fill>
        <patternFill>
          <bgColor indexed="47"/>
        </patternFill>
      </fill>
    </dxf>
    <dxf>
      <fill>
        <patternFill>
          <bgColor indexed="41"/>
        </patternFill>
      </fill>
    </dxf>
  </dxfs>
  <tableStyles count="0" defaultTableStyle="TableStyleMedium9" defaultPivotStyle="PivotStyleLight16"/>
  <colors>
    <mruColors>
      <color rgb="FF0000FF"/>
      <color rgb="FFFE62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255684</xdr:colOff>
      <xdr:row>55</xdr:row>
      <xdr:rowOff>180974</xdr:rowOff>
    </xdr:from>
    <xdr:to>
      <xdr:col>27</xdr:col>
      <xdr:colOff>336282</xdr:colOff>
      <xdr:row>58</xdr:row>
      <xdr:rowOff>0</xdr:rowOff>
    </xdr:to>
    <xdr:sp macro="" textlink="">
      <xdr:nvSpPr>
        <xdr:cNvPr id="34" name="Double Bracket 33"/>
        <xdr:cNvSpPr/>
      </xdr:nvSpPr>
      <xdr:spPr>
        <a:xfrm>
          <a:off x="1970184" y="9553574"/>
          <a:ext cx="652098" cy="36195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27</xdr:col>
      <xdr:colOff>0</xdr:colOff>
      <xdr:row>56</xdr:row>
      <xdr:rowOff>0</xdr:rowOff>
    </xdr:from>
    <xdr:to>
      <xdr:col>27</xdr:col>
      <xdr:colOff>0</xdr:colOff>
      <xdr:row>58</xdr:row>
      <xdr:rowOff>0</xdr:rowOff>
    </xdr:to>
    <xdr:cxnSp macro="">
      <xdr:nvCxnSpPr>
        <xdr:cNvPr id="35" name="Straight Connector 34"/>
        <xdr:cNvCxnSpPr/>
      </xdr:nvCxnSpPr>
      <xdr:spPr>
        <a:xfrm>
          <a:off x="1143000" y="13335000"/>
          <a:ext cx="0" cy="323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285750</xdr:colOff>
      <xdr:row>56</xdr:row>
      <xdr:rowOff>177584</xdr:rowOff>
    </xdr:from>
    <xdr:to>
      <xdr:col>27</xdr:col>
      <xdr:colOff>298938</xdr:colOff>
      <xdr:row>56</xdr:row>
      <xdr:rowOff>177584</xdr:rowOff>
    </xdr:to>
    <xdr:cxnSp macro="">
      <xdr:nvCxnSpPr>
        <xdr:cNvPr id="36" name="Straight Connector 35"/>
        <xdr:cNvCxnSpPr/>
      </xdr:nvCxnSpPr>
      <xdr:spPr>
        <a:xfrm>
          <a:off x="2000250" y="9744256"/>
          <a:ext cx="58468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329712</xdr:colOff>
      <xdr:row>56</xdr:row>
      <xdr:rowOff>29308</xdr:rowOff>
    </xdr:from>
    <xdr:ext cx="254942" cy="264560"/>
    <xdr:sp macro="" textlink="">
      <xdr:nvSpPr>
        <xdr:cNvPr id="37" name="TextBox 36"/>
        <xdr:cNvSpPr txBox="1"/>
      </xdr:nvSpPr>
      <xdr:spPr>
        <a:xfrm>
          <a:off x="1472712" y="13364308"/>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100"/>
            <a:t>=</a:t>
          </a:r>
        </a:p>
      </xdr:txBody>
    </xdr:sp>
    <xdr:clientData/>
  </xdr:oneCellAnchor>
  <xdr:twoCellAnchor>
    <xdr:from>
      <xdr:col>0</xdr:col>
      <xdr:colOff>40822</xdr:colOff>
      <xdr:row>7</xdr:row>
      <xdr:rowOff>40821</xdr:rowOff>
    </xdr:from>
    <xdr:to>
      <xdr:col>4</xdr:col>
      <xdr:colOff>66675</xdr:colOff>
      <xdr:row>10</xdr:row>
      <xdr:rowOff>145236</xdr:rowOff>
    </xdr:to>
    <xdr:grpSp>
      <xdr:nvGrpSpPr>
        <xdr:cNvPr id="7" name="Group 6"/>
        <xdr:cNvGrpSpPr/>
      </xdr:nvGrpSpPr>
      <xdr:grpSpPr>
        <a:xfrm>
          <a:off x="40822" y="1367597"/>
          <a:ext cx="2356677" cy="642298"/>
          <a:chOff x="40822" y="1267641"/>
          <a:chExt cx="2570933" cy="630195"/>
        </a:xfrm>
      </xdr:grpSpPr>
      <xdr:pic>
        <xdr:nvPicPr>
          <xdr:cNvPr id="9" name="Picture 8">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N42" sqref="N42"/>
    </sheetView>
  </sheetViews>
  <sheetFormatPr defaultColWidth="9.109375" defaultRowHeight="15.6" x14ac:dyDescent="0.3"/>
  <cols>
    <col min="1" max="2" width="9.109375" style="176"/>
    <col min="3" max="3" width="10.6640625" style="176" bestFit="1" customWidth="1"/>
    <col min="4" max="11" width="9.109375" style="176"/>
    <col min="12" max="12" width="5.44140625" style="165" customWidth="1"/>
    <col min="13" max="17" width="5.33203125" style="199" customWidth="1"/>
    <col min="18" max="19" width="5.33203125" style="200" customWidth="1"/>
    <col min="20" max="25" width="9.109375" style="202"/>
    <col min="26" max="16384" width="9.109375" style="176"/>
  </cols>
  <sheetData>
    <row r="1" spans="1:25" s="165" customFormat="1" ht="13.8" x14ac:dyDescent="0.3">
      <c r="A1" s="161"/>
      <c r="B1" s="162" t="s">
        <v>60</v>
      </c>
      <c r="C1" s="163" t="s">
        <v>119</v>
      </c>
      <c r="D1" s="161"/>
      <c r="E1" s="161"/>
      <c r="F1" s="162" t="s">
        <v>123</v>
      </c>
      <c r="G1" s="164"/>
      <c r="H1" s="161"/>
      <c r="I1" s="161"/>
      <c r="J1" s="161"/>
      <c r="K1" s="161"/>
      <c r="M1" s="195"/>
      <c r="N1" s="195"/>
      <c r="O1" s="195"/>
      <c r="P1" s="195"/>
      <c r="Q1" s="195"/>
      <c r="R1" s="195"/>
      <c r="S1" s="195"/>
      <c r="T1" s="196"/>
      <c r="U1" s="196"/>
      <c r="V1" s="196"/>
      <c r="W1" s="197"/>
      <c r="X1" s="198"/>
      <c r="Y1" s="196"/>
    </row>
    <row r="2" spans="1:25" s="165" customFormat="1" ht="13.8" x14ac:dyDescent="0.3">
      <c r="A2" s="161"/>
      <c r="B2" s="162" t="s">
        <v>62</v>
      </c>
      <c r="C2" s="163" t="s">
        <v>68</v>
      </c>
      <c r="D2" s="161"/>
      <c r="E2" s="161"/>
      <c r="F2" s="162" t="s">
        <v>66</v>
      </c>
      <c r="G2" s="163"/>
      <c r="H2" s="161"/>
      <c r="I2" s="161"/>
      <c r="J2" s="161"/>
      <c r="K2" s="161"/>
      <c r="M2" s="195"/>
      <c r="N2" s="195"/>
      <c r="O2" s="195"/>
      <c r="P2" s="195"/>
      <c r="Q2" s="195"/>
      <c r="R2" s="195"/>
      <c r="S2" s="195"/>
      <c r="T2" s="196"/>
      <c r="U2" s="196"/>
      <c r="V2" s="196"/>
      <c r="W2" s="197"/>
      <c r="X2" s="198"/>
      <c r="Y2" s="196"/>
    </row>
    <row r="3" spans="1:25" s="165" customFormat="1" ht="13.8" x14ac:dyDescent="0.3">
      <c r="A3" s="161"/>
      <c r="B3" s="162" t="s">
        <v>26</v>
      </c>
      <c r="C3" s="168"/>
      <c r="D3" s="161"/>
      <c r="E3" s="161"/>
      <c r="F3" s="162" t="s">
        <v>25</v>
      </c>
      <c r="G3" s="163"/>
      <c r="H3" s="161"/>
      <c r="I3" s="161"/>
      <c r="J3" s="161"/>
      <c r="K3" s="161"/>
      <c r="M3" s="195"/>
      <c r="N3" s="195"/>
      <c r="O3" s="195"/>
      <c r="P3" s="195"/>
      <c r="Q3" s="195"/>
      <c r="R3" s="195"/>
      <c r="S3" s="195"/>
      <c r="T3" s="196"/>
      <c r="U3" s="196"/>
      <c r="V3" s="196"/>
      <c r="W3" s="197"/>
      <c r="X3" s="198"/>
      <c r="Y3" s="196"/>
    </row>
    <row r="4" spans="1:25" s="165" customFormat="1" ht="13.8" x14ac:dyDescent="0.3">
      <c r="A4" s="161"/>
      <c r="B4" s="162" t="s">
        <v>124</v>
      </c>
      <c r="C4" s="164"/>
      <c r="D4" s="161"/>
      <c r="E4" s="161"/>
      <c r="F4" s="162" t="s">
        <v>125</v>
      </c>
      <c r="G4" s="163" t="s">
        <v>126</v>
      </c>
      <c r="H4" s="161"/>
      <c r="I4" s="161"/>
      <c r="J4" s="161"/>
      <c r="K4" s="161"/>
      <c r="M4" s="195"/>
      <c r="N4" s="195"/>
      <c r="O4" s="195"/>
      <c r="P4" s="195"/>
      <c r="Q4" s="199"/>
      <c r="R4" s="200"/>
      <c r="S4" s="200"/>
      <c r="T4" s="196"/>
      <c r="U4" s="196"/>
      <c r="V4" s="196"/>
      <c r="W4" s="197"/>
      <c r="X4" s="198"/>
      <c r="Y4" s="196"/>
    </row>
    <row r="5" spans="1:25" s="165" customFormat="1" ht="13.8" x14ac:dyDescent="0.3">
      <c r="A5" s="161"/>
      <c r="B5" s="162" t="s">
        <v>127</v>
      </c>
      <c r="C5" s="164"/>
      <c r="D5" s="161"/>
      <c r="E5" s="162"/>
      <c r="F5" s="161"/>
      <c r="G5" s="161"/>
      <c r="H5" s="161"/>
      <c r="I5" s="161"/>
      <c r="J5" s="161"/>
      <c r="K5" s="161"/>
      <c r="M5" s="195"/>
      <c r="N5" s="195"/>
      <c r="O5" s="195"/>
      <c r="P5" s="195"/>
      <c r="Q5" s="199"/>
      <c r="R5" s="200"/>
      <c r="S5" s="200"/>
      <c r="T5" s="196"/>
      <c r="U5" s="196"/>
      <c r="V5" s="196"/>
      <c r="W5" s="197"/>
      <c r="X5" s="198"/>
      <c r="Y5" s="196"/>
    </row>
    <row r="6" spans="1:25" s="165" customFormat="1" ht="13.8" x14ac:dyDescent="0.3">
      <c r="A6" s="161"/>
      <c r="B6" s="161" t="s">
        <v>67</v>
      </c>
      <c r="C6" s="169"/>
      <c r="D6" s="161"/>
      <c r="E6" s="161"/>
      <c r="F6" s="161"/>
      <c r="G6" s="161"/>
      <c r="H6" s="161"/>
      <c r="I6" s="161"/>
      <c r="J6" s="161"/>
      <c r="K6" s="161"/>
      <c r="M6" s="195"/>
      <c r="N6" s="195"/>
      <c r="O6" s="195"/>
      <c r="P6" s="195"/>
      <c r="Q6" s="199"/>
      <c r="R6" s="200"/>
      <c r="S6" s="200"/>
      <c r="T6" s="196"/>
      <c r="U6" s="196"/>
      <c r="V6" s="196"/>
      <c r="W6" s="197"/>
      <c r="X6" s="198"/>
      <c r="Y6" s="196"/>
    </row>
    <row r="7" spans="1:25" s="165" customFormat="1" ht="13.8" x14ac:dyDescent="0.3">
      <c r="A7" s="161"/>
      <c r="B7" s="161"/>
      <c r="C7" s="161"/>
      <c r="D7" s="161"/>
      <c r="E7" s="161"/>
      <c r="F7" s="161"/>
      <c r="G7" s="161"/>
      <c r="H7" s="161"/>
      <c r="I7" s="161"/>
      <c r="J7" s="161"/>
      <c r="K7" s="161"/>
      <c r="M7" s="195"/>
      <c r="N7" s="195"/>
      <c r="O7" s="195"/>
      <c r="P7" s="195"/>
      <c r="Q7" s="199"/>
      <c r="R7" s="200"/>
      <c r="S7" s="200"/>
      <c r="T7" s="196"/>
      <c r="U7" s="196"/>
      <c r="V7" s="196"/>
      <c r="W7" s="197"/>
      <c r="X7" s="198"/>
      <c r="Y7" s="196"/>
    </row>
    <row r="8" spans="1:25" s="165" customFormat="1" ht="13.8" x14ac:dyDescent="0.3">
      <c r="A8" s="170"/>
      <c r="E8" s="166"/>
      <c r="F8" s="167"/>
      <c r="H8" s="171"/>
      <c r="I8" s="166"/>
      <c r="J8" s="172"/>
      <c r="K8" s="173"/>
      <c r="L8" s="174"/>
      <c r="M8" s="195"/>
      <c r="N8" s="195"/>
      <c r="O8" s="195"/>
      <c r="P8" s="195"/>
      <c r="Q8" s="199"/>
      <c r="R8" s="200"/>
      <c r="S8" s="200"/>
      <c r="T8" s="196"/>
      <c r="U8" s="196"/>
      <c r="V8" s="196"/>
      <c r="W8" s="196"/>
      <c r="X8" s="196"/>
      <c r="Y8" s="196"/>
    </row>
    <row r="9" spans="1:25" s="165" customFormat="1" ht="13.8" x14ac:dyDescent="0.3">
      <c r="E9" s="166"/>
      <c r="F9" s="171"/>
      <c r="H9" s="171"/>
      <c r="I9" s="166"/>
      <c r="J9" s="173"/>
      <c r="K9" s="173"/>
      <c r="L9" s="174"/>
      <c r="M9" s="195"/>
      <c r="N9" s="195"/>
      <c r="O9" s="195"/>
      <c r="P9" s="195"/>
      <c r="Q9" s="199"/>
      <c r="R9" s="200"/>
      <c r="S9" s="200"/>
      <c r="T9" s="196"/>
      <c r="U9" s="196"/>
      <c r="V9" s="196"/>
      <c r="W9" s="196"/>
      <c r="X9" s="196"/>
      <c r="Y9" s="196"/>
    </row>
    <row r="10" spans="1:25" s="165" customFormat="1" ht="13.8" x14ac:dyDescent="0.3">
      <c r="E10" s="166"/>
      <c r="F10" s="171"/>
      <c r="H10" s="171"/>
      <c r="I10" s="166"/>
      <c r="J10" s="167"/>
      <c r="K10" s="171"/>
      <c r="L10" s="174"/>
      <c r="M10" s="195"/>
      <c r="N10" s="195"/>
      <c r="O10" s="195"/>
      <c r="P10" s="195"/>
      <c r="Q10" s="199"/>
      <c r="R10" s="200"/>
      <c r="S10" s="200"/>
      <c r="T10" s="196"/>
      <c r="U10" s="196"/>
      <c r="V10" s="196"/>
      <c r="W10" s="196"/>
      <c r="X10" s="196"/>
      <c r="Y10" s="196"/>
    </row>
    <row r="11" spans="1:25" s="165" customFormat="1" ht="13.8" x14ac:dyDescent="0.3">
      <c r="E11" s="166"/>
      <c r="F11" s="171"/>
      <c r="I11" s="175"/>
      <c r="J11" s="167"/>
      <c r="M11" s="195"/>
      <c r="N11" s="195"/>
      <c r="O11" s="195"/>
      <c r="P11" s="195"/>
      <c r="Q11" s="195"/>
      <c r="R11" s="195"/>
      <c r="S11" s="195"/>
      <c r="T11" s="196"/>
      <c r="U11" s="196"/>
      <c r="V11" s="196"/>
      <c r="W11" s="196"/>
      <c r="X11" s="196"/>
      <c r="Y11" s="196"/>
    </row>
    <row r="12" spans="1:25" x14ac:dyDescent="0.3">
      <c r="C12" s="177" t="str">
        <f>G4</f>
        <v>IMPORTANT INFORMATION</v>
      </c>
      <c r="M12" s="195"/>
      <c r="N12" s="195"/>
      <c r="O12" s="195"/>
      <c r="P12" s="195"/>
      <c r="Q12" s="201"/>
      <c r="R12" s="201"/>
      <c r="S12" s="201"/>
    </row>
    <row r="13" spans="1:25" s="165" customFormat="1" ht="13.8" x14ac:dyDescent="0.3">
      <c r="M13" s="195"/>
      <c r="N13" s="195"/>
      <c r="O13" s="195"/>
      <c r="P13" s="195"/>
      <c r="Q13" s="195"/>
      <c r="R13" s="195"/>
      <c r="S13" s="195"/>
      <c r="T13" s="196"/>
      <c r="U13" s="196"/>
      <c r="V13" s="196"/>
      <c r="W13" s="196"/>
      <c r="X13" s="196"/>
      <c r="Y13" s="196"/>
    </row>
    <row r="14" spans="1:25" s="165" customFormat="1" ht="13.8" x14ac:dyDescent="0.3">
      <c r="B14" s="178" t="s">
        <v>129</v>
      </c>
      <c r="M14" s="195"/>
      <c r="N14" s="195"/>
      <c r="O14" s="195"/>
      <c r="P14" s="195"/>
      <c r="Q14" s="195"/>
      <c r="R14" s="195"/>
      <c r="S14" s="195"/>
      <c r="T14" s="196"/>
      <c r="U14" s="196"/>
      <c r="V14" s="196"/>
      <c r="W14" s="196"/>
      <c r="X14" s="196"/>
      <c r="Y14" s="196"/>
    </row>
    <row r="15" spans="1:25" s="165" customFormat="1" ht="13.8" x14ac:dyDescent="0.3">
      <c r="A15" s="179"/>
      <c r="K15" s="179"/>
      <c r="M15" s="199"/>
      <c r="N15" s="199"/>
      <c r="O15" s="199"/>
      <c r="P15" s="199"/>
      <c r="Q15" s="199"/>
      <c r="R15" s="200"/>
      <c r="S15" s="200"/>
      <c r="T15" s="196"/>
      <c r="U15" s="196"/>
      <c r="V15" s="196"/>
      <c r="W15" s="196"/>
      <c r="X15" s="196"/>
      <c r="Y15" s="196"/>
    </row>
    <row r="16" spans="1:25" s="165" customFormat="1" ht="12.75" customHeight="1" x14ac:dyDescent="0.3">
      <c r="B16" s="220" t="s">
        <v>162</v>
      </c>
      <c r="C16" s="220"/>
      <c r="D16" s="220"/>
      <c r="E16" s="220"/>
      <c r="F16" s="220"/>
      <c r="G16" s="220"/>
      <c r="H16" s="220"/>
      <c r="I16" s="220"/>
      <c r="J16" s="220"/>
      <c r="M16" s="199"/>
      <c r="N16" s="199"/>
      <c r="O16" s="199"/>
      <c r="P16" s="199"/>
      <c r="Q16" s="199"/>
      <c r="R16" s="200"/>
      <c r="S16" s="200"/>
      <c r="T16" s="196"/>
      <c r="U16" s="196"/>
      <c r="V16" s="196"/>
      <c r="W16" s="196"/>
      <c r="X16" s="196"/>
      <c r="Y16" s="196"/>
    </row>
    <row r="17" spans="1:25" s="165" customFormat="1" ht="13.8" x14ac:dyDescent="0.3">
      <c r="B17" s="220"/>
      <c r="C17" s="220"/>
      <c r="D17" s="220"/>
      <c r="E17" s="220"/>
      <c r="F17" s="220"/>
      <c r="G17" s="220"/>
      <c r="H17" s="220"/>
      <c r="I17" s="220"/>
      <c r="J17" s="220"/>
      <c r="M17" s="199"/>
      <c r="N17" s="199"/>
      <c r="O17" s="199"/>
      <c r="P17" s="199"/>
      <c r="Q17" s="199"/>
      <c r="R17" s="200"/>
      <c r="S17" s="200"/>
      <c r="T17" s="196"/>
      <c r="U17" s="196"/>
      <c r="V17" s="196"/>
      <c r="W17" s="196"/>
      <c r="X17" s="196"/>
      <c r="Y17" s="196"/>
    </row>
    <row r="18" spans="1:25" s="165" customFormat="1" ht="13.8" x14ac:dyDescent="0.3">
      <c r="B18" s="220"/>
      <c r="C18" s="220"/>
      <c r="D18" s="220"/>
      <c r="E18" s="220"/>
      <c r="F18" s="220"/>
      <c r="G18" s="220"/>
      <c r="H18" s="220"/>
      <c r="I18" s="220"/>
      <c r="J18" s="220"/>
      <c r="M18" s="199"/>
      <c r="N18" s="199"/>
      <c r="O18" s="199"/>
      <c r="P18" s="199"/>
      <c r="Q18" s="199"/>
      <c r="R18" s="200"/>
      <c r="S18" s="200"/>
      <c r="T18" s="196"/>
      <c r="U18" s="196"/>
      <c r="V18" s="196"/>
      <c r="W18" s="196"/>
      <c r="X18" s="196"/>
      <c r="Y18" s="196"/>
    </row>
    <row r="19" spans="1:25" s="165" customFormat="1" ht="13.8" x14ac:dyDescent="0.3">
      <c r="B19" s="220"/>
      <c r="C19" s="220"/>
      <c r="D19" s="220"/>
      <c r="E19" s="220"/>
      <c r="F19" s="220"/>
      <c r="G19" s="220"/>
      <c r="H19" s="220"/>
      <c r="I19" s="220"/>
      <c r="J19" s="220"/>
      <c r="M19" s="199"/>
      <c r="N19" s="199"/>
      <c r="O19" s="199"/>
      <c r="P19" s="199"/>
      <c r="Q19" s="199"/>
      <c r="R19" s="200"/>
      <c r="S19" s="200"/>
      <c r="T19" s="196"/>
      <c r="U19" s="196"/>
      <c r="V19" s="196"/>
      <c r="W19" s="196"/>
      <c r="X19" s="196"/>
      <c r="Y19" s="196"/>
    </row>
    <row r="20" spans="1:25" s="165" customFormat="1" ht="12.75" customHeight="1" x14ac:dyDescent="0.3">
      <c r="A20" s="179"/>
      <c r="B20" s="180" t="s">
        <v>144</v>
      </c>
      <c r="C20" s="179"/>
      <c r="D20" s="179"/>
      <c r="E20" s="179"/>
      <c r="F20" s="179"/>
      <c r="G20" s="179"/>
      <c r="H20" s="179"/>
      <c r="I20" s="179"/>
      <c r="J20" s="179"/>
      <c r="K20" s="179"/>
      <c r="M20" s="199"/>
      <c r="N20" s="199"/>
      <c r="O20" s="199"/>
      <c r="P20" s="199"/>
      <c r="Q20" s="199"/>
      <c r="R20" s="200"/>
      <c r="S20" s="200"/>
      <c r="T20" s="196"/>
      <c r="U20" s="196"/>
      <c r="V20" s="196"/>
      <c r="W20" s="196"/>
      <c r="X20" s="196"/>
      <c r="Y20" s="196"/>
    </row>
    <row r="21" spans="1:25" s="165" customFormat="1" ht="13.8" x14ac:dyDescent="0.3">
      <c r="A21" s="179"/>
      <c r="B21" s="180"/>
      <c r="C21" s="179"/>
      <c r="D21" s="179"/>
      <c r="E21" s="179"/>
      <c r="F21" s="179"/>
      <c r="G21" s="179"/>
      <c r="H21" s="179"/>
      <c r="I21" s="179"/>
      <c r="J21" s="179"/>
      <c r="K21" s="179"/>
      <c r="M21" s="199"/>
      <c r="N21" s="199"/>
      <c r="O21" s="199"/>
      <c r="P21" s="199"/>
      <c r="Q21" s="199"/>
      <c r="R21" s="200"/>
      <c r="S21" s="200"/>
      <c r="T21" s="196"/>
      <c r="U21" s="196"/>
      <c r="V21" s="196"/>
      <c r="W21" s="196"/>
      <c r="X21" s="196"/>
      <c r="Y21" s="196"/>
    </row>
    <row r="22" spans="1:25" s="165" customFormat="1" ht="13.8" x14ac:dyDescent="0.3">
      <c r="A22" s="179"/>
      <c r="B22" s="220" t="s">
        <v>163</v>
      </c>
      <c r="C22" s="220"/>
      <c r="D22" s="220"/>
      <c r="E22" s="220"/>
      <c r="F22" s="220"/>
      <c r="G22" s="220"/>
      <c r="H22" s="220"/>
      <c r="I22" s="220"/>
      <c r="J22" s="220"/>
      <c r="K22" s="179"/>
      <c r="M22" s="199"/>
      <c r="N22" s="199"/>
      <c r="O22" s="199"/>
      <c r="P22" s="199"/>
      <c r="Q22" s="199"/>
      <c r="R22" s="200"/>
      <c r="S22" s="200"/>
      <c r="T22" s="196"/>
      <c r="U22" s="196"/>
      <c r="V22" s="196"/>
      <c r="W22" s="196"/>
      <c r="X22" s="196"/>
      <c r="Y22" s="196"/>
    </row>
    <row r="23" spans="1:25" s="165" customFormat="1" ht="13.8" x14ac:dyDescent="0.3">
      <c r="A23" s="179"/>
      <c r="B23" s="220"/>
      <c r="C23" s="220"/>
      <c r="D23" s="220"/>
      <c r="E23" s="220"/>
      <c r="F23" s="220"/>
      <c r="G23" s="220"/>
      <c r="H23" s="220"/>
      <c r="I23" s="220"/>
      <c r="J23" s="220"/>
      <c r="K23" s="179"/>
      <c r="M23" s="199"/>
      <c r="N23" s="199"/>
      <c r="O23" s="199"/>
      <c r="P23" s="199"/>
      <c r="Q23" s="199"/>
      <c r="R23" s="200"/>
      <c r="S23" s="203"/>
      <c r="T23" s="196"/>
      <c r="U23" s="196"/>
      <c r="V23" s="196"/>
      <c r="W23" s="196"/>
      <c r="X23" s="196"/>
      <c r="Y23" s="196"/>
    </row>
    <row r="24" spans="1:25" s="165" customFormat="1" ht="13.8" x14ac:dyDescent="0.3">
      <c r="A24" s="179"/>
      <c r="B24" s="220"/>
      <c r="C24" s="220"/>
      <c r="D24" s="220"/>
      <c r="E24" s="220"/>
      <c r="F24" s="220"/>
      <c r="G24" s="220"/>
      <c r="H24" s="220"/>
      <c r="I24" s="220"/>
      <c r="J24" s="220"/>
      <c r="K24" s="179"/>
      <c r="M24" s="199"/>
      <c r="N24" s="199"/>
      <c r="O24" s="199"/>
      <c r="P24" s="199"/>
      <c r="Q24" s="199"/>
      <c r="R24" s="200"/>
      <c r="S24" s="203"/>
      <c r="T24" s="196"/>
      <c r="U24" s="196"/>
      <c r="V24" s="196"/>
      <c r="W24" s="196"/>
      <c r="X24" s="196"/>
      <c r="Y24" s="196"/>
    </row>
    <row r="25" spans="1:25" s="165" customFormat="1" ht="12.75" customHeight="1" x14ac:dyDescent="0.3">
      <c r="A25" s="179"/>
      <c r="B25" s="217"/>
      <c r="C25" s="217"/>
      <c r="D25" s="217"/>
      <c r="E25" s="217"/>
      <c r="F25" s="224" t="s">
        <v>172</v>
      </c>
      <c r="G25" s="217"/>
      <c r="H25" s="217"/>
      <c r="I25" s="217"/>
      <c r="J25" s="217"/>
      <c r="K25" s="179"/>
      <c r="M25" s="199"/>
      <c r="N25" s="199"/>
      <c r="O25" s="199"/>
      <c r="P25" s="199"/>
      <c r="Q25" s="199"/>
      <c r="R25" s="200"/>
      <c r="S25" s="200"/>
      <c r="T25" s="196"/>
      <c r="U25" s="196"/>
      <c r="V25" s="196"/>
      <c r="W25" s="196"/>
      <c r="X25" s="196"/>
      <c r="Y25" s="196"/>
    </row>
    <row r="26" spans="1:25" s="165" customFormat="1" ht="13.8" x14ac:dyDescent="0.3">
      <c r="A26" s="179"/>
      <c r="B26" s="220" t="s">
        <v>164</v>
      </c>
      <c r="C26" s="220"/>
      <c r="D26" s="220"/>
      <c r="E26" s="220"/>
      <c r="F26" s="220"/>
      <c r="G26" s="220"/>
      <c r="H26" s="220"/>
      <c r="I26" s="220"/>
      <c r="J26" s="220"/>
      <c r="K26" s="179"/>
      <c r="M26" s="199"/>
      <c r="N26" s="199"/>
      <c r="O26" s="199"/>
      <c r="P26" s="199"/>
      <c r="Q26" s="199"/>
      <c r="R26" s="200"/>
      <c r="S26" s="200"/>
      <c r="T26" s="196"/>
      <c r="U26" s="196"/>
      <c r="V26" s="196"/>
      <c r="W26" s="196"/>
      <c r="X26" s="196"/>
      <c r="Y26" s="196"/>
    </row>
    <row r="27" spans="1:25" s="165" customFormat="1" ht="13.8" x14ac:dyDescent="0.3">
      <c r="A27" s="179"/>
      <c r="B27" s="220"/>
      <c r="C27" s="220"/>
      <c r="D27" s="220"/>
      <c r="E27" s="220"/>
      <c r="F27" s="220"/>
      <c r="G27" s="220"/>
      <c r="H27" s="220"/>
      <c r="I27" s="220"/>
      <c r="J27" s="220"/>
      <c r="K27" s="179"/>
      <c r="M27" s="199"/>
      <c r="N27" s="199"/>
      <c r="O27" s="199"/>
      <c r="P27" s="199"/>
      <c r="Q27" s="199"/>
      <c r="R27" s="200"/>
      <c r="S27" s="200"/>
      <c r="T27" s="196"/>
      <c r="U27" s="196"/>
      <c r="V27" s="196"/>
      <c r="W27" s="196"/>
      <c r="X27" s="196"/>
      <c r="Y27" s="196"/>
    </row>
    <row r="28" spans="1:25" s="165" customFormat="1" ht="13.8" x14ac:dyDescent="0.3">
      <c r="A28" s="179"/>
      <c r="B28" s="217"/>
      <c r="C28" s="217"/>
      <c r="D28" s="217"/>
      <c r="E28" s="217"/>
      <c r="F28" s="217"/>
      <c r="G28" s="217"/>
      <c r="H28" s="217"/>
      <c r="I28" s="217"/>
      <c r="J28" s="217"/>
      <c r="K28" s="179"/>
      <c r="M28" s="199"/>
      <c r="N28" s="199"/>
      <c r="O28" s="199"/>
      <c r="P28" s="199"/>
      <c r="Q28" s="199"/>
      <c r="R28" s="200"/>
      <c r="S28" s="200"/>
      <c r="T28" s="196"/>
      <c r="U28" s="196"/>
      <c r="V28" s="196"/>
      <c r="W28" s="196"/>
      <c r="X28" s="196"/>
      <c r="Y28" s="196"/>
    </row>
    <row r="29" spans="1:25" s="165" customFormat="1" ht="13.8" x14ac:dyDescent="0.3">
      <c r="A29" s="179"/>
      <c r="B29" s="220" t="s">
        <v>165</v>
      </c>
      <c r="C29" s="220"/>
      <c r="D29" s="220"/>
      <c r="E29" s="220"/>
      <c r="F29" s="220"/>
      <c r="G29" s="220"/>
      <c r="H29" s="220"/>
      <c r="I29" s="220"/>
      <c r="J29" s="220"/>
      <c r="K29" s="179"/>
      <c r="M29" s="199"/>
      <c r="N29" s="199"/>
      <c r="O29" s="199"/>
      <c r="P29" s="199"/>
      <c r="Q29" s="199"/>
      <c r="R29" s="200"/>
      <c r="S29" s="200"/>
      <c r="T29" s="196"/>
      <c r="U29" s="196"/>
      <c r="V29" s="196"/>
      <c r="W29" s="196"/>
      <c r="X29" s="196"/>
      <c r="Y29" s="196"/>
    </row>
    <row r="30" spans="1:25" s="165" customFormat="1" ht="13.8" x14ac:dyDescent="0.3">
      <c r="A30" s="179"/>
      <c r="B30" s="220"/>
      <c r="C30" s="220"/>
      <c r="D30" s="220"/>
      <c r="E30" s="220"/>
      <c r="F30" s="220"/>
      <c r="G30" s="220"/>
      <c r="H30" s="220"/>
      <c r="I30" s="220"/>
      <c r="J30" s="220"/>
      <c r="K30" s="179"/>
      <c r="M30" s="199"/>
      <c r="N30" s="199"/>
      <c r="O30" s="199"/>
      <c r="P30" s="199"/>
      <c r="Q30" s="199"/>
      <c r="R30" s="200"/>
      <c r="S30" s="200"/>
      <c r="T30" s="196"/>
      <c r="U30" s="196"/>
      <c r="V30" s="196"/>
      <c r="W30" s="196"/>
      <c r="X30" s="196"/>
      <c r="Y30" s="196"/>
    </row>
    <row r="31" spans="1:25" s="165" customFormat="1" ht="12.75" customHeight="1" x14ac:dyDescent="0.3">
      <c r="A31" s="179"/>
      <c r="B31" s="220"/>
      <c r="C31" s="220"/>
      <c r="D31" s="220"/>
      <c r="E31" s="220"/>
      <c r="F31" s="220"/>
      <c r="G31" s="220"/>
      <c r="H31" s="220"/>
      <c r="I31" s="220"/>
      <c r="J31" s="220"/>
      <c r="K31" s="179"/>
      <c r="M31" s="199"/>
      <c r="N31" s="199"/>
      <c r="O31" s="199"/>
      <c r="P31" s="199"/>
      <c r="Q31" s="199"/>
      <c r="R31" s="200"/>
      <c r="S31" s="200"/>
      <c r="T31" s="196"/>
      <c r="U31" s="196"/>
      <c r="V31" s="196"/>
      <c r="W31" s="196"/>
      <c r="X31" s="196"/>
      <c r="Y31" s="196"/>
    </row>
    <row r="32" spans="1:25" s="165" customFormat="1" ht="13.8" x14ac:dyDescent="0.3">
      <c r="A32" s="179"/>
      <c r="B32" s="220"/>
      <c r="C32" s="220"/>
      <c r="D32" s="220"/>
      <c r="E32" s="220"/>
      <c r="F32" s="220"/>
      <c r="G32" s="220"/>
      <c r="H32" s="220"/>
      <c r="I32" s="220"/>
      <c r="J32" s="220"/>
      <c r="K32" s="179"/>
      <c r="M32" s="199"/>
      <c r="N32" s="199"/>
      <c r="O32" s="199"/>
      <c r="P32" s="199"/>
      <c r="Q32" s="199"/>
      <c r="R32" s="200"/>
      <c r="S32" s="200"/>
      <c r="T32" s="196"/>
      <c r="U32" s="196"/>
      <c r="V32" s="196"/>
      <c r="W32" s="196"/>
      <c r="X32" s="196"/>
      <c r="Y32" s="196"/>
    </row>
    <row r="33" spans="1:25" s="165" customFormat="1" ht="12.75" customHeight="1" x14ac:dyDescent="0.3">
      <c r="A33" s="179"/>
      <c r="B33" s="220"/>
      <c r="C33" s="220"/>
      <c r="D33" s="220"/>
      <c r="E33" s="220"/>
      <c r="F33" s="220"/>
      <c r="G33" s="220"/>
      <c r="H33" s="220"/>
      <c r="I33" s="220"/>
      <c r="J33" s="220"/>
      <c r="K33" s="179"/>
      <c r="M33" s="199"/>
      <c r="N33" s="199"/>
      <c r="O33" s="199"/>
      <c r="P33" s="199"/>
      <c r="Q33" s="199"/>
      <c r="R33" s="200"/>
      <c r="S33" s="200"/>
      <c r="T33" s="196"/>
      <c r="U33" s="196"/>
      <c r="V33" s="196"/>
      <c r="W33" s="196"/>
      <c r="X33" s="196"/>
      <c r="Y33" s="196"/>
    </row>
    <row r="34" spans="1:25" s="165" customFormat="1" ht="13.8" x14ac:dyDescent="0.3">
      <c r="A34" s="179"/>
      <c r="B34" s="217"/>
      <c r="C34" s="217"/>
      <c r="D34" s="225" t="s">
        <v>130</v>
      </c>
      <c r="E34" s="225"/>
      <c r="F34" s="225"/>
      <c r="G34" s="225"/>
      <c r="H34" s="225"/>
      <c r="I34" s="217"/>
      <c r="J34" s="217"/>
      <c r="K34" s="179"/>
      <c r="M34" s="199"/>
      <c r="N34" s="199"/>
      <c r="O34" s="199"/>
      <c r="P34" s="199"/>
      <c r="Q34" s="199"/>
      <c r="R34" s="200"/>
      <c r="S34" s="203"/>
      <c r="T34" s="196"/>
      <c r="U34" s="196"/>
      <c r="V34" s="196"/>
      <c r="W34" s="196"/>
      <c r="X34" s="196"/>
      <c r="Y34" s="196"/>
    </row>
    <row r="35" spans="1:25" s="165" customFormat="1" ht="13.8" x14ac:dyDescent="0.3">
      <c r="A35" s="179"/>
      <c r="B35" s="179"/>
      <c r="C35" s="179"/>
      <c r="I35" s="179"/>
      <c r="J35" s="179"/>
      <c r="K35" s="179"/>
      <c r="M35" s="199"/>
      <c r="N35" s="199"/>
      <c r="O35" s="199"/>
      <c r="P35" s="199"/>
      <c r="Q35" s="199"/>
      <c r="R35" s="200"/>
      <c r="S35" s="203"/>
      <c r="T35" s="196"/>
      <c r="U35" s="196"/>
      <c r="V35" s="196"/>
      <c r="W35" s="196"/>
      <c r="X35" s="196"/>
      <c r="Y35" s="196"/>
    </row>
    <row r="36" spans="1:25" s="165" customFormat="1" ht="12.75" customHeight="1" x14ac:dyDescent="0.3">
      <c r="A36" s="179"/>
      <c r="B36" s="180" t="s">
        <v>131</v>
      </c>
      <c r="C36" s="179"/>
      <c r="D36" s="179"/>
      <c r="E36" s="179"/>
      <c r="F36" s="226"/>
      <c r="G36" s="179"/>
      <c r="H36" s="179"/>
      <c r="I36" s="179"/>
      <c r="J36" s="179"/>
      <c r="K36" s="179"/>
      <c r="M36" s="199"/>
      <c r="N36" s="199"/>
      <c r="O36" s="199"/>
      <c r="P36" s="199"/>
      <c r="Q36" s="199"/>
      <c r="R36" s="200"/>
      <c r="S36" s="200"/>
      <c r="T36" s="196"/>
      <c r="U36" s="196"/>
      <c r="V36" s="196"/>
      <c r="W36" s="196"/>
      <c r="X36" s="196"/>
      <c r="Y36" s="196"/>
    </row>
    <row r="37" spans="1:25" s="165" customFormat="1" ht="13.8" x14ac:dyDescent="0.3">
      <c r="A37" s="179"/>
      <c r="B37" s="180"/>
      <c r="C37" s="179"/>
      <c r="D37" s="179"/>
      <c r="E37" s="179"/>
      <c r="F37" s="226"/>
      <c r="G37" s="179"/>
      <c r="H37" s="179"/>
      <c r="I37" s="179"/>
      <c r="J37" s="179"/>
      <c r="K37" s="179"/>
      <c r="M37" s="199"/>
      <c r="N37" s="199"/>
      <c r="O37" s="199"/>
      <c r="P37" s="199"/>
      <c r="Q37" s="199"/>
      <c r="R37" s="200"/>
      <c r="S37" s="200"/>
      <c r="T37" s="196"/>
      <c r="U37" s="196"/>
      <c r="V37" s="196"/>
      <c r="W37" s="196"/>
      <c r="X37" s="196"/>
      <c r="Y37" s="196"/>
    </row>
    <row r="38" spans="1:25" s="165" customFormat="1" ht="13.8" x14ac:dyDescent="0.3">
      <c r="A38" s="179"/>
      <c r="B38" s="220" t="s">
        <v>166</v>
      </c>
      <c r="C38" s="220"/>
      <c r="D38" s="220"/>
      <c r="E38" s="220"/>
      <c r="F38" s="220"/>
      <c r="G38" s="220"/>
      <c r="H38" s="220"/>
      <c r="I38" s="220"/>
      <c r="J38" s="220"/>
      <c r="K38" s="179"/>
      <c r="M38" s="199"/>
      <c r="N38" s="199"/>
      <c r="O38" s="199"/>
      <c r="P38" s="199"/>
      <c r="Q38" s="199"/>
      <c r="R38" s="200"/>
      <c r="S38" s="200"/>
      <c r="T38" s="196"/>
      <c r="U38" s="196"/>
      <c r="V38" s="196"/>
      <c r="W38" s="196"/>
      <c r="X38" s="196"/>
      <c r="Y38" s="196"/>
    </row>
    <row r="39" spans="1:25" s="165" customFormat="1" ht="13.8" x14ac:dyDescent="0.3">
      <c r="A39" s="179"/>
      <c r="B39" s="220"/>
      <c r="C39" s="220"/>
      <c r="D39" s="220"/>
      <c r="E39" s="220"/>
      <c r="F39" s="220"/>
      <c r="G39" s="220"/>
      <c r="H39" s="220"/>
      <c r="I39" s="220"/>
      <c r="J39" s="220"/>
      <c r="K39" s="179"/>
      <c r="M39" s="199"/>
      <c r="N39" s="199"/>
      <c r="O39" s="199"/>
      <c r="P39" s="199"/>
      <c r="Q39" s="199"/>
      <c r="R39" s="200"/>
      <c r="S39" s="200"/>
      <c r="T39" s="196"/>
      <c r="U39" s="196"/>
      <c r="V39" s="196"/>
      <c r="W39" s="196"/>
      <c r="X39" s="196"/>
      <c r="Y39" s="196"/>
    </row>
    <row r="40" spans="1:25" s="165" customFormat="1" ht="13.8" x14ac:dyDescent="0.3">
      <c r="A40" s="179"/>
      <c r="B40" s="217"/>
      <c r="C40" s="217"/>
      <c r="D40" s="217"/>
      <c r="E40" s="217"/>
      <c r="F40" s="217"/>
      <c r="G40" s="217"/>
      <c r="H40" s="217"/>
      <c r="I40" s="217"/>
      <c r="J40" s="217"/>
      <c r="K40" s="179"/>
      <c r="M40" s="199"/>
      <c r="N40" s="199"/>
      <c r="O40" s="199"/>
      <c r="P40" s="199"/>
      <c r="Q40" s="199"/>
      <c r="R40" s="200"/>
      <c r="S40" s="200"/>
      <c r="T40" s="196"/>
      <c r="U40" s="196"/>
      <c r="V40" s="196"/>
      <c r="W40" s="196"/>
      <c r="X40" s="196"/>
      <c r="Y40" s="196"/>
    </row>
    <row r="41" spans="1:25" s="165" customFormat="1" ht="13.8" x14ac:dyDescent="0.3">
      <c r="A41" s="179"/>
      <c r="B41" s="220" t="s">
        <v>167</v>
      </c>
      <c r="C41" s="220"/>
      <c r="D41" s="220"/>
      <c r="E41" s="220"/>
      <c r="F41" s="220"/>
      <c r="G41" s="220"/>
      <c r="H41" s="220"/>
      <c r="I41" s="220"/>
      <c r="J41" s="220"/>
      <c r="K41" s="179"/>
      <c r="M41" s="199"/>
      <c r="N41" s="199"/>
      <c r="O41" s="199"/>
      <c r="P41" s="199"/>
      <c r="Q41" s="199"/>
      <c r="R41" s="200"/>
      <c r="S41" s="200"/>
      <c r="T41" s="196"/>
      <c r="U41" s="196"/>
      <c r="V41" s="196"/>
      <c r="W41" s="196"/>
      <c r="X41" s="196"/>
      <c r="Y41" s="196"/>
    </row>
    <row r="42" spans="1:25" s="165" customFormat="1" ht="13.8" x14ac:dyDescent="0.3">
      <c r="A42" s="179"/>
      <c r="B42" s="220"/>
      <c r="C42" s="220"/>
      <c r="D42" s="220"/>
      <c r="E42" s="220"/>
      <c r="F42" s="220"/>
      <c r="G42" s="220"/>
      <c r="H42" s="220"/>
      <c r="I42" s="220"/>
      <c r="J42" s="220"/>
      <c r="K42" s="179"/>
      <c r="M42" s="199"/>
      <c r="N42" s="199"/>
      <c r="O42" s="199"/>
      <c r="P42" s="199"/>
      <c r="Q42" s="199"/>
      <c r="R42" s="200"/>
      <c r="S42" s="200"/>
      <c r="T42" s="196"/>
      <c r="U42" s="196"/>
      <c r="V42" s="196"/>
      <c r="W42" s="196"/>
      <c r="X42" s="196"/>
      <c r="Y42" s="196"/>
    </row>
    <row r="43" spans="1:25" s="165" customFormat="1" ht="13.8" x14ac:dyDescent="0.3">
      <c r="A43" s="179"/>
      <c r="B43" s="220"/>
      <c r="C43" s="220"/>
      <c r="D43" s="220"/>
      <c r="E43" s="220"/>
      <c r="F43" s="220"/>
      <c r="G43" s="220"/>
      <c r="H43" s="220"/>
      <c r="I43" s="220"/>
      <c r="J43" s="220"/>
      <c r="K43" s="179"/>
      <c r="M43" s="199"/>
      <c r="N43" s="199"/>
      <c r="O43" s="199"/>
      <c r="P43" s="199"/>
      <c r="Q43" s="199"/>
      <c r="R43" s="200"/>
      <c r="S43" s="200"/>
      <c r="T43" s="196"/>
      <c r="U43" s="196"/>
      <c r="V43" s="196"/>
      <c r="W43" s="196"/>
      <c r="X43" s="196"/>
      <c r="Y43" s="196"/>
    </row>
    <row r="44" spans="1:25" s="165" customFormat="1" ht="13.8" x14ac:dyDescent="0.3">
      <c r="A44" s="179"/>
      <c r="B44" s="217"/>
      <c r="C44" s="217"/>
      <c r="D44" s="217"/>
      <c r="E44" s="217"/>
      <c r="F44" s="217"/>
      <c r="G44" s="217"/>
      <c r="H44" s="217"/>
      <c r="I44" s="217"/>
      <c r="J44" s="217"/>
      <c r="K44" s="179"/>
      <c r="M44" s="199"/>
      <c r="N44" s="199"/>
      <c r="O44" s="199"/>
      <c r="P44" s="199"/>
      <c r="Q44" s="199"/>
      <c r="R44" s="200"/>
      <c r="S44" s="200"/>
      <c r="T44" s="196"/>
      <c r="U44" s="196"/>
      <c r="V44" s="196"/>
      <c r="W44" s="196"/>
      <c r="X44" s="196"/>
      <c r="Y44" s="196"/>
    </row>
    <row r="45" spans="1:25" s="165" customFormat="1" ht="12.75" customHeight="1" x14ac:dyDescent="0.3">
      <c r="A45" s="179"/>
      <c r="B45" s="220" t="s">
        <v>145</v>
      </c>
      <c r="C45" s="220"/>
      <c r="D45" s="220"/>
      <c r="E45" s="220"/>
      <c r="F45" s="220"/>
      <c r="G45" s="220"/>
      <c r="H45" s="220"/>
      <c r="I45" s="220"/>
      <c r="J45" s="220"/>
      <c r="K45" s="179"/>
      <c r="M45" s="199"/>
      <c r="N45" s="199"/>
      <c r="O45" s="199"/>
      <c r="P45" s="199"/>
      <c r="Q45" s="199"/>
      <c r="R45" s="200"/>
      <c r="S45" s="200"/>
      <c r="T45" s="196"/>
      <c r="U45" s="196"/>
      <c r="V45" s="196"/>
      <c r="W45" s="196"/>
      <c r="X45" s="196"/>
      <c r="Y45" s="196"/>
    </row>
    <row r="46" spans="1:25" s="165" customFormat="1" ht="13.8" x14ac:dyDescent="0.3">
      <c r="A46" s="179"/>
      <c r="B46" s="220"/>
      <c r="C46" s="220"/>
      <c r="D46" s="220"/>
      <c r="E46" s="220"/>
      <c r="F46" s="220"/>
      <c r="G46" s="220"/>
      <c r="H46" s="220"/>
      <c r="I46" s="220"/>
      <c r="J46" s="220"/>
      <c r="K46" s="179"/>
      <c r="M46" s="199"/>
      <c r="N46" s="199"/>
      <c r="O46" s="199"/>
      <c r="P46" s="199"/>
      <c r="Q46" s="199"/>
      <c r="R46" s="200"/>
      <c r="S46" s="200"/>
      <c r="T46" s="196"/>
      <c r="U46" s="196"/>
      <c r="V46" s="196"/>
      <c r="W46" s="196"/>
      <c r="X46" s="196"/>
      <c r="Y46" s="196"/>
    </row>
    <row r="47" spans="1:25" s="165" customFormat="1" ht="13.8" x14ac:dyDescent="0.3">
      <c r="A47" s="179"/>
      <c r="B47" s="220"/>
      <c r="C47" s="220"/>
      <c r="D47" s="220"/>
      <c r="E47" s="220"/>
      <c r="F47" s="220"/>
      <c r="G47" s="220"/>
      <c r="H47" s="220"/>
      <c r="I47" s="220"/>
      <c r="J47" s="220"/>
      <c r="K47" s="179"/>
      <c r="M47" s="199"/>
      <c r="N47" s="199"/>
      <c r="O47" s="199"/>
      <c r="P47" s="199"/>
      <c r="Q47" s="199"/>
      <c r="R47" s="200"/>
      <c r="S47" s="200"/>
      <c r="T47" s="196"/>
      <c r="U47" s="196"/>
      <c r="V47" s="196"/>
      <c r="W47" s="196"/>
      <c r="X47" s="196"/>
      <c r="Y47" s="196"/>
    </row>
    <row r="48" spans="1:25" s="165" customFormat="1" ht="12.75" customHeight="1" x14ac:dyDescent="0.3">
      <c r="A48" s="179"/>
      <c r="B48" s="220"/>
      <c r="C48" s="220"/>
      <c r="D48" s="220"/>
      <c r="E48" s="220"/>
      <c r="F48" s="220"/>
      <c r="G48" s="220"/>
      <c r="H48" s="220"/>
      <c r="I48" s="220"/>
      <c r="J48" s="220"/>
      <c r="K48" s="179"/>
      <c r="M48" s="199"/>
      <c r="N48" s="199"/>
      <c r="O48" s="199"/>
      <c r="P48" s="199"/>
      <c r="Q48" s="199"/>
      <c r="R48" s="200"/>
      <c r="S48" s="200"/>
      <c r="T48" s="196"/>
      <c r="U48" s="196"/>
      <c r="V48" s="196"/>
      <c r="W48" s="196"/>
      <c r="X48" s="196"/>
      <c r="Y48" s="196"/>
    </row>
    <row r="49" spans="1:25" s="165" customFormat="1" ht="13.8" x14ac:dyDescent="0.3">
      <c r="A49" s="179"/>
      <c r="B49" s="179" t="s">
        <v>168</v>
      </c>
      <c r="C49" s="179"/>
      <c r="D49" s="179"/>
      <c r="E49" s="179"/>
      <c r="F49" s="179"/>
      <c r="G49" s="179"/>
      <c r="H49" s="179"/>
      <c r="I49" s="179"/>
      <c r="J49" s="179"/>
      <c r="K49" s="179"/>
      <c r="M49" s="199"/>
      <c r="N49" s="199"/>
      <c r="O49" s="199"/>
      <c r="P49" s="199"/>
      <c r="Q49" s="199"/>
      <c r="R49" s="200"/>
      <c r="S49" s="200"/>
      <c r="T49" s="196"/>
      <c r="U49" s="196"/>
      <c r="V49" s="196"/>
      <c r="W49" s="196"/>
      <c r="X49" s="196"/>
      <c r="Y49" s="196"/>
    </row>
    <row r="50" spans="1:25" s="165" customFormat="1" ht="13.8" x14ac:dyDescent="0.3">
      <c r="A50" s="179"/>
      <c r="B50" s="179"/>
      <c r="C50" s="179"/>
      <c r="D50" s="179"/>
      <c r="F50" s="224" t="s">
        <v>173</v>
      </c>
      <c r="G50" s="226"/>
      <c r="H50" s="179"/>
      <c r="I50" s="179"/>
      <c r="J50" s="179"/>
      <c r="K50" s="179"/>
      <c r="M50" s="199"/>
      <c r="N50" s="199"/>
      <c r="O50" s="199"/>
      <c r="P50" s="199"/>
      <c r="Q50" s="199"/>
      <c r="R50" s="200"/>
      <c r="S50" s="200"/>
      <c r="T50" s="196"/>
      <c r="U50" s="196"/>
      <c r="V50" s="196"/>
      <c r="W50" s="196"/>
      <c r="X50" s="196"/>
      <c r="Y50" s="196"/>
    </row>
    <row r="51" spans="1:25" s="165" customFormat="1" ht="13.8" x14ac:dyDescent="0.3">
      <c r="A51" s="179"/>
      <c r="B51" s="179"/>
      <c r="C51" s="179"/>
      <c r="D51" s="179"/>
      <c r="E51" s="179"/>
      <c r="F51" s="179"/>
      <c r="G51" s="179"/>
      <c r="H51" s="179"/>
      <c r="I51" s="179"/>
      <c r="J51" s="179"/>
      <c r="K51" s="179"/>
      <c r="M51" s="199"/>
      <c r="N51" s="199"/>
      <c r="O51" s="199"/>
      <c r="P51" s="199"/>
      <c r="Q51" s="199"/>
      <c r="R51" s="200"/>
      <c r="S51" s="200"/>
      <c r="T51" s="196"/>
      <c r="U51" s="196"/>
      <c r="V51" s="196"/>
      <c r="W51" s="196"/>
      <c r="X51" s="196"/>
      <c r="Y51" s="196"/>
    </row>
    <row r="52" spans="1:25" s="165" customFormat="1" ht="12.75" customHeight="1" x14ac:dyDescent="0.3">
      <c r="A52" s="179"/>
      <c r="B52" s="180" t="s">
        <v>169</v>
      </c>
      <c r="C52" s="179"/>
      <c r="D52" s="179"/>
      <c r="E52" s="179"/>
      <c r="F52" s="179"/>
      <c r="G52" s="179"/>
      <c r="H52" s="179"/>
      <c r="I52" s="179"/>
      <c r="J52" s="179"/>
      <c r="K52" s="179"/>
      <c r="M52" s="199"/>
      <c r="N52" s="199"/>
      <c r="O52" s="199"/>
      <c r="P52" s="199"/>
      <c r="Q52" s="199"/>
      <c r="R52" s="200"/>
      <c r="S52" s="200"/>
      <c r="T52" s="196"/>
      <c r="U52" s="196"/>
      <c r="V52" s="196"/>
      <c r="W52" s="196"/>
      <c r="X52" s="196"/>
      <c r="Y52" s="196"/>
    </row>
    <row r="53" spans="1:25" s="165" customFormat="1" ht="13.8" x14ac:dyDescent="0.3">
      <c r="A53" s="179"/>
      <c r="B53" s="179"/>
      <c r="C53" s="179"/>
      <c r="D53" s="179"/>
      <c r="E53" s="179"/>
      <c r="F53" s="179"/>
      <c r="G53" s="179"/>
      <c r="H53" s="179"/>
      <c r="I53" s="179"/>
      <c r="J53" s="179"/>
      <c r="K53" s="179"/>
      <c r="M53" s="199"/>
      <c r="N53" s="199"/>
      <c r="O53" s="199"/>
      <c r="P53" s="199"/>
      <c r="Q53" s="199"/>
      <c r="R53" s="200"/>
      <c r="S53" s="200"/>
      <c r="T53" s="196"/>
      <c r="U53" s="196"/>
      <c r="V53" s="196"/>
      <c r="W53" s="196"/>
      <c r="X53" s="196"/>
      <c r="Y53" s="196"/>
    </row>
    <row r="54" spans="1:25" s="165" customFormat="1" ht="13.8" x14ac:dyDescent="0.3">
      <c r="A54" s="179"/>
      <c r="B54" s="221" t="s">
        <v>170</v>
      </c>
      <c r="C54" s="221"/>
      <c r="D54" s="221"/>
      <c r="E54" s="221"/>
      <c r="F54" s="221"/>
      <c r="G54" s="221"/>
      <c r="H54" s="221"/>
      <c r="I54" s="221"/>
      <c r="J54" s="221"/>
      <c r="K54" s="179"/>
      <c r="M54" s="199"/>
      <c r="N54" s="199"/>
      <c r="O54" s="199"/>
      <c r="P54" s="199"/>
      <c r="Q54" s="199"/>
      <c r="R54" s="200"/>
      <c r="S54" s="200"/>
      <c r="T54" s="196"/>
      <c r="U54" s="196"/>
      <c r="V54" s="196"/>
      <c r="W54" s="196"/>
      <c r="X54" s="196"/>
      <c r="Y54" s="196"/>
    </row>
    <row r="55" spans="1:25" s="165" customFormat="1" ht="13.8" x14ac:dyDescent="0.3">
      <c r="A55" s="179"/>
      <c r="B55" s="221"/>
      <c r="C55" s="221"/>
      <c r="D55" s="221"/>
      <c r="E55" s="221"/>
      <c r="F55" s="221"/>
      <c r="G55" s="221"/>
      <c r="H55" s="221"/>
      <c r="I55" s="221"/>
      <c r="J55" s="221"/>
      <c r="K55" s="179"/>
      <c r="M55" s="199"/>
      <c r="N55" s="199"/>
      <c r="O55" s="199"/>
      <c r="P55" s="199"/>
      <c r="Q55" s="199"/>
      <c r="R55" s="200"/>
      <c r="S55" s="200"/>
      <c r="T55" s="196"/>
      <c r="U55" s="196"/>
      <c r="V55" s="196"/>
      <c r="W55" s="196"/>
      <c r="X55" s="196"/>
      <c r="Y55" s="196"/>
    </row>
    <row r="56" spans="1:25" s="165" customFormat="1" ht="13.8" x14ac:dyDescent="0.3">
      <c r="A56" s="179"/>
      <c r="B56" s="221"/>
      <c r="C56" s="221"/>
      <c r="D56" s="221"/>
      <c r="E56" s="221"/>
      <c r="F56" s="221"/>
      <c r="G56" s="221"/>
      <c r="H56" s="221"/>
      <c r="I56" s="221"/>
      <c r="J56" s="221"/>
      <c r="K56" s="179"/>
      <c r="M56" s="199"/>
      <c r="N56" s="199"/>
      <c r="O56"/>
      <c r="P56" s="199"/>
      <c r="Q56" s="199"/>
      <c r="R56" s="200"/>
      <c r="S56" s="200"/>
      <c r="T56" s="196"/>
      <c r="U56" s="196"/>
      <c r="V56" s="196"/>
      <c r="W56" s="196"/>
      <c r="X56" s="196"/>
      <c r="Y56" s="196"/>
    </row>
    <row r="57" spans="1:25" s="165" customFormat="1" ht="13.8" x14ac:dyDescent="0.3">
      <c r="A57" s="179"/>
      <c r="B57" s="179"/>
      <c r="C57" s="179"/>
      <c r="D57" s="179"/>
      <c r="F57" s="226"/>
      <c r="G57" s="179"/>
      <c r="H57" s="179"/>
      <c r="I57" s="179"/>
      <c r="J57" s="179"/>
      <c r="K57" s="179"/>
      <c r="M57" s="199"/>
      <c r="N57" s="199"/>
      <c r="O57" s="199"/>
      <c r="P57" s="199"/>
      <c r="Q57" s="199"/>
      <c r="R57" s="200"/>
      <c r="S57" s="200"/>
      <c r="T57" s="196"/>
      <c r="U57" s="196"/>
      <c r="V57" s="196"/>
      <c r="W57" s="196"/>
      <c r="X57" s="196"/>
      <c r="Y57" s="196"/>
    </row>
    <row r="58" spans="1:25" s="165" customFormat="1" ht="13.8" x14ac:dyDescent="0.3">
      <c r="A58" s="179"/>
      <c r="B58" s="179"/>
      <c r="C58" s="179"/>
      <c r="D58" s="179"/>
      <c r="E58" s="179"/>
      <c r="F58" s="179"/>
      <c r="G58" s="179"/>
      <c r="H58" s="179"/>
      <c r="I58" s="179"/>
      <c r="J58" s="179"/>
      <c r="K58" s="179"/>
      <c r="M58" s="199"/>
      <c r="N58" s="199"/>
      <c r="O58" s="199"/>
      <c r="P58" s="199"/>
      <c r="Q58" s="199"/>
      <c r="R58" s="200"/>
      <c r="S58" s="200"/>
      <c r="T58" s="196"/>
      <c r="U58" s="196"/>
      <c r="V58" s="196"/>
      <c r="W58" s="196"/>
      <c r="X58" s="196"/>
      <c r="Y58" s="196"/>
    </row>
    <row r="59" spans="1:25" s="165" customFormat="1" ht="13.8" x14ac:dyDescent="0.3">
      <c r="K59" s="179"/>
      <c r="M59" s="199"/>
      <c r="N59" s="199"/>
      <c r="O59" s="227"/>
      <c r="P59" s="199"/>
      <c r="Q59" s="199"/>
      <c r="R59" s="200"/>
      <c r="S59" s="200"/>
      <c r="T59" s="196"/>
      <c r="U59" s="196"/>
      <c r="V59" s="196"/>
      <c r="W59" s="196"/>
      <c r="X59" s="196"/>
      <c r="Y59" s="196"/>
    </row>
    <row r="60" spans="1:25" s="165" customFormat="1" ht="13.8" x14ac:dyDescent="0.3">
      <c r="A60" s="179"/>
      <c r="B60" s="179" t="s">
        <v>171</v>
      </c>
      <c r="C60" s="179"/>
      <c r="D60" s="179"/>
      <c r="E60" s="179"/>
      <c r="F60" s="179"/>
      <c r="G60" s="179"/>
      <c r="H60" s="179"/>
      <c r="I60" s="179"/>
      <c r="J60" s="179"/>
      <c r="K60" s="179"/>
      <c r="M60" s="199"/>
      <c r="N60" s="199"/>
      <c r="O60" s="199"/>
      <c r="P60" s="199"/>
      <c r="Q60" s="199"/>
      <c r="R60" s="200"/>
      <c r="S60" s="200"/>
      <c r="T60" s="196"/>
      <c r="U60" s="196"/>
      <c r="V60" s="196"/>
      <c r="W60" s="196"/>
      <c r="X60" s="196"/>
      <c r="Y60" s="196"/>
    </row>
    <row r="61" spans="1:25" s="165" customFormat="1" ht="13.8" x14ac:dyDescent="0.3">
      <c r="A61" s="179"/>
      <c r="C61" s="179"/>
      <c r="D61" s="179"/>
      <c r="F61" s="224" t="s">
        <v>174</v>
      </c>
      <c r="G61" s="228"/>
      <c r="H61" s="179"/>
      <c r="I61" s="179"/>
      <c r="J61" s="179"/>
      <c r="K61" s="179"/>
      <c r="M61" s="199"/>
      <c r="N61" s="199"/>
      <c r="O61" s="199"/>
      <c r="P61" s="199"/>
      <c r="Q61" s="199"/>
      <c r="R61" s="200"/>
      <c r="S61" s="200"/>
      <c r="T61" s="196"/>
      <c r="U61" s="196"/>
      <c r="V61" s="196"/>
      <c r="W61" s="196"/>
      <c r="X61" s="196"/>
      <c r="Y61" s="196"/>
    </row>
    <row r="62" spans="1:25" s="165" customFormat="1" ht="13.8" x14ac:dyDescent="0.3">
      <c r="A62" s="179"/>
      <c r="B62" s="179"/>
      <c r="C62" s="179"/>
      <c r="D62" s="179"/>
      <c r="E62" s="179"/>
      <c r="F62" s="179"/>
      <c r="G62" s="179"/>
      <c r="H62" s="179"/>
      <c r="I62" s="179"/>
      <c r="J62" s="179"/>
      <c r="K62" s="179"/>
      <c r="M62" s="199"/>
      <c r="N62" s="199"/>
      <c r="O62" s="199"/>
      <c r="P62" s="199"/>
      <c r="Q62" s="199"/>
      <c r="R62" s="200"/>
      <c r="S62" s="200"/>
      <c r="T62" s="196"/>
      <c r="U62" s="196"/>
      <c r="V62" s="196"/>
      <c r="W62" s="196"/>
      <c r="X62" s="196"/>
      <c r="Y62" s="196"/>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181"/>
  <sheetViews>
    <sheetView tabSelected="1" view="pageBreakPreview" topLeftCell="A3" zoomScale="85" zoomScaleNormal="100" zoomScaleSheetLayoutView="85" workbookViewId="0">
      <selection activeCell="K14" sqref="K14"/>
    </sheetView>
  </sheetViews>
  <sheetFormatPr defaultColWidth="9.109375" defaultRowHeight="15.6" x14ac:dyDescent="0.3"/>
  <cols>
    <col min="1" max="11" width="8.5546875" style="47" customWidth="1"/>
    <col min="12" max="12" width="6.44140625" style="48" customWidth="1"/>
    <col min="13" max="15" width="4" style="52" customWidth="1"/>
    <col min="16" max="19" width="4" style="53" customWidth="1"/>
    <col min="20" max="20" width="3.5546875" style="52" customWidth="1"/>
    <col min="21" max="29" width="9.109375" style="51"/>
    <col min="30" max="31" width="10.33203125" style="51" bestFit="1" customWidth="1"/>
    <col min="32" max="35" width="10" style="51" bestFit="1" customWidth="1"/>
    <col min="36" max="47" width="9.109375" style="51"/>
    <col min="48" max="48" width="2.109375" style="51" customWidth="1"/>
    <col min="49" max="57" width="9.109375" style="51"/>
    <col min="58" max="58" width="9" style="51" customWidth="1"/>
    <col min="59" max="62" width="11" style="51" customWidth="1"/>
    <col min="63" max="67" width="9.109375" style="51"/>
    <col min="68" max="68" width="10.88671875" style="51" customWidth="1"/>
    <col min="69" max="77" width="9.109375" style="51"/>
    <col min="78" max="78" width="10.33203125" style="51" customWidth="1"/>
    <col min="79" max="88" width="9.109375" style="51"/>
    <col min="89" max="102" width="9.109375" style="48"/>
    <col min="103" max="103" width="16.88671875" style="48" customWidth="1"/>
    <col min="104" max="120" width="9.109375" style="48"/>
    <col min="121" max="121" width="14" style="48" customWidth="1"/>
    <col min="122" max="122" width="9.109375" style="48"/>
    <col min="123" max="123" width="10.6640625" style="48" customWidth="1"/>
    <col min="124" max="158" width="9.109375" style="48"/>
    <col min="159" max="163" width="9.5546875" style="48" bestFit="1" customWidth="1"/>
    <col min="164" max="165" width="9.109375" style="48"/>
    <col min="166" max="166" width="3.5546875" style="48" customWidth="1"/>
    <col min="167" max="167" width="4" style="48" customWidth="1"/>
    <col min="168" max="173" width="9.109375" style="48"/>
    <col min="174" max="174" width="3.5546875" style="48" customWidth="1"/>
    <col min="175" max="180" width="9.109375" style="48"/>
    <col min="181" max="181" width="4" style="48" customWidth="1"/>
    <col min="182" max="217" width="9.109375" style="48"/>
    <col min="218" max="218" width="9.5546875" style="48" bestFit="1" customWidth="1"/>
    <col min="219" max="248" width="9.109375" style="48"/>
    <col min="249" max="16384" width="9.109375" style="51"/>
  </cols>
  <sheetData>
    <row r="1" spans="1:248" x14ac:dyDescent="0.3">
      <c r="A1" s="51"/>
      <c r="B1" s="40" t="s">
        <v>60</v>
      </c>
      <c r="C1" s="42" t="s">
        <v>119</v>
      </c>
      <c r="D1" s="39"/>
      <c r="F1" s="40" t="s">
        <v>65</v>
      </c>
      <c r="G1" s="42">
        <v>1</v>
      </c>
      <c r="H1" s="39"/>
      <c r="I1" s="184"/>
      <c r="J1" s="184"/>
      <c r="K1" s="51"/>
      <c r="M1" s="49"/>
      <c r="N1" s="49"/>
      <c r="O1" s="49"/>
      <c r="P1" s="50"/>
      <c r="Q1" s="50"/>
      <c r="R1" s="50"/>
      <c r="S1" s="50"/>
      <c r="T1" s="49"/>
    </row>
    <row r="2" spans="1:248" x14ac:dyDescent="0.3">
      <c r="A2" s="51"/>
      <c r="B2" s="40" t="s">
        <v>62</v>
      </c>
      <c r="C2" s="42" t="s">
        <v>68</v>
      </c>
      <c r="D2" s="39"/>
      <c r="F2" s="40" t="s">
        <v>66</v>
      </c>
      <c r="G2" s="42" t="s">
        <v>146</v>
      </c>
      <c r="H2" s="39"/>
      <c r="I2" s="185"/>
      <c r="J2" s="185"/>
      <c r="K2" s="51"/>
    </row>
    <row r="3" spans="1:248" x14ac:dyDescent="0.3">
      <c r="A3" s="51"/>
      <c r="B3" s="40" t="s">
        <v>26</v>
      </c>
      <c r="C3" s="186">
        <v>41334</v>
      </c>
      <c r="D3" s="39"/>
      <c r="F3" s="40" t="s">
        <v>25</v>
      </c>
      <c r="G3" s="42" t="s">
        <v>120</v>
      </c>
      <c r="H3" s="39"/>
      <c r="I3" s="51"/>
      <c r="J3" s="51"/>
      <c r="K3" s="51"/>
    </row>
    <row r="4" spans="1:248" x14ac:dyDescent="0.3">
      <c r="A4" s="165"/>
      <c r="B4" s="166" t="s">
        <v>124</v>
      </c>
      <c r="C4" s="167"/>
      <c r="D4" s="165"/>
      <c r="F4" s="165"/>
      <c r="G4" s="166" t="s">
        <v>125</v>
      </c>
      <c r="H4" s="187" t="s">
        <v>147</v>
      </c>
      <c r="I4" s="165"/>
      <c r="J4" s="51"/>
      <c r="K4" s="51"/>
    </row>
    <row r="5" spans="1:248" ht="13.8" x14ac:dyDescent="0.3">
      <c r="A5" s="165"/>
      <c r="B5" s="166" t="s">
        <v>127</v>
      </c>
      <c r="C5" s="171" t="s">
        <v>141</v>
      </c>
      <c r="D5" s="165"/>
      <c r="E5" s="166"/>
      <c r="F5" s="165"/>
      <c r="G5" s="165"/>
      <c r="H5" s="165"/>
      <c r="I5" s="165"/>
      <c r="J5" s="51"/>
      <c r="K5" s="51"/>
    </row>
    <row r="6" spans="1:248" ht="13.8" x14ac:dyDescent="0.3">
      <c r="A6" s="165"/>
      <c r="B6" s="165" t="s">
        <v>67</v>
      </c>
      <c r="C6" s="171"/>
      <c r="D6" s="165"/>
      <c r="E6" s="166"/>
      <c r="F6" s="165"/>
      <c r="G6" s="165"/>
      <c r="H6" s="165"/>
      <c r="I6" s="165"/>
      <c r="J6" s="51"/>
      <c r="K6" s="51"/>
    </row>
    <row r="7" spans="1:248" ht="13.8" x14ac:dyDescent="0.3">
      <c r="A7" s="165"/>
      <c r="B7" s="51"/>
      <c r="C7" s="188"/>
      <c r="D7" s="165"/>
      <c r="E7" s="165"/>
      <c r="F7" s="165"/>
      <c r="G7" s="165"/>
      <c r="H7" s="165"/>
      <c r="I7" s="165"/>
      <c r="J7" s="48"/>
      <c r="K7" s="48"/>
      <c r="V7" s="64"/>
    </row>
    <row r="8" spans="1:248" ht="13.8" x14ac:dyDescent="0.3">
      <c r="A8" s="170"/>
      <c r="B8" s="165"/>
      <c r="C8" s="165"/>
      <c r="D8" s="165"/>
      <c r="E8" s="166" t="s">
        <v>60</v>
      </c>
      <c r="F8" s="167" t="str">
        <f>$C$1</f>
        <v>R. Abbott</v>
      </c>
      <c r="G8" s="165"/>
      <c r="H8" s="171"/>
      <c r="I8" s="166" t="s">
        <v>61</v>
      </c>
      <c r="J8" s="172" t="str">
        <f>$G$2</f>
        <v>AA-SM-101-007</v>
      </c>
      <c r="K8" s="173"/>
      <c r="L8" s="174"/>
      <c r="M8" s="218"/>
      <c r="N8" s="43"/>
      <c r="O8" s="43"/>
      <c r="V8" s="64"/>
    </row>
    <row r="9" spans="1:248" s="57" customFormat="1" ht="13.8" x14ac:dyDescent="0.3">
      <c r="A9" s="165"/>
      <c r="B9" s="165"/>
      <c r="C9" s="165"/>
      <c r="D9" s="165"/>
      <c r="E9" s="166" t="s">
        <v>62</v>
      </c>
      <c r="F9" s="171" t="str">
        <f>$C$2</f>
        <v xml:space="preserve"> </v>
      </c>
      <c r="G9" s="165"/>
      <c r="H9" s="171"/>
      <c r="I9" s="166" t="s">
        <v>63</v>
      </c>
      <c r="J9" s="173" t="str">
        <f>$G$3</f>
        <v>IR</v>
      </c>
      <c r="K9" s="173"/>
      <c r="L9" s="174"/>
      <c r="M9" s="218">
        <v>1</v>
      </c>
      <c r="N9" s="43"/>
      <c r="O9" s="43"/>
      <c r="P9" s="55"/>
      <c r="Q9" s="55"/>
      <c r="R9" s="55"/>
      <c r="S9" s="55"/>
      <c r="T9" s="56"/>
      <c r="V9" s="64"/>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c r="EE9" s="103"/>
      <c r="EF9" s="103"/>
      <c r="EG9" s="103"/>
      <c r="EH9" s="103"/>
      <c r="EI9" s="103"/>
      <c r="EJ9" s="103"/>
      <c r="EK9" s="103"/>
      <c r="EL9" s="103"/>
      <c r="EM9" s="103"/>
      <c r="EN9" s="103"/>
      <c r="EO9" s="103"/>
      <c r="EP9" s="103"/>
      <c r="EQ9" s="103"/>
      <c r="ER9" s="103"/>
      <c r="ES9" s="103"/>
      <c r="ET9" s="103"/>
      <c r="EU9" s="103"/>
      <c r="EV9" s="103"/>
      <c r="EW9" s="103"/>
      <c r="EX9" s="103"/>
      <c r="EY9" s="103"/>
      <c r="EZ9" s="103"/>
      <c r="FA9" s="103"/>
      <c r="FB9" s="103"/>
      <c r="FC9" s="103"/>
      <c r="FD9" s="103"/>
      <c r="FE9" s="103"/>
      <c r="FF9" s="103"/>
      <c r="FG9" s="103"/>
      <c r="FH9" s="103"/>
      <c r="FI9" s="103"/>
      <c r="FJ9" s="103"/>
      <c r="FK9" s="103"/>
      <c r="FL9" s="103"/>
      <c r="FM9" s="103"/>
      <c r="FN9" s="103"/>
      <c r="FO9" s="103"/>
      <c r="FP9" s="103"/>
      <c r="FQ9" s="103"/>
      <c r="FR9" s="103"/>
      <c r="FS9" s="103"/>
      <c r="FT9" s="103"/>
      <c r="FU9" s="103"/>
      <c r="FV9" s="103"/>
      <c r="FW9" s="103"/>
      <c r="FX9" s="103"/>
      <c r="FY9" s="103"/>
      <c r="FZ9" s="103"/>
      <c r="GA9" s="103"/>
      <c r="GB9" s="103"/>
      <c r="GC9" s="103"/>
      <c r="GD9" s="103"/>
      <c r="GE9" s="103"/>
      <c r="GF9" s="103"/>
      <c r="GG9" s="103"/>
      <c r="GH9" s="103"/>
      <c r="GI9" s="103"/>
      <c r="GJ9" s="103"/>
      <c r="GK9" s="103"/>
      <c r="GL9" s="103"/>
      <c r="GM9" s="103"/>
      <c r="GN9" s="103"/>
      <c r="GO9" s="103"/>
      <c r="GP9" s="103"/>
      <c r="GQ9" s="103"/>
      <c r="GR9" s="103"/>
      <c r="GS9" s="103"/>
      <c r="GT9" s="103"/>
      <c r="GU9" s="103"/>
      <c r="GV9" s="103"/>
      <c r="GW9" s="103"/>
      <c r="GX9" s="103"/>
      <c r="GY9" s="103"/>
      <c r="GZ9" s="103"/>
      <c r="HA9" s="103"/>
      <c r="HB9" s="103"/>
      <c r="HC9" s="103"/>
      <c r="HD9" s="103"/>
      <c r="HE9" s="103"/>
      <c r="HF9" s="103"/>
      <c r="HG9" s="103"/>
      <c r="HH9" s="103"/>
      <c r="HI9" s="103"/>
      <c r="HJ9" s="103"/>
      <c r="HK9" s="103"/>
      <c r="HL9" s="103"/>
      <c r="HM9" s="103"/>
      <c r="HN9" s="103"/>
      <c r="HO9" s="103"/>
      <c r="HP9" s="103"/>
      <c r="HQ9" s="103"/>
      <c r="HR9" s="103"/>
      <c r="HS9" s="103"/>
      <c r="HT9" s="103"/>
      <c r="HU9" s="103"/>
      <c r="HV9" s="103"/>
      <c r="HW9" s="103"/>
      <c r="HX9" s="103"/>
      <c r="HY9" s="103"/>
      <c r="HZ9" s="103"/>
      <c r="IA9" s="103"/>
      <c r="IB9" s="103"/>
      <c r="IC9" s="103"/>
      <c r="ID9" s="103"/>
      <c r="IE9" s="103"/>
      <c r="IF9" s="103"/>
      <c r="IG9" s="103"/>
      <c r="IH9" s="103"/>
      <c r="II9" s="103"/>
      <c r="IJ9" s="103"/>
      <c r="IK9" s="103"/>
      <c r="IL9" s="103"/>
      <c r="IM9" s="103"/>
      <c r="IN9" s="103"/>
    </row>
    <row r="10" spans="1:248" ht="13.8" x14ac:dyDescent="0.3">
      <c r="A10" s="165"/>
      <c r="B10" s="165"/>
      <c r="C10" s="165"/>
      <c r="D10" s="165"/>
      <c r="E10" s="166" t="s">
        <v>26</v>
      </c>
      <c r="F10" s="219">
        <f>$C$3</f>
        <v>41334</v>
      </c>
      <c r="G10" s="165"/>
      <c r="H10" s="171"/>
      <c r="I10" s="166" t="s">
        <v>64</v>
      </c>
      <c r="J10" s="167" t="str">
        <f>L10&amp;" of "&amp;$G$1</f>
        <v>1 of 1</v>
      </c>
      <c r="K10" s="171"/>
      <c r="L10" s="174">
        <f>SUM($M$1:M9)</f>
        <v>1</v>
      </c>
      <c r="M10" s="218"/>
      <c r="N10" s="43"/>
      <c r="O10" s="43"/>
      <c r="V10" s="101"/>
    </row>
    <row r="11" spans="1:248" ht="13.8" x14ac:dyDescent="0.3">
      <c r="A11" s="39"/>
      <c r="B11" s="39"/>
      <c r="C11" s="39"/>
      <c r="D11" s="39"/>
      <c r="E11" s="166" t="s">
        <v>128</v>
      </c>
      <c r="F11" s="171" t="str">
        <f>$C$5</f>
        <v>STANDARD SPREADSHEET METHOD</v>
      </c>
      <c r="G11" s="165"/>
      <c r="H11" s="165"/>
      <c r="I11" s="175"/>
      <c r="J11" s="167"/>
      <c r="K11" s="165"/>
      <c r="L11" s="165"/>
      <c r="M11" s="218"/>
      <c r="N11" s="43"/>
      <c r="O11" s="43"/>
      <c r="V11" s="101"/>
    </row>
    <row r="12" spans="1:248" x14ac:dyDescent="0.3">
      <c r="A12" s="39"/>
      <c r="B12" s="145" t="str">
        <f>$H$4</f>
        <v>LAMINATE PHYSICAL PROPERTIES - KT AT HOLE</v>
      </c>
      <c r="C12" s="39"/>
      <c r="D12" s="39"/>
      <c r="E12" s="39"/>
      <c r="F12" s="39"/>
      <c r="G12" s="39"/>
      <c r="H12" s="39"/>
      <c r="I12" s="44"/>
      <c r="J12" s="41"/>
      <c r="K12" s="39"/>
      <c r="L12" s="39"/>
      <c r="M12" s="45"/>
      <c r="N12" s="46"/>
      <c r="O12" s="45"/>
      <c r="V12" s="101"/>
      <c r="EM12" s="59"/>
      <c r="ER12" s="61"/>
      <c r="ES12" s="61"/>
      <c r="ET12" s="61"/>
      <c r="EU12" s="61"/>
      <c r="EV12" s="61"/>
      <c r="EW12" s="61"/>
      <c r="FC12" s="59"/>
      <c r="GH12" s="59"/>
    </row>
    <row r="13" spans="1:248" ht="15" x14ac:dyDescent="0.35">
      <c r="A13" s="67"/>
      <c r="B13" s="216" t="s">
        <v>161</v>
      </c>
      <c r="C13" s="126"/>
      <c r="D13" s="126"/>
      <c r="E13" s="126"/>
      <c r="F13" s="126"/>
      <c r="G13" s="126"/>
      <c r="H13" s="126"/>
      <c r="I13" s="126"/>
      <c r="J13" s="126"/>
      <c r="K13" s="126"/>
      <c r="V13" s="101"/>
      <c r="W13" s="48"/>
      <c r="X13" s="48"/>
      <c r="Y13" s="48"/>
      <c r="Z13" s="48"/>
      <c r="AA13" s="48"/>
      <c r="AB13" s="48"/>
      <c r="BO13" s="60" t="s">
        <v>69</v>
      </c>
      <c r="BP13" s="61" t="s">
        <v>70</v>
      </c>
      <c r="BQ13" s="61" t="s">
        <v>71</v>
      </c>
      <c r="BR13" s="61" t="s">
        <v>72</v>
      </c>
      <c r="BS13" s="61" t="s">
        <v>73</v>
      </c>
      <c r="BT13" s="61" t="s">
        <v>74</v>
      </c>
      <c r="BU13" s="61" t="s">
        <v>75</v>
      </c>
      <c r="BV13" s="61" t="s">
        <v>76</v>
      </c>
      <c r="BW13" s="62" t="s">
        <v>77</v>
      </c>
      <c r="BX13" s="63"/>
      <c r="BY13" s="61" t="s">
        <v>78</v>
      </c>
      <c r="BZ13" s="61" t="s">
        <v>79</v>
      </c>
      <c r="CA13" s="61" t="s">
        <v>80</v>
      </c>
      <c r="CB13" s="61" t="s">
        <v>81</v>
      </c>
      <c r="CC13" s="61" t="s">
        <v>82</v>
      </c>
      <c r="CD13" s="61" t="s">
        <v>83</v>
      </c>
      <c r="CE13" s="61" t="s">
        <v>84</v>
      </c>
      <c r="CF13" s="61" t="s">
        <v>85</v>
      </c>
      <c r="CG13" s="61" t="s">
        <v>86</v>
      </c>
      <c r="CH13" s="63"/>
      <c r="CI13" s="60" t="s">
        <v>87</v>
      </c>
      <c r="CJ13" s="61" t="s">
        <v>88</v>
      </c>
      <c r="CK13" s="61" t="s">
        <v>89</v>
      </c>
      <c r="CL13" s="61" t="s">
        <v>90</v>
      </c>
      <c r="CM13" s="61" t="s">
        <v>91</v>
      </c>
      <c r="CN13" s="61" t="s">
        <v>92</v>
      </c>
      <c r="CO13" s="61" t="s">
        <v>93</v>
      </c>
      <c r="CP13" s="61" t="s">
        <v>94</v>
      </c>
      <c r="CQ13" s="62" t="s">
        <v>95</v>
      </c>
      <c r="CR13" s="51"/>
      <c r="EC13" s="134"/>
      <c r="ED13" s="64"/>
      <c r="EE13" s="64"/>
      <c r="EF13" s="66"/>
      <c r="EG13" s="64"/>
      <c r="EH13" s="64"/>
      <c r="EI13" s="64"/>
      <c r="EJ13" s="64"/>
      <c r="EK13" s="64"/>
      <c r="EL13" s="135"/>
      <c r="EM13" s="65"/>
      <c r="EN13" s="65"/>
      <c r="EO13" s="65"/>
      <c r="EP13" s="65"/>
      <c r="EQ13" s="65"/>
      <c r="EZ13" s="66"/>
      <c r="FA13" s="61"/>
      <c r="FB13" s="61"/>
      <c r="FC13" s="61"/>
      <c r="FD13" s="61"/>
      <c r="FE13" s="61"/>
      <c r="FH13" s="66"/>
      <c r="FO13" s="59"/>
      <c r="GT13" s="59"/>
    </row>
    <row r="14" spans="1:248" ht="15" x14ac:dyDescent="0.35">
      <c r="A14" s="181" t="s">
        <v>115</v>
      </c>
      <c r="B14" s="181" t="s">
        <v>1</v>
      </c>
      <c r="C14" s="181" t="s">
        <v>2</v>
      </c>
      <c r="D14" s="223" t="s">
        <v>27</v>
      </c>
      <c r="E14" s="223"/>
      <c r="F14" s="181" t="s">
        <v>2</v>
      </c>
      <c r="G14" s="139"/>
      <c r="H14" s="51"/>
      <c r="I14" s="51"/>
      <c r="J14" s="51"/>
      <c r="K14" s="51"/>
      <c r="W14" s="48"/>
      <c r="X14" s="48"/>
      <c r="Y14" s="48"/>
      <c r="Z14" s="48"/>
      <c r="AA14" s="48"/>
      <c r="AB14" s="48"/>
      <c r="AD14" s="58" t="s">
        <v>6</v>
      </c>
      <c r="AE14" s="58" t="s">
        <v>3</v>
      </c>
      <c r="AF14" s="58" t="s">
        <v>3</v>
      </c>
      <c r="AG14" s="58" t="s">
        <v>3</v>
      </c>
      <c r="AH14" s="58" t="s">
        <v>4</v>
      </c>
      <c r="AI14" s="68" t="s">
        <v>96</v>
      </c>
      <c r="AJ14" s="68" t="s">
        <v>97</v>
      </c>
      <c r="AK14" s="58" t="s">
        <v>98</v>
      </c>
      <c r="AL14" s="58" t="s">
        <v>99</v>
      </c>
      <c r="AM14" s="58" t="s">
        <v>100</v>
      </c>
      <c r="AN14" s="58" t="s">
        <v>101</v>
      </c>
      <c r="AO14" s="58" t="s">
        <v>102</v>
      </c>
      <c r="AP14" s="58" t="s">
        <v>103</v>
      </c>
      <c r="AQ14" s="58" t="s">
        <v>104</v>
      </c>
      <c r="AR14" s="58" t="s">
        <v>105</v>
      </c>
      <c r="AS14" s="58"/>
      <c r="AT14" s="58"/>
      <c r="AU14" s="60"/>
      <c r="AV14" s="61"/>
      <c r="AW14" s="61"/>
      <c r="AX14" s="61"/>
      <c r="AY14" s="61"/>
      <c r="AZ14" s="61"/>
      <c r="BA14" s="61"/>
      <c r="BB14" s="61"/>
      <c r="BC14" s="62"/>
      <c r="BD14" s="63"/>
      <c r="BE14" s="60"/>
      <c r="BF14" s="61"/>
      <c r="BG14" s="61"/>
      <c r="BH14" s="61"/>
      <c r="BI14" s="61"/>
      <c r="BJ14" s="61"/>
      <c r="BK14" s="48"/>
      <c r="BL14" s="48"/>
      <c r="BM14" s="69"/>
      <c r="BN14" s="52"/>
      <c r="BO14" s="70">
        <f t="shared" ref="BO14:BW14" ca="1" si="0">SUM(BO16:BO50)</f>
        <v>1208844.7390663289</v>
      </c>
      <c r="BP14" s="71">
        <f t="shared" ca="1" si="0"/>
        <v>995372.80424051755</v>
      </c>
      <c r="BQ14" s="71">
        <f t="shared" ca="1" si="0"/>
        <v>215972.95897208672</v>
      </c>
      <c r="BR14" s="71">
        <f t="shared" ca="1" si="0"/>
        <v>215972.95897208672</v>
      </c>
      <c r="BS14" s="71">
        <f t="shared" ca="1" si="0"/>
        <v>53367.983706452782</v>
      </c>
      <c r="BT14" s="71">
        <f t="shared" ca="1" si="0"/>
        <v>53367.983706452782</v>
      </c>
      <c r="BU14" s="71">
        <f t="shared" ca="1" si="0"/>
        <v>53367.983706452804</v>
      </c>
      <c r="BV14" s="71">
        <f t="shared" ca="1" si="0"/>
        <v>53367.983706452804</v>
      </c>
      <c r="BW14" s="72">
        <f t="shared" ca="1" si="0"/>
        <v>235953.42884578463</v>
      </c>
      <c r="BX14" s="73"/>
      <c r="BY14" s="71">
        <f t="shared" ref="BY14:CG14" ca="1" si="1">SUM(BY16:BY50)</f>
        <v>1.6825651982799172E-11</v>
      </c>
      <c r="BZ14" s="71">
        <f t="shared" ca="1" si="1"/>
        <v>1.8189894035458565E-12</v>
      </c>
      <c r="CA14" s="71">
        <f t="shared" ca="1" si="1"/>
        <v>2.0463630789890885E-12</v>
      </c>
      <c r="CB14" s="71">
        <f t="shared" ca="1" si="1"/>
        <v>2.0463630789890885E-12</v>
      </c>
      <c r="CC14" s="71">
        <f t="shared" ca="1" si="1"/>
        <v>0</v>
      </c>
      <c r="CD14" s="71">
        <f t="shared" ca="1" si="1"/>
        <v>0</v>
      </c>
      <c r="CE14" s="71">
        <f t="shared" ca="1" si="1"/>
        <v>6.8212102632969618E-13</v>
      </c>
      <c r="CF14" s="71">
        <f t="shared" ca="1" si="1"/>
        <v>6.8212102632969618E-13</v>
      </c>
      <c r="CG14" s="71">
        <f t="shared" ca="1" si="1"/>
        <v>1.8189894035458565E-12</v>
      </c>
      <c r="CH14" s="73"/>
      <c r="CI14" s="70">
        <f t="shared" ref="CI14:CQ14" ca="1" si="2">SUM(CI16:CI50)</f>
        <v>1621.3293698091077</v>
      </c>
      <c r="CJ14" s="71">
        <f t="shared" ca="1" si="2"/>
        <v>1191.7802167443244</v>
      </c>
      <c r="CK14" s="71">
        <f t="shared" ca="1" si="2"/>
        <v>282.77627345241842</v>
      </c>
      <c r="CL14" s="71">
        <f t="shared" ca="1" si="2"/>
        <v>282.77627345241842</v>
      </c>
      <c r="CM14" s="71">
        <f t="shared" ca="1" si="2"/>
        <v>160.73893466596172</v>
      </c>
      <c r="CN14" s="71">
        <f t="shared" ca="1" si="2"/>
        <v>160.73893466596172</v>
      </c>
      <c r="CO14" s="71">
        <f t="shared" ca="1" si="2"/>
        <v>160.73893466596172</v>
      </c>
      <c r="CP14" s="71">
        <f t="shared" ca="1" si="2"/>
        <v>160.73893466596172</v>
      </c>
      <c r="CQ14" s="72">
        <f t="shared" ca="1" si="2"/>
        <v>308.38441876027071</v>
      </c>
      <c r="CR14" s="68" t="s">
        <v>31</v>
      </c>
      <c r="CS14" s="48" t="str">
        <f>Matl!$B$19</f>
        <v>Filled Hole Tensions Strain =</v>
      </c>
      <c r="CT14" s="59"/>
      <c r="CV14" s="64" t="str">
        <f>Matl!D2</f>
        <v>Wet Laminate Carbon Cloth</v>
      </c>
      <c r="CW14" s="51"/>
      <c r="CX14" s="51"/>
      <c r="CY14" s="51"/>
      <c r="CZ14" s="51"/>
      <c r="DA14" s="51"/>
      <c r="DB14" s="51"/>
      <c r="DC14" s="51"/>
      <c r="DD14" s="51"/>
      <c r="DE14" s="51"/>
      <c r="DF14" s="51"/>
      <c r="DG14" s="51"/>
      <c r="DH14" s="51"/>
      <c r="DI14" s="51"/>
      <c r="DJ14" s="61"/>
      <c r="DO14" s="136"/>
      <c r="DS14" s="136"/>
      <c r="DY14" s="110"/>
      <c r="DZ14" s="110"/>
      <c r="EA14" s="110"/>
      <c r="EC14" s="74"/>
      <c r="ED14" s="74"/>
      <c r="EE14" s="74"/>
      <c r="EF14" s="74"/>
      <c r="EG14" s="74"/>
      <c r="EH14" s="74"/>
      <c r="EI14" s="74"/>
      <c r="EJ14" s="74"/>
      <c r="EK14" s="74"/>
      <c r="EL14" s="74"/>
      <c r="EM14" s="74"/>
      <c r="EN14" s="74"/>
      <c r="EO14" s="74"/>
      <c r="EP14" s="74"/>
      <c r="EQ14" s="74"/>
      <c r="ER14" s="75"/>
      <c r="ES14" s="75"/>
      <c r="ET14" s="75"/>
      <c r="EU14" s="75"/>
      <c r="EV14" s="75"/>
      <c r="EW14" s="75"/>
      <c r="EX14" s="75"/>
      <c r="EY14" s="75"/>
      <c r="EZ14" s="75"/>
      <c r="FA14" s="75"/>
      <c r="FB14" s="75"/>
      <c r="FC14" s="75"/>
      <c r="FD14" s="75"/>
      <c r="FE14" s="75"/>
      <c r="FF14" s="75"/>
      <c r="FG14" s="75"/>
      <c r="FH14" s="75"/>
      <c r="FI14" s="75"/>
      <c r="FJ14" s="75"/>
      <c r="FK14" s="61"/>
      <c r="FL14" s="61"/>
      <c r="FM14" s="61"/>
      <c r="FN14" s="75"/>
      <c r="FO14" s="75"/>
      <c r="FP14" s="75"/>
      <c r="FQ14" s="75"/>
      <c r="FS14" s="106"/>
      <c r="FT14" s="61"/>
      <c r="FU14" s="61"/>
      <c r="FV14" s="61"/>
      <c r="FW14" s="76"/>
      <c r="FX14" s="65"/>
      <c r="FY14" s="65"/>
      <c r="FZ14" s="106"/>
      <c r="GA14" s="61"/>
      <c r="GB14" s="61"/>
      <c r="GE14" s="61"/>
      <c r="GG14" s="106"/>
      <c r="GH14" s="65"/>
      <c r="GI14" s="61"/>
      <c r="GP14" s="61"/>
      <c r="GQ14" s="61"/>
      <c r="GR14" s="61"/>
      <c r="GS14" s="75"/>
      <c r="GT14" s="75"/>
      <c r="GU14" s="75"/>
      <c r="GV14" s="75"/>
    </row>
    <row r="15" spans="1:248" ht="15" x14ac:dyDescent="0.35">
      <c r="A15" s="181" t="s">
        <v>116</v>
      </c>
      <c r="B15" s="181" t="s">
        <v>5</v>
      </c>
      <c r="C15" s="181" t="s">
        <v>56</v>
      </c>
      <c r="D15" s="140"/>
      <c r="E15" s="140"/>
      <c r="F15" s="181" t="s">
        <v>56</v>
      </c>
      <c r="G15" s="139"/>
      <c r="H15" s="51"/>
      <c r="I15" s="51"/>
      <c r="J15" s="51"/>
      <c r="K15" s="51"/>
      <c r="W15" s="48"/>
      <c r="X15" s="48"/>
      <c r="Y15" s="48"/>
      <c r="Z15" s="48"/>
      <c r="AA15" s="48"/>
      <c r="AB15" s="48"/>
      <c r="AD15" s="79"/>
      <c r="AE15" s="58"/>
      <c r="AF15" s="58"/>
      <c r="AG15" s="58"/>
      <c r="AH15" s="79"/>
      <c r="AI15" s="58" t="s">
        <v>7</v>
      </c>
      <c r="AJ15" s="58" t="s">
        <v>7</v>
      </c>
      <c r="AK15" s="58"/>
      <c r="AL15" s="58"/>
      <c r="AM15" s="58" t="s">
        <v>7</v>
      </c>
      <c r="AN15" s="58" t="s">
        <v>7</v>
      </c>
      <c r="AO15" s="58" t="s">
        <v>7</v>
      </c>
      <c r="AP15" s="58" t="s">
        <v>7</v>
      </c>
      <c r="AQ15" s="58" t="s">
        <v>7</v>
      </c>
      <c r="AR15" s="58" t="s">
        <v>7</v>
      </c>
      <c r="AS15" s="58"/>
      <c r="AT15" s="58"/>
      <c r="AU15" s="60" t="s">
        <v>106</v>
      </c>
      <c r="AV15" s="61" t="s">
        <v>107</v>
      </c>
      <c r="AW15" s="61" t="s">
        <v>108</v>
      </c>
      <c r="AX15" s="61" t="s">
        <v>109</v>
      </c>
      <c r="AY15" s="61" t="s">
        <v>110</v>
      </c>
      <c r="AZ15" s="61" t="s">
        <v>111</v>
      </c>
      <c r="BA15" s="61" t="s">
        <v>112</v>
      </c>
      <c r="BB15" s="61" t="s">
        <v>113</v>
      </c>
      <c r="BC15" s="62" t="s">
        <v>114</v>
      </c>
      <c r="BD15" s="63"/>
      <c r="BE15" s="60" t="s">
        <v>106</v>
      </c>
      <c r="BF15" s="61" t="s">
        <v>107</v>
      </c>
      <c r="BG15" s="61" t="s">
        <v>108</v>
      </c>
      <c r="BH15" s="61" t="s">
        <v>109</v>
      </c>
      <c r="BI15" s="61" t="s">
        <v>110</v>
      </c>
      <c r="BJ15" s="61" t="s">
        <v>111</v>
      </c>
      <c r="BK15" s="61" t="s">
        <v>112</v>
      </c>
      <c r="BL15" s="61" t="s">
        <v>113</v>
      </c>
      <c r="BM15" s="62" t="s">
        <v>114</v>
      </c>
      <c r="BN15" s="63"/>
      <c r="BO15" s="53"/>
      <c r="BP15" s="48"/>
      <c r="BQ15" s="48"/>
      <c r="BR15" s="48"/>
      <c r="BS15" s="48"/>
      <c r="BT15" s="48"/>
      <c r="BU15" s="48"/>
      <c r="BV15" s="48"/>
      <c r="BW15" s="69"/>
      <c r="BX15" s="52"/>
      <c r="BY15" s="48"/>
      <c r="BZ15" s="48"/>
      <c r="CA15" s="48"/>
      <c r="CB15" s="48"/>
      <c r="CC15" s="48"/>
      <c r="CD15" s="48"/>
      <c r="CE15" s="48"/>
      <c r="CF15" s="48"/>
      <c r="CG15" s="48"/>
      <c r="CH15" s="52"/>
      <c r="CI15" s="53"/>
      <c r="CJ15" s="48"/>
      <c r="CQ15" s="69"/>
      <c r="CV15" s="64" t="str">
        <f>Matl!E2</f>
        <v>Wet Laminate Carbon Tape</v>
      </c>
      <c r="CW15" s="74"/>
      <c r="CX15" s="51"/>
      <c r="CY15" s="51"/>
      <c r="CZ15" s="51"/>
      <c r="DA15" s="51"/>
      <c r="DB15" s="51"/>
      <c r="DC15" s="51"/>
      <c r="DD15" s="51"/>
      <c r="DE15" s="51"/>
      <c r="DF15" s="51"/>
      <c r="DG15" s="51"/>
      <c r="DH15" s="51"/>
      <c r="DI15" s="51"/>
      <c r="DO15" s="136"/>
      <c r="DS15" s="136"/>
      <c r="DY15" s="110"/>
      <c r="DZ15" s="110"/>
      <c r="EA15" s="110"/>
      <c r="EC15" s="61"/>
      <c r="ED15" s="61"/>
      <c r="EE15" s="61"/>
      <c r="EF15" s="61"/>
      <c r="EG15" s="61"/>
      <c r="EH15" s="61"/>
      <c r="EI15" s="61"/>
      <c r="EJ15" s="61"/>
      <c r="EK15" s="61"/>
      <c r="EL15" s="61"/>
      <c r="EM15" s="61"/>
      <c r="EN15" s="61"/>
      <c r="EO15" s="61"/>
      <c r="EP15" s="61"/>
      <c r="EQ15" s="61"/>
      <c r="EZ15" s="61"/>
      <c r="FA15" s="61"/>
      <c r="FB15" s="61"/>
      <c r="FC15" s="61"/>
      <c r="FD15" s="61"/>
      <c r="FE15" s="61"/>
      <c r="FK15" s="61"/>
      <c r="FL15" s="61"/>
      <c r="FM15" s="61"/>
      <c r="FN15" s="61"/>
      <c r="FS15" s="106"/>
      <c r="FT15" s="61"/>
      <c r="FU15" s="61"/>
      <c r="FV15" s="61"/>
      <c r="FW15" s="76"/>
      <c r="FX15" s="65"/>
      <c r="FY15" s="65"/>
      <c r="FZ15" s="106"/>
      <c r="GA15" s="61"/>
      <c r="GB15" s="61"/>
      <c r="GE15" s="61"/>
      <c r="GG15" s="106"/>
      <c r="GH15" s="65"/>
      <c r="GI15" s="61"/>
      <c r="GP15" s="61"/>
      <c r="GQ15" s="61"/>
      <c r="GR15" s="61"/>
      <c r="GS15" s="61"/>
    </row>
    <row r="16" spans="1:248" ht="13.8" x14ac:dyDescent="0.3">
      <c r="A16" s="132">
        <v>1</v>
      </c>
      <c r="B16" s="182">
        <v>45</v>
      </c>
      <c r="C16" s="182"/>
      <c r="D16" s="222" t="s">
        <v>52</v>
      </c>
      <c r="E16" s="222"/>
      <c r="F16" s="146">
        <f>IF(C16="",INDEX(Matl!$C$15:$K$15,MATCH(D16,Matl!$C$2:$K$2,0)),C16)</f>
        <v>6.2007874015748039E-3</v>
      </c>
      <c r="G16" s="147"/>
      <c r="H16" s="105" t="s">
        <v>132</v>
      </c>
      <c r="I16" s="105"/>
      <c r="J16" s="105"/>
      <c r="K16" s="105"/>
      <c r="W16" s="48">
        <f t="shared" ref="W16:W50" si="3">IF(AA16=0,F16,0)</f>
        <v>6.2007874015748039E-3</v>
      </c>
      <c r="X16" s="48"/>
      <c r="Y16" s="48"/>
      <c r="Z16" s="48"/>
      <c r="AA16" s="48">
        <f t="shared" ref="AA16:AA50" si="4">IF(B16="","",IF(B16=0,1,))</f>
        <v>0</v>
      </c>
      <c r="AB16" s="48">
        <f>IF(B16="","",IF(OR(D16=CV14,D16=CV16,D16=CV17,D16=CV18,D16=CV20)=TRUE,0.5,1))</f>
        <v>1</v>
      </c>
      <c r="AC16" s="51">
        <f t="shared" ref="AC16:AC50" si="5">IF(B16="","",AB16*AA16*F16)</f>
        <v>0</v>
      </c>
      <c r="AD16" s="77">
        <f t="shared" ref="AD16:AD50" si="6">B16*PI()/180</f>
        <v>0.78539816339744828</v>
      </c>
      <c r="AE16" s="77">
        <f>IF(D16="",0,SUM(F16:F16))</f>
        <v>6.2007874015748039E-3</v>
      </c>
      <c r="AF16" s="77">
        <f>IF(D16="",0,SUM(F16:F50)/2-AE16)</f>
        <v>5.5807086614173218E-2</v>
      </c>
      <c r="AG16" s="77">
        <f t="shared" ref="AG16:AG50" si="7">AF16+F16</f>
        <v>6.2007874015748018E-2</v>
      </c>
      <c r="AH16" s="77">
        <f>IF(D16="",0,(AE16+AE15)/2-SUM(F16:F50)/2)</f>
        <v>-5.8907480314960618E-2</v>
      </c>
      <c r="AI16" s="58">
        <f ca="1">IF(D16="",0,INDEX(INDIRECT(CW32),MATCH(AI14,Matl!$B$3:$B$17,0),MATCH(D16,Matl!$D$2:$K$2,0)))</f>
        <v>18590067.030412</v>
      </c>
      <c r="AJ16" s="58">
        <f ca="1">IF(D16="",0,INDEX(INDIRECT(CW32),MATCH(AJ14,Matl!$B$3:$B$17,0),MATCH(D16,Matl!$D$2:$K$2,0)))</f>
        <v>1519995.4942399999</v>
      </c>
      <c r="AK16" s="58">
        <f ca="1">IF(D16="",0,INDEX(INDIRECT(CW32),MATCH(AK14,Matl!$B$3:$B$15,0),MATCH(D16,Matl!$D$2:$K$2,0)))</f>
        <v>0.31900000000000001</v>
      </c>
      <c r="AL16" s="80">
        <f t="shared" ref="AL16:AL50" ca="1" si="8">IF(D16="",0,AK16*(AJ16/AI16))</f>
        <v>2.6082668872002123E-2</v>
      </c>
      <c r="AM16" s="58">
        <f ca="1">IF(D16="",0,INDEX(INDIRECT(CW32),MATCH(AM14,Matl!$B$3:$B$15,0),MATCH(D16,Matl!$D$2:$K$2,0)))</f>
        <v>650059.14171599993</v>
      </c>
      <c r="AN16" s="81">
        <f ca="1">IF(D16="",0,INDEX(INDIRECT(CW32),MATCH(AN14,Matl!$B$3:$B$15,0),MATCH(D16,Matl!$D$2:$K$2,0)))</f>
        <v>290365.55147599999</v>
      </c>
      <c r="AO16" s="81">
        <f ca="1">IF(D16="",0,INDEX(INDIRECT(CW32),MATCH(AO14,Matl!$B$3:$B$15,0),MATCH(D16,Matl!$D$2:$K$2,0)))</f>
        <v>1885.4905939999999</v>
      </c>
      <c r="AP16" s="81">
        <f ca="1">IF(D16="",0,INDEX(INDIRECT(CW32),MATCH(AP14,Matl!$B$3:$B$15,0),MATCH(D16,Matl!$D$2:$K$2,0)))</f>
        <v>90068.435297999997</v>
      </c>
      <c r="AQ16" s="81">
        <f ca="1">IF(D16="",0,INDEX(INDIRECT(CW32),MATCH(AQ14,Matl!$B$3:$B$15,0),MATCH(D16,Matl!$D$2:$K$2,0)))</f>
        <v>10877.83035</v>
      </c>
      <c r="AR16" s="81">
        <f ca="1">IF(D16="",0,INDEX(INDIRECT(CW32),MATCH(AR14,Matl!$B$3:$B$15,0),MATCH(D16,Matl!$D$2:$K$2,0)))</f>
        <v>9137.3774940000003</v>
      </c>
      <c r="AS16" s="58"/>
      <c r="AT16" s="58"/>
      <c r="AU16" s="82">
        <f t="shared" ref="AU16:AU50" ca="1" si="9">AI16/(1-(AL16*AK16))</f>
        <v>18746041.053699207</v>
      </c>
      <c r="AV16" s="76">
        <f t="shared" ref="AV16:AV50" ca="1" si="10">AJ16/(1-(AL16*AK16))</f>
        <v>1532748.5312369722</v>
      </c>
      <c r="AW16" s="76">
        <f t="shared" ref="AW16:AW50" ca="1" si="11">(AL16*AI16)/(1-AL16*AK16)</f>
        <v>488946.78146459418</v>
      </c>
      <c r="AX16" s="76">
        <f t="shared" ref="AX16:AX50" ca="1" si="12">(AK16*AJ16)/(1-AL16*AK16)</f>
        <v>488946.78146459413</v>
      </c>
      <c r="AY16" s="61">
        <v>0</v>
      </c>
      <c r="AZ16" s="61">
        <v>0</v>
      </c>
      <c r="BA16" s="61">
        <v>0</v>
      </c>
      <c r="BB16" s="61">
        <v>0</v>
      </c>
      <c r="BC16" s="62">
        <f t="shared" ref="BC16:BC50" ca="1" si="13">AM16</f>
        <v>650059.14171599993</v>
      </c>
      <c r="BD16" s="63"/>
      <c r="BE16" s="82">
        <f t="shared" ref="BE16:BE50" ca="1" si="14">AU16*(COS(AD16)^4)+2*(AW16+2*BC16)*(SIN(AD16)^2)*(COS(AD16)^2)+AV16*(SIN(AD16)^4)</f>
        <v>5964229.928682344</v>
      </c>
      <c r="BF16" s="76">
        <f t="shared" ref="BF16:BF50" ca="1" si="15">AU16*(SIN(AD16)^4)+2*(AW16+2*BC16)*(SIN(AD16)^2)*(COS(AD16)^2)+AV16*(COS(AD16)^4)</f>
        <v>5964229.9286823403</v>
      </c>
      <c r="BG16" s="76">
        <f t="shared" ref="BG16:BG50" ca="1" si="16">(AU16+AV16-4*BC16)*SIN(AD16)^2*COS(AD16)^2+AW16*(SIN(AD16)^4+COS(AD16)^4)</f>
        <v>4664111.6452503419</v>
      </c>
      <c r="BH16" s="76">
        <f t="shared" ref="BH16:BH50" ca="1" si="17">BG16</f>
        <v>4664111.6452503419</v>
      </c>
      <c r="BI16" s="76">
        <f ca="1">(AU16-AW16-2*BC16)*SIN(AD16)*COS(AD16)^3+(AW16-AV16+2*BC16)*SIN(AD16)^3*COS(AD16)</f>
        <v>4303323.1306155594</v>
      </c>
      <c r="BJ16" s="76">
        <f t="shared" ref="BJ16:BJ50" ca="1" si="18">BI16</f>
        <v>4303323.1306155594</v>
      </c>
      <c r="BK16" s="76">
        <f t="shared" ref="BK16:BK50" ca="1" si="19">(AU16-AW16-2*BC16)*SIN(AD16)^3*COS(AD16)+(AW16-AV16+2*BC16)*SIN(AD16)*COS(AD16)^3</f>
        <v>4303323.1306155575</v>
      </c>
      <c r="BL16" s="76">
        <f t="shared" ref="BL16:BL50" ca="1" si="20">BK16</f>
        <v>4303323.1306155575</v>
      </c>
      <c r="BM16" s="83">
        <f ca="1">(AU16+AV16-2*AW16-2*BC16)*SIN(AD16)^2*COS(AD16)^2+BC16*(SIN(AD16)^4+COS(AD16)^4)</f>
        <v>4825224.0055017481</v>
      </c>
      <c r="BN16" s="84"/>
      <c r="BO16" s="82">
        <f t="shared" ref="BO16:BO50" ca="1" si="21">BE16*F16</f>
        <v>36982.92180186887</v>
      </c>
      <c r="BP16" s="76">
        <f t="shared" ref="BP16:BP50" ca="1" si="22">BF16*F16</f>
        <v>36982.921801868848</v>
      </c>
      <c r="BQ16" s="76">
        <f t="shared" ref="BQ16:BQ50" ca="1" si="23">BG16*F16</f>
        <v>28921.16472940665</v>
      </c>
      <c r="BR16" s="76">
        <f t="shared" ref="BR16:BR50" ca="1" si="24">BH16*F16</f>
        <v>28921.16472940665</v>
      </c>
      <c r="BS16" s="76">
        <f t="shared" ref="BS16:BS50" ca="1" si="25">BI16*F16</f>
        <v>26683.991853226406</v>
      </c>
      <c r="BT16" s="76">
        <f t="shared" ref="BT16:BT50" ca="1" si="26">BJ16*F16</f>
        <v>26683.991853226406</v>
      </c>
      <c r="BU16" s="76">
        <f t="shared" ref="BU16:BU50" ca="1" si="27">BK16*F16</f>
        <v>26683.991853226395</v>
      </c>
      <c r="BV16" s="76">
        <f t="shared" ref="BV16:BV50" ca="1" si="28">BL16*F16</f>
        <v>26683.991853226395</v>
      </c>
      <c r="BW16" s="83">
        <f t="shared" ref="BW16:BW50" ca="1" si="29">BM16*F16</f>
        <v>29920.188223091551</v>
      </c>
      <c r="BX16" s="84"/>
      <c r="BY16" s="76">
        <f t="shared" ref="BY16:BY50" ca="1" si="30">BE16*AH16*F16</f>
        <v>-2178.5707380333183</v>
      </c>
      <c r="BZ16" s="76">
        <f t="shared" ref="BZ16:BZ50" ca="1" si="31">BF16*AH16*F16</f>
        <v>-2178.570738033317</v>
      </c>
      <c r="CA16" s="76">
        <f t="shared" ref="CA16:CA50" ca="1" si="32">BG16*AH16*F16</f>
        <v>-1703.6729419832557</v>
      </c>
      <c r="CB16" s="76">
        <f t="shared" ref="CB16:CB50" ca="1" si="33">BH16*AH16*F16</f>
        <v>-1703.6729419832557</v>
      </c>
      <c r="CC16" s="76">
        <f t="shared" ref="CC16:CC50" ca="1" si="34">BI16*AH16*F16</f>
        <v>-1571.886724818504</v>
      </c>
      <c r="CD16" s="76">
        <f t="shared" ref="CD16:CD50" ca="1" si="35">BJ16*AH16*F16</f>
        <v>-1571.886724818504</v>
      </c>
      <c r="CE16" s="76">
        <f t="shared" ref="CE16:CE50" ca="1" si="36">BK16*AH16*F16</f>
        <v>-1571.8867248185031</v>
      </c>
      <c r="CF16" s="76">
        <f t="shared" ref="CF16:CF50" ca="1" si="37">BL16*AH16*F16</f>
        <v>-1571.8867248185031</v>
      </c>
      <c r="CG16" s="76">
        <f t="shared" ref="CG16:CG50" ca="1" si="38">BM16*AH16*F16</f>
        <v>-1762.5228987716821</v>
      </c>
      <c r="CH16" s="84"/>
      <c r="CI16" s="85">
        <f t="shared" ref="CI16:CI50" ca="1" si="39">BE16*(F16^3/12+AH16^2*F16)</f>
        <v>128.45261158462094</v>
      </c>
      <c r="CJ16" s="86">
        <f t="shared" ref="CJ16:CJ50" ca="1" si="40">BF16*(F16^3/12+AH16^2*F16)</f>
        <v>128.45261158462085</v>
      </c>
      <c r="CK16" s="86">
        <f t="shared" ref="CK16:CK50" ca="1" si="41">BG16*(F16^3/12+AH16^2*F16)</f>
        <v>100.45174795717682</v>
      </c>
      <c r="CL16" s="86">
        <f t="shared" ref="CL16:CL50" ca="1" si="42">BH16*(F16^3/12+AH16^2*F16)</f>
        <v>100.45174795717682</v>
      </c>
      <c r="CM16" s="86">
        <f t="shared" ref="CM16:CM50" ca="1" si="43">BI16*(F16^3/12+AH16^2*F16)</f>
        <v>92.681385732926898</v>
      </c>
      <c r="CN16" s="86">
        <f t="shared" ref="CN16:CN50" ca="1" si="44">BJ16*(F16^3/12+AH16^2*F16)</f>
        <v>92.681385732926898</v>
      </c>
      <c r="CO16" s="86">
        <f t="shared" ref="CO16:CO50" ca="1" si="45">BK16*(F16^3/12+AH16^2*F16)</f>
        <v>92.68138573292687</v>
      </c>
      <c r="CP16" s="86">
        <f t="shared" ref="CP16:CP50" ca="1" si="46">BL16*(F16^3/12+AH16^2*F16)</f>
        <v>92.68138573292687</v>
      </c>
      <c r="CQ16" s="87">
        <f t="shared" ref="CQ16:CQ50" ca="1" si="47">BM16*(F16^3/12+AH16^2*F16)</f>
        <v>103.92165164639081</v>
      </c>
      <c r="CR16" s="61">
        <f ca="1">IF(D16="","",INDEX(INDIRECT(CW32),MATCH(CR14,Matl!$B$3:$B$29,0),MATCH(D16,Matl!$D$2:$K$2,0)))</f>
        <v>3000</v>
      </c>
      <c r="CS16" s="48">
        <f ca="1">IF(D16="","",INDEX(INDIRECT(CW32),MATCH(CS14,Matl!$B$3:$B$29,0),MATCH(D16,Matl!$D$2:$K$2,0)))</f>
        <v>4500</v>
      </c>
      <c r="CV16" s="64" t="str">
        <f>Matl!F2</f>
        <v>test</v>
      </c>
      <c r="CW16" s="74"/>
      <c r="CX16" s="51"/>
      <c r="CY16" s="51"/>
      <c r="CZ16" s="51"/>
      <c r="DA16" s="51"/>
      <c r="DB16" s="51"/>
      <c r="DC16" s="51"/>
      <c r="DD16" s="51"/>
      <c r="DE16" s="51"/>
      <c r="DF16" s="51"/>
      <c r="DG16" s="51"/>
      <c r="DH16" s="51"/>
      <c r="DI16" s="51"/>
      <c r="DJ16" s="89"/>
      <c r="DN16" s="88"/>
      <c r="DO16" s="108"/>
      <c r="DR16" s="88"/>
      <c r="DS16" s="108"/>
      <c r="DT16" s="136"/>
      <c r="DU16" s="76"/>
      <c r="DV16" s="76"/>
      <c r="DW16" s="76"/>
      <c r="DY16" s="110"/>
      <c r="DZ16" s="110"/>
      <c r="EA16" s="110"/>
      <c r="EC16" s="90"/>
      <c r="ED16" s="90"/>
      <c r="EE16" s="90"/>
      <c r="EF16" s="90"/>
      <c r="EG16" s="90"/>
      <c r="EH16" s="90"/>
      <c r="EI16" s="90"/>
      <c r="EJ16" s="90"/>
      <c r="EK16" s="90"/>
      <c r="EL16" s="90"/>
      <c r="EM16" s="90"/>
      <c r="EN16" s="90"/>
      <c r="EO16" s="90"/>
      <c r="EP16" s="90"/>
      <c r="EQ16" s="90"/>
      <c r="ER16" s="76"/>
      <c r="ES16" s="76"/>
      <c r="ET16" s="76"/>
      <c r="EU16" s="76"/>
      <c r="EV16" s="76"/>
      <c r="EW16" s="76"/>
      <c r="EX16" s="76"/>
      <c r="EY16" s="76"/>
      <c r="EZ16" s="137"/>
      <c r="FA16" s="137"/>
      <c r="FB16" s="61"/>
      <c r="FC16" s="138"/>
      <c r="FD16" s="61"/>
      <c r="FE16" s="61"/>
      <c r="FF16" s="91"/>
      <c r="FI16" s="91"/>
      <c r="FK16" s="92"/>
      <c r="FL16" s="92"/>
      <c r="FM16" s="92"/>
      <c r="FN16" s="92"/>
      <c r="FO16" s="92"/>
      <c r="FP16" s="92"/>
      <c r="FQ16" s="92"/>
      <c r="FS16" s="106"/>
      <c r="FT16" s="61"/>
      <c r="FU16" s="65"/>
      <c r="FV16" s="61"/>
      <c r="FW16" s="65"/>
      <c r="FX16" s="65"/>
      <c r="FY16" s="65"/>
      <c r="FZ16" s="106"/>
      <c r="GA16" s="61"/>
      <c r="GB16" s="65"/>
      <c r="GC16" s="93"/>
      <c r="GD16" s="94"/>
      <c r="GE16" s="61"/>
      <c r="GF16" s="94"/>
      <c r="GG16" s="106"/>
      <c r="GH16" s="90"/>
      <c r="GI16" s="65"/>
      <c r="GJ16" s="94"/>
      <c r="GK16" s="94"/>
      <c r="GL16" s="94"/>
      <c r="GM16" s="94"/>
      <c r="GN16" s="106"/>
      <c r="GO16" s="65"/>
      <c r="GP16" s="96"/>
      <c r="GQ16" s="96"/>
      <c r="GR16" s="96"/>
      <c r="GS16" s="96"/>
      <c r="GT16" s="96"/>
      <c r="GU16" s="96"/>
      <c r="GV16" s="96"/>
    </row>
    <row r="17" spans="1:204" ht="13.8" x14ac:dyDescent="0.3">
      <c r="A17" s="132">
        <v>2</v>
      </c>
      <c r="B17" s="182">
        <v>0</v>
      </c>
      <c r="C17" s="182"/>
      <c r="D17" s="222" t="s">
        <v>52</v>
      </c>
      <c r="E17" s="222"/>
      <c r="F17" s="146">
        <f>IF(C17="",INDEX(Matl!$C$15:$K$15,MATCH(D17,Matl!$C$2:$K$2,0)),C17)</f>
        <v>6.2007874015748039E-3</v>
      </c>
      <c r="G17" s="147"/>
      <c r="H17" s="104" t="s">
        <v>133</v>
      </c>
      <c r="I17" s="104"/>
      <c r="J17" s="104" t="s">
        <v>134</v>
      </c>
      <c r="K17" s="51"/>
      <c r="W17" s="48">
        <f t="shared" si="3"/>
        <v>0</v>
      </c>
      <c r="X17" s="48"/>
      <c r="Y17" s="48"/>
      <c r="Z17" s="48"/>
      <c r="AA17" s="48">
        <f t="shared" si="4"/>
        <v>1</v>
      </c>
      <c r="AB17" s="48">
        <f>IF(B17="","",IF(OR(D17=CV14,D17=CV16,D17=CV17,D17=CV18,D17=CV20)=TRUE,0.5,1))</f>
        <v>1</v>
      </c>
      <c r="AC17" s="51">
        <f t="shared" si="5"/>
        <v>6.2007874015748039E-3</v>
      </c>
      <c r="AD17" s="77">
        <f t="shared" si="6"/>
        <v>0</v>
      </c>
      <c r="AE17" s="77">
        <f>IF(D17="",0,SUM(F15:F17))</f>
        <v>1.2401574803149608E-2</v>
      </c>
      <c r="AF17" s="77">
        <f>IF(D17="",0,SUM(F16:F50)/2-AE17)</f>
        <v>4.9606299212598411E-2</v>
      </c>
      <c r="AG17" s="77">
        <f t="shared" si="7"/>
        <v>5.5807086614173218E-2</v>
      </c>
      <c r="AH17" s="77">
        <f>IF(D17="",0,(AE17+AE16)/2-SUM(F16:F50)/2)</f>
        <v>-5.2706692913385811E-2</v>
      </c>
      <c r="AI17" s="58">
        <f ca="1">IF(D17="",0,INDEX(INDIRECT(CW32),MATCH(AI14,Matl!$B$3:$B$17,0),MATCH(D17,Matl!$D$2:$K$2,0)))</f>
        <v>18590067.030412</v>
      </c>
      <c r="AJ17" s="58">
        <f ca="1">IF(D17="",0,INDEX(INDIRECT(CW32),MATCH(AJ14,Matl!$B$3:$B$17,0),MATCH(D17,Matl!$D$2:$K$2,0)))</f>
        <v>1519995.4942399999</v>
      </c>
      <c r="AK17" s="58">
        <f ca="1">IF(D17="",0,INDEX(INDIRECT(CW32),MATCH(AK14,Matl!$B$3:$B$15,0),MATCH(D17,Matl!$D$2:$K$2,0)))</f>
        <v>0.31900000000000001</v>
      </c>
      <c r="AL17" s="80">
        <f t="shared" ca="1" si="8"/>
        <v>2.6082668872002123E-2</v>
      </c>
      <c r="AM17" s="58">
        <f ca="1">IF(D17="",0,INDEX(INDIRECT(CW32),MATCH(AM14,Matl!$B$3:$B$15,0),MATCH(D17,Matl!$D$2:$K$2,0)))</f>
        <v>650059.14171599993</v>
      </c>
      <c r="AN17" s="81">
        <f ca="1">IF(D17="",0,INDEX(INDIRECT(CW32),MATCH(AN14,Matl!$B$3:$B$15,0),MATCH(D17,Matl!$D$2:$K$2,0)))</f>
        <v>290365.55147599999</v>
      </c>
      <c r="AO17" s="81">
        <f ca="1">IF(D17="",0,INDEX(INDIRECT(CW32),MATCH(AO14,Matl!$B$3:$B$15,0),MATCH(D17,Matl!$D$2:$K$2,0)))</f>
        <v>1885.4905939999999</v>
      </c>
      <c r="AP17" s="81">
        <f ca="1">IF(D17="",0,INDEX(INDIRECT(CW32),MATCH(AP14,Matl!$B$3:$B$15,0),MATCH(D17,Matl!$D$2:$K$2,0)))</f>
        <v>90068.435297999997</v>
      </c>
      <c r="AQ17" s="81">
        <f ca="1">IF(D17="",0,INDEX(INDIRECT(CW32),MATCH(AQ14,Matl!$B$3:$B$15,0),MATCH(D17,Matl!$D$2:$K$2,0)))</f>
        <v>10877.83035</v>
      </c>
      <c r="AR17" s="81">
        <f ca="1">IF(D17="",0,INDEX(INDIRECT(CW32),MATCH(AR14,Matl!$B$3:$B$15,0),MATCH(D17,Matl!$D$2:$K$2,0)))</f>
        <v>9137.3774940000003</v>
      </c>
      <c r="AS17" s="58"/>
      <c r="AT17" s="58"/>
      <c r="AU17" s="82">
        <f t="shared" ca="1" si="9"/>
        <v>18746041.053699207</v>
      </c>
      <c r="AV17" s="76">
        <f t="shared" ca="1" si="10"/>
        <v>1532748.5312369722</v>
      </c>
      <c r="AW17" s="76">
        <f t="shared" ca="1" si="11"/>
        <v>488946.78146459418</v>
      </c>
      <c r="AX17" s="76">
        <f t="shared" ca="1" si="12"/>
        <v>488946.78146459413</v>
      </c>
      <c r="AY17" s="61">
        <v>0</v>
      </c>
      <c r="AZ17" s="61">
        <v>0</v>
      </c>
      <c r="BA17" s="61">
        <v>0</v>
      </c>
      <c r="BB17" s="61">
        <v>0</v>
      </c>
      <c r="BC17" s="62">
        <f t="shared" ca="1" si="13"/>
        <v>650059.14171599993</v>
      </c>
      <c r="BD17" s="63"/>
      <c r="BE17" s="82">
        <f t="shared" ca="1" si="14"/>
        <v>18746041.053699207</v>
      </c>
      <c r="BF17" s="76">
        <f t="shared" ca="1" si="15"/>
        <v>1532748.5312369722</v>
      </c>
      <c r="BG17" s="76">
        <f t="shared" ca="1" si="16"/>
        <v>488946.78146459418</v>
      </c>
      <c r="BH17" s="76">
        <f t="shared" ca="1" si="17"/>
        <v>488946.78146459418</v>
      </c>
      <c r="BI17" s="76">
        <f t="shared" ref="BI17:BI50" ca="1" si="48">(AU17-AW17-2*BC17)*SIN(AD17)*COS(AD17)^3+(AW17-AV17+2*BC17)*SIN(AD17)^3*COS(AD17)</f>
        <v>0</v>
      </c>
      <c r="BJ17" s="76">
        <f t="shared" ca="1" si="18"/>
        <v>0</v>
      </c>
      <c r="BK17" s="76">
        <f t="shared" ca="1" si="19"/>
        <v>0</v>
      </c>
      <c r="BL17" s="76">
        <f t="shared" ca="1" si="20"/>
        <v>0</v>
      </c>
      <c r="BM17" s="83">
        <f ca="1">(AU17+AV17-2*AW17-2*BC17)*SIN(AD17)^2*COS(AD17)^2+BC17*(SIN(AD17)^4+COS(AD17)^4)</f>
        <v>650059.14171599993</v>
      </c>
      <c r="BN17" s="84"/>
      <c r="BO17" s="82">
        <f t="shared" ca="1" si="21"/>
        <v>116240.2151951821</v>
      </c>
      <c r="BP17" s="76">
        <f t="shared" ca="1" si="22"/>
        <v>9504.2477822765013</v>
      </c>
      <c r="BQ17" s="76">
        <f t="shared" ca="1" si="23"/>
        <v>3031.8550425462045</v>
      </c>
      <c r="BR17" s="76">
        <f t="shared" ca="1" si="24"/>
        <v>3031.8550425462045</v>
      </c>
      <c r="BS17" s="76">
        <f t="shared" ca="1" si="25"/>
        <v>0</v>
      </c>
      <c r="BT17" s="76">
        <f t="shared" ca="1" si="26"/>
        <v>0</v>
      </c>
      <c r="BU17" s="76">
        <f t="shared" ca="1" si="27"/>
        <v>0</v>
      </c>
      <c r="BV17" s="76">
        <f t="shared" ca="1" si="28"/>
        <v>0</v>
      </c>
      <c r="BW17" s="83">
        <f t="shared" ca="1" si="29"/>
        <v>4030.8785362311023</v>
      </c>
      <c r="BX17" s="84"/>
      <c r="BY17" s="76">
        <f t="shared" ca="1" si="30"/>
        <v>-6126.637326478346</v>
      </c>
      <c r="BZ17" s="76">
        <f t="shared" ca="1" si="31"/>
        <v>-500.9374692331757</v>
      </c>
      <c r="CA17" s="76">
        <f t="shared" ca="1" si="32"/>
        <v>-159.79905268538306</v>
      </c>
      <c r="CB17" s="76">
        <f t="shared" ca="1" si="33"/>
        <v>-159.79905268538306</v>
      </c>
      <c r="CC17" s="76">
        <f t="shared" ca="1" si="34"/>
        <v>0</v>
      </c>
      <c r="CD17" s="76">
        <f t="shared" ca="1" si="35"/>
        <v>0</v>
      </c>
      <c r="CE17" s="76">
        <f t="shared" ca="1" si="36"/>
        <v>0</v>
      </c>
      <c r="CF17" s="76">
        <f t="shared" ca="1" si="37"/>
        <v>0</v>
      </c>
      <c r="CG17" s="76">
        <f t="shared" ca="1" si="38"/>
        <v>-212.45427718029083</v>
      </c>
      <c r="CH17" s="84"/>
      <c r="CI17" s="85">
        <f t="shared" ca="1" si="39"/>
        <v>323.28724289904835</v>
      </c>
      <c r="CJ17" s="86">
        <f t="shared" ca="1" si="40"/>
        <v>26.433210367016919</v>
      </c>
      <c r="CK17" s="86">
        <f t="shared" ca="1" si="41"/>
        <v>8.4321941070783986</v>
      </c>
      <c r="CL17" s="86">
        <f t="shared" ca="1" si="42"/>
        <v>8.4321941070783986</v>
      </c>
      <c r="CM17" s="86">
        <f t="shared" ca="1" si="43"/>
        <v>0</v>
      </c>
      <c r="CN17" s="86">
        <f t="shared" ca="1" si="44"/>
        <v>0</v>
      </c>
      <c r="CO17" s="86">
        <f t="shared" ca="1" si="45"/>
        <v>0</v>
      </c>
      <c r="CP17" s="86">
        <f t="shared" ca="1" si="46"/>
        <v>0</v>
      </c>
      <c r="CQ17" s="87">
        <f t="shared" ca="1" si="47"/>
        <v>11.210677872980373</v>
      </c>
      <c r="CR17" s="61">
        <f ca="1">IF(D17="","",INDEX(INDIRECT(CW32),MATCH(CR14,Matl!$B$3:$B$29,0),MATCH(D17,Matl!$D$2:$K$2,0)))</f>
        <v>3000</v>
      </c>
      <c r="CS17" s="48">
        <f ca="1">IF(D17="","",INDEX(INDIRECT(CW32),MATCH(CS14,Matl!$B$3:$B$29,0),MATCH(D17,Matl!$D$2:$K$2,0)))</f>
        <v>4500</v>
      </c>
      <c r="CV17" s="101" t="str">
        <f>Matl!G2</f>
        <v>Wet Laminate Glass Cloth</v>
      </c>
      <c r="CW17" s="74"/>
      <c r="CX17" s="51"/>
      <c r="CY17" s="51"/>
      <c r="CZ17" s="51"/>
      <c r="DA17" s="51"/>
      <c r="DB17" s="51"/>
      <c r="DC17" s="51"/>
      <c r="DD17" s="51"/>
      <c r="DE17" s="51"/>
      <c r="DF17" s="51"/>
      <c r="DG17" s="51"/>
      <c r="DH17" s="51"/>
      <c r="DI17" s="51"/>
      <c r="DJ17" s="89"/>
      <c r="DN17" s="88"/>
      <c r="DO17" s="108"/>
      <c r="DR17" s="88"/>
      <c r="DS17" s="108"/>
      <c r="DT17" s="136"/>
      <c r="DU17" s="76"/>
      <c r="DV17" s="76"/>
      <c r="DW17" s="76"/>
      <c r="DY17" s="110"/>
      <c r="DZ17" s="110"/>
      <c r="EA17" s="110"/>
      <c r="EC17" s="90"/>
      <c r="ED17" s="90"/>
      <c r="EE17" s="90"/>
      <c r="EF17" s="90"/>
      <c r="EG17" s="90"/>
      <c r="EH17" s="90"/>
      <c r="EI17" s="90"/>
      <c r="EJ17" s="90"/>
      <c r="EK17" s="90"/>
      <c r="EL17" s="90"/>
      <c r="EM17" s="90"/>
      <c r="EN17" s="90"/>
      <c r="EO17" s="90"/>
      <c r="EP17" s="90"/>
      <c r="EQ17" s="90"/>
      <c r="ER17" s="76"/>
      <c r="ES17" s="76"/>
      <c r="ET17" s="76"/>
      <c r="EU17" s="76"/>
      <c r="EV17" s="76"/>
      <c r="EW17" s="76"/>
      <c r="EX17" s="76"/>
      <c r="EY17" s="76"/>
      <c r="EZ17" s="137"/>
      <c r="FA17" s="137"/>
      <c r="FB17" s="61"/>
      <c r="FC17" s="138"/>
      <c r="FD17" s="61"/>
      <c r="FE17" s="61"/>
      <c r="FF17" s="91"/>
      <c r="FI17" s="91"/>
      <c r="FK17" s="92"/>
      <c r="FL17" s="92"/>
      <c r="FM17" s="92"/>
      <c r="FN17" s="92"/>
      <c r="FO17" s="92"/>
      <c r="FP17" s="92"/>
      <c r="FQ17" s="92"/>
      <c r="FS17" s="106"/>
      <c r="FT17" s="65"/>
      <c r="FU17" s="65"/>
      <c r="FV17" s="65"/>
      <c r="FW17" s="65"/>
      <c r="FX17" s="65"/>
      <c r="FY17" s="65"/>
      <c r="FZ17" s="106"/>
      <c r="GA17" s="90"/>
      <c r="GB17" s="65"/>
      <c r="GC17" s="61"/>
      <c r="GD17" s="94"/>
      <c r="GE17" s="65"/>
      <c r="GF17" s="94"/>
      <c r="GG17" s="106"/>
      <c r="GH17" s="90"/>
      <c r="GI17" s="65"/>
      <c r="GJ17" s="90"/>
      <c r="GK17" s="94"/>
      <c r="GL17" s="90"/>
      <c r="GM17" s="94"/>
      <c r="GN17" s="106"/>
      <c r="GO17" s="65"/>
      <c r="GP17" s="96"/>
      <c r="GQ17" s="96"/>
      <c r="GR17" s="96"/>
      <c r="GS17" s="96"/>
      <c r="GT17" s="96"/>
      <c r="GU17" s="96"/>
      <c r="GV17" s="96"/>
    </row>
    <row r="18" spans="1:204" ht="13.8" x14ac:dyDescent="0.3">
      <c r="A18" s="132">
        <v>3</v>
      </c>
      <c r="B18" s="182">
        <v>90</v>
      </c>
      <c r="C18" s="182"/>
      <c r="D18" s="222" t="s">
        <v>52</v>
      </c>
      <c r="E18" s="222"/>
      <c r="F18" s="146">
        <f>IF(C18="",INDEX(Matl!$C$15:$K$15,MATCH(D18,Matl!$C$2:$K$2,0)),C18)</f>
        <v>6.2007874015748039E-3</v>
      </c>
      <c r="G18" s="147"/>
      <c r="H18" s="104" t="s">
        <v>135</v>
      </c>
      <c r="I18" s="104"/>
      <c r="J18" s="104" t="s">
        <v>136</v>
      </c>
      <c r="K18" s="51"/>
      <c r="W18" s="48">
        <f t="shared" si="3"/>
        <v>6.2007874015748039E-3</v>
      </c>
      <c r="X18" s="48"/>
      <c r="Y18" s="48"/>
      <c r="Z18" s="48"/>
      <c r="AA18" s="48">
        <f t="shared" si="4"/>
        <v>0</v>
      </c>
      <c r="AB18" s="48">
        <f>IF(B18="","",IF(OR(D18=CV14,D18=CV16,D18=CV17,D18=CV18,D18=CV20)=TRUE,0.5,1))</f>
        <v>1</v>
      </c>
      <c r="AC18" s="51">
        <f t="shared" si="5"/>
        <v>0</v>
      </c>
      <c r="AD18" s="77">
        <f t="shared" si="6"/>
        <v>1.5707963267948966</v>
      </c>
      <c r="AE18" s="77">
        <f>IF(D18="",0,SUM(F15:F18))</f>
        <v>1.8602362204724412E-2</v>
      </c>
      <c r="AF18" s="77">
        <f>IF(D18="",0,SUM(F16:F50)/2-AE18)</f>
        <v>4.3405511811023603E-2</v>
      </c>
      <c r="AG18" s="77">
        <f t="shared" si="7"/>
        <v>4.9606299212598404E-2</v>
      </c>
      <c r="AH18" s="77">
        <f>IF(D18="",0,(AE18+AE17)/2-SUM(F16:F50)/2)</f>
        <v>-4.650590551181101E-2</v>
      </c>
      <c r="AI18" s="58">
        <f ca="1">IF(D18="",0,INDEX(INDIRECT(CW32),MATCH(AI14,Matl!$B$3:$B$17,0),MATCH(D18,Matl!$D$2:$K$2,0)))</f>
        <v>18590067.030412</v>
      </c>
      <c r="AJ18" s="58">
        <f ca="1">IF(D18="",0,INDEX(INDIRECT(CW32),MATCH(AJ14,Matl!$B$3:$B$17,0),MATCH(D18,Matl!$D$2:$K$2,0)))</f>
        <v>1519995.4942399999</v>
      </c>
      <c r="AK18" s="58">
        <f ca="1">IF(D18="",0,INDEX(INDIRECT(CW32),MATCH(AK14,Matl!$B$3:$B$15,0),MATCH(D18,Matl!$D$2:$K$2,0)))</f>
        <v>0.31900000000000001</v>
      </c>
      <c r="AL18" s="80">
        <f t="shared" ca="1" si="8"/>
        <v>2.6082668872002123E-2</v>
      </c>
      <c r="AM18" s="58">
        <f ca="1">IF(D18="",0,INDEX(INDIRECT(CW32),MATCH(AM14,Matl!$B$3:$B$15,0),MATCH(D18,Matl!$D$2:$K$2,0)))</f>
        <v>650059.14171599993</v>
      </c>
      <c r="AN18" s="81">
        <f ca="1">IF(D18="",0,INDEX(INDIRECT(CW32),MATCH(AN14,Matl!$B$3:$B$15,0),MATCH(D18,Matl!$D$2:$K$2,0)))</f>
        <v>290365.55147599999</v>
      </c>
      <c r="AO18" s="81">
        <f ca="1">IF(D18="",0,INDEX(INDIRECT(CW32),MATCH(AO14,Matl!$B$3:$B$15,0),MATCH(D18,Matl!$D$2:$K$2,0)))</f>
        <v>1885.4905939999999</v>
      </c>
      <c r="AP18" s="81">
        <f ca="1">IF(D18="",0,INDEX(INDIRECT(CW32),MATCH(AP14,Matl!$B$3:$B$15,0),MATCH(D18,Matl!$D$2:$K$2,0)))</f>
        <v>90068.435297999997</v>
      </c>
      <c r="AQ18" s="81">
        <f ca="1">IF(D18="",0,INDEX(INDIRECT(CW32),MATCH(AQ14,Matl!$B$3:$B$15,0),MATCH(D18,Matl!$D$2:$K$2,0)))</f>
        <v>10877.83035</v>
      </c>
      <c r="AR18" s="81">
        <f ca="1">IF(D18="",0,INDEX(INDIRECT(CW32),MATCH(AR14,Matl!$B$3:$B$15,0),MATCH(D18,Matl!$D$2:$K$2,0)))</f>
        <v>9137.3774940000003</v>
      </c>
      <c r="AS18" s="58"/>
      <c r="AT18" s="58"/>
      <c r="AU18" s="82">
        <f t="shared" ca="1" si="9"/>
        <v>18746041.053699207</v>
      </c>
      <c r="AV18" s="76">
        <f t="shared" ca="1" si="10"/>
        <v>1532748.5312369722</v>
      </c>
      <c r="AW18" s="76">
        <f t="shared" ca="1" si="11"/>
        <v>488946.78146459418</v>
      </c>
      <c r="AX18" s="76">
        <f t="shared" ca="1" si="12"/>
        <v>488946.78146459413</v>
      </c>
      <c r="AY18" s="61">
        <v>0</v>
      </c>
      <c r="AZ18" s="61">
        <v>0</v>
      </c>
      <c r="BA18" s="61">
        <v>0</v>
      </c>
      <c r="BB18" s="61">
        <v>0</v>
      </c>
      <c r="BC18" s="62">
        <f t="shared" ca="1" si="13"/>
        <v>650059.14171599993</v>
      </c>
      <c r="BD18" s="63"/>
      <c r="BE18" s="82">
        <f t="shared" ca="1" si="14"/>
        <v>1532748.5312369722</v>
      </c>
      <c r="BF18" s="76">
        <f t="shared" ca="1" si="15"/>
        <v>18746041.053699207</v>
      </c>
      <c r="BG18" s="76">
        <f t="shared" ca="1" si="16"/>
        <v>488946.78146459418</v>
      </c>
      <c r="BH18" s="76">
        <f t="shared" ca="1" si="17"/>
        <v>488946.78146459418</v>
      </c>
      <c r="BI18" s="76">
        <f t="shared" ca="1" si="48"/>
        <v>1.5701290259030949E-11</v>
      </c>
      <c r="BJ18" s="76">
        <f t="shared" ca="1" si="18"/>
        <v>1.5701290259030949E-11</v>
      </c>
      <c r="BK18" s="76">
        <f t="shared" ca="1" si="19"/>
        <v>1.0387406466302044E-9</v>
      </c>
      <c r="BL18" s="76">
        <f t="shared" ca="1" si="20"/>
        <v>1.0387406466302044E-9</v>
      </c>
      <c r="BM18" s="83">
        <f t="shared" ref="BM18:BM50" ca="1" si="49">(AU18+AV18-2*AW18-2*BC18)*SIN(AD18)^2*COS(AD18)^2+BC18*(SIN(AD18)^4+COS(AD18)^4)</f>
        <v>650059.14171599993</v>
      </c>
      <c r="BN18" s="84"/>
      <c r="BO18" s="82">
        <f t="shared" ca="1" si="21"/>
        <v>9504.2477822765013</v>
      </c>
      <c r="BP18" s="76">
        <f t="shared" ca="1" si="22"/>
        <v>116240.2151951821</v>
      </c>
      <c r="BQ18" s="76">
        <f t="shared" ca="1" si="23"/>
        <v>3031.8550425462045</v>
      </c>
      <c r="BR18" s="76">
        <f t="shared" ca="1" si="24"/>
        <v>3031.8550425462045</v>
      </c>
      <c r="BS18" s="76">
        <f t="shared" ca="1" si="25"/>
        <v>9.7360362826668306E-14</v>
      </c>
      <c r="BT18" s="76">
        <f t="shared" ca="1" si="26"/>
        <v>9.7360362826668306E-14</v>
      </c>
      <c r="BU18" s="76">
        <f t="shared" ca="1" si="27"/>
        <v>6.4410099151282365E-12</v>
      </c>
      <c r="BV18" s="76">
        <f t="shared" ca="1" si="28"/>
        <v>6.4410099151282365E-12</v>
      </c>
      <c r="BW18" s="83">
        <f t="shared" ca="1" si="29"/>
        <v>4030.8785362311023</v>
      </c>
      <c r="BX18" s="84"/>
      <c r="BY18" s="76">
        <f t="shared" ca="1" si="30"/>
        <v>-442.00364932339039</v>
      </c>
      <c r="BZ18" s="76">
        <f t="shared" ca="1" si="31"/>
        <v>-5405.8564645397173</v>
      </c>
      <c r="CA18" s="76">
        <f t="shared" ca="1" si="32"/>
        <v>-140.99916413416153</v>
      </c>
      <c r="CB18" s="76">
        <f t="shared" ca="1" si="33"/>
        <v>-140.99916413416153</v>
      </c>
      <c r="CC18" s="76">
        <f t="shared" ca="1" si="34"/>
        <v>-4.5278318342126732E-15</v>
      </c>
      <c r="CD18" s="76">
        <f t="shared" ca="1" si="35"/>
        <v>-4.5278318342126732E-15</v>
      </c>
      <c r="CE18" s="76">
        <f t="shared" ca="1" si="36"/>
        <v>-2.9954499851359164E-13</v>
      </c>
      <c r="CF18" s="76">
        <f t="shared" ca="1" si="37"/>
        <v>-2.9954499851359164E-13</v>
      </c>
      <c r="CG18" s="76">
        <f t="shared" ca="1" si="38"/>
        <v>-187.45965633555073</v>
      </c>
      <c r="CH18" s="84"/>
      <c r="CI18" s="85">
        <f t="shared" ca="1" si="39"/>
        <v>20.586232958644516</v>
      </c>
      <c r="CJ18" s="86">
        <f t="shared" ca="1" si="40"/>
        <v>251.77670069096396</v>
      </c>
      <c r="CK18" s="86">
        <f t="shared" ca="1" si="41"/>
        <v>6.5670083138076008</v>
      </c>
      <c r="CL18" s="86">
        <f t="shared" ca="1" si="42"/>
        <v>6.5670083138076008</v>
      </c>
      <c r="CM18" s="86">
        <f t="shared" ca="1" si="43"/>
        <v>2.1088287637297603E-16</v>
      </c>
      <c r="CN18" s="86">
        <f t="shared" ca="1" si="44"/>
        <v>2.1088287637297603E-16</v>
      </c>
      <c r="CO18" s="86">
        <f t="shared" ca="1" si="45"/>
        <v>1.395124934021964E-14</v>
      </c>
      <c r="CP18" s="86">
        <f t="shared" ca="1" si="46"/>
        <v>1.395124934021964E-14</v>
      </c>
      <c r="CQ18" s="87">
        <f t="shared" ca="1" si="47"/>
        <v>8.7308965923211215</v>
      </c>
      <c r="CR18" s="61">
        <f ca="1">IF(D18="","",INDEX(INDIRECT(CW32),MATCH(CR14,Matl!$B$3:$B$29,0),MATCH(D18,Matl!$D$2:$K$2,0)))</f>
        <v>3000</v>
      </c>
      <c r="CS18" s="48">
        <f ca="1">IF(D18="","",INDEX(INDIRECT(CW32),MATCH(CS14,Matl!$B$3:$B$29,0),MATCH(D18,Matl!$D$2:$K$2,0)))</f>
        <v>4500</v>
      </c>
      <c r="CV18" s="101" t="str">
        <f>Matl!H2</f>
        <v>Pre-Preg Carbon Cloth</v>
      </c>
      <c r="CW18" s="74"/>
      <c r="CX18" s="51"/>
      <c r="CY18" s="51"/>
      <c r="CZ18" s="51"/>
      <c r="DA18" s="51"/>
      <c r="DB18" s="51"/>
      <c r="DC18" s="51"/>
      <c r="DD18" s="51"/>
      <c r="DE18" s="51"/>
      <c r="DF18" s="51"/>
      <c r="DG18" s="51"/>
      <c r="DH18" s="51"/>
      <c r="DI18" s="51"/>
      <c r="DJ18" s="89"/>
      <c r="DN18" s="88"/>
      <c r="DO18" s="108"/>
      <c r="DR18" s="88"/>
      <c r="DS18" s="108"/>
      <c r="DT18" s="136"/>
      <c r="DU18" s="76"/>
      <c r="DV18" s="76"/>
      <c r="DW18" s="76"/>
      <c r="DY18" s="110"/>
      <c r="DZ18" s="110"/>
      <c r="EA18" s="110"/>
      <c r="EC18" s="90"/>
      <c r="ED18" s="90"/>
      <c r="EE18" s="90"/>
      <c r="EF18" s="90"/>
      <c r="EG18" s="90"/>
      <c r="EH18" s="90"/>
      <c r="EI18" s="90"/>
      <c r="EJ18" s="90"/>
      <c r="EK18" s="90"/>
      <c r="EL18" s="90"/>
      <c r="EM18" s="90"/>
      <c r="EN18" s="90"/>
      <c r="EO18" s="90"/>
      <c r="EP18" s="90"/>
      <c r="EQ18" s="90"/>
      <c r="ER18" s="76"/>
      <c r="ES18" s="76"/>
      <c r="ET18" s="76"/>
      <c r="EU18" s="76"/>
      <c r="EV18" s="76"/>
      <c r="EW18" s="76"/>
      <c r="EX18" s="76"/>
      <c r="EY18" s="76"/>
      <c r="EZ18" s="137"/>
      <c r="FA18" s="137"/>
      <c r="FB18" s="61"/>
      <c r="FC18" s="138"/>
      <c r="FD18" s="61"/>
      <c r="FE18" s="61"/>
      <c r="FF18" s="91"/>
      <c r="FI18" s="91"/>
      <c r="FK18" s="92"/>
      <c r="FL18" s="92"/>
      <c r="FM18" s="92"/>
      <c r="FN18" s="92"/>
      <c r="FO18" s="92"/>
      <c r="FP18" s="92"/>
      <c r="FQ18" s="92"/>
      <c r="FS18" s="106"/>
      <c r="FT18" s="65"/>
      <c r="FU18" s="65"/>
      <c r="FV18" s="65"/>
      <c r="FW18" s="65"/>
      <c r="FX18" s="65"/>
      <c r="FY18" s="65"/>
      <c r="FZ18" s="106"/>
      <c r="GA18" s="90"/>
      <c r="GB18" s="65"/>
      <c r="GC18" s="61"/>
      <c r="GD18" s="94"/>
      <c r="GE18" s="65"/>
      <c r="GF18" s="94"/>
      <c r="GG18" s="106"/>
      <c r="GH18" s="90"/>
      <c r="GI18" s="65"/>
      <c r="GJ18" s="90"/>
      <c r="GK18" s="94"/>
      <c r="GL18" s="90"/>
      <c r="GM18" s="94"/>
      <c r="GN18" s="106"/>
      <c r="GO18" s="65"/>
      <c r="GP18" s="96"/>
      <c r="GQ18" s="96"/>
      <c r="GR18" s="96"/>
      <c r="GS18" s="96"/>
      <c r="GT18" s="96"/>
      <c r="GU18" s="96"/>
      <c r="GV18" s="96"/>
    </row>
    <row r="19" spans="1:204" ht="13.8" x14ac:dyDescent="0.3">
      <c r="A19" s="132">
        <v>4</v>
      </c>
      <c r="B19" s="182">
        <v>180</v>
      </c>
      <c r="C19" s="182"/>
      <c r="D19" s="222" t="s">
        <v>52</v>
      </c>
      <c r="E19" s="222"/>
      <c r="F19" s="146">
        <f>IF(C19="",INDEX(Matl!$C$15:$K$15,MATCH(D19,Matl!$C$2:$K$2,0)),C19)</f>
        <v>6.2007874015748039E-3</v>
      </c>
      <c r="G19" s="147"/>
      <c r="H19" s="209">
        <f ca="1">-CR53</f>
        <v>-3000</v>
      </c>
      <c r="I19" s="210"/>
      <c r="J19" s="209">
        <f ca="1">CS53</f>
        <v>4500</v>
      </c>
      <c r="K19" s="51"/>
      <c r="W19" s="48">
        <f t="shared" si="3"/>
        <v>6.2007874015748039E-3</v>
      </c>
      <c r="X19" s="48"/>
      <c r="Y19" s="48"/>
      <c r="Z19" s="48"/>
      <c r="AA19" s="48">
        <f t="shared" si="4"/>
        <v>0</v>
      </c>
      <c r="AB19" s="48">
        <f>IF(B19="","",IF(OR(D19=CV14,D19=CV16,D19=CV17,D19=CV18,D19=CV20)=TRUE,0.5,1))</f>
        <v>1</v>
      </c>
      <c r="AC19" s="51">
        <f t="shared" si="5"/>
        <v>0</v>
      </c>
      <c r="AD19" s="77">
        <f t="shared" si="6"/>
        <v>3.1415926535897931</v>
      </c>
      <c r="AE19" s="77">
        <f>IF(D19="",0,SUM(F15:F19))</f>
        <v>2.4803149606299216E-2</v>
      </c>
      <c r="AF19" s="77">
        <f>IF(D19="",0,SUM(F16:F50)/2-AE19)</f>
        <v>3.7204724409448803E-2</v>
      </c>
      <c r="AG19" s="77">
        <f t="shared" si="7"/>
        <v>4.3405511811023603E-2</v>
      </c>
      <c r="AH19" s="77">
        <f>IF(D19="",0,(AE19+AE18)/2-SUM(F16:F50)/2)</f>
        <v>-4.0305118110236203E-2</v>
      </c>
      <c r="AI19" s="58">
        <f ca="1">IF(D19="",0,INDEX(INDIRECT(CW32),MATCH(AI14,Matl!$B$3:$B$17,0),MATCH(D19,Matl!$D$2:$K$2,0)))</f>
        <v>18590067.030412</v>
      </c>
      <c r="AJ19" s="58">
        <f ca="1">IF(D19="",0,INDEX(INDIRECT(CW32),MATCH(AJ14,Matl!$B$3:$B$17,0),MATCH(D19,Matl!$D$2:$K$2,0)))</f>
        <v>1519995.4942399999</v>
      </c>
      <c r="AK19" s="58">
        <f ca="1">IF(D19="",0,INDEX(INDIRECT(CW32),MATCH(AK14,Matl!$B$3:$B$15,0),MATCH(D19,Matl!$D$2:$K$2,0)))</f>
        <v>0.31900000000000001</v>
      </c>
      <c r="AL19" s="80">
        <f t="shared" ca="1" si="8"/>
        <v>2.6082668872002123E-2</v>
      </c>
      <c r="AM19" s="58">
        <f ca="1">IF(D19="",0,INDEX(INDIRECT(CW32),MATCH(AM14,Matl!$B$3:$B$15,0),MATCH(D19,Matl!$D$2:$K$2,0)))</f>
        <v>650059.14171599993</v>
      </c>
      <c r="AN19" s="81">
        <f ca="1">IF(D19="",0,INDEX(INDIRECT(CW32),MATCH(AN14,Matl!$B$3:$B$15,0),MATCH(D19,Matl!$D$2:$K$2,0)))</f>
        <v>290365.55147599999</v>
      </c>
      <c r="AO19" s="81">
        <f ca="1">IF(D19="",0,INDEX(INDIRECT(CW32),MATCH(AO14,Matl!$B$3:$B$15,0),MATCH(D19,Matl!$D$2:$K$2,0)))</f>
        <v>1885.4905939999999</v>
      </c>
      <c r="AP19" s="81">
        <f ca="1">IF(D19="",0,INDEX(INDIRECT(CW32),MATCH(AP14,Matl!$B$3:$B$15,0),MATCH(D19,Matl!$D$2:$K$2,0)))</f>
        <v>90068.435297999997</v>
      </c>
      <c r="AQ19" s="81">
        <f ca="1">IF(D19="",0,INDEX(INDIRECT(CW32),MATCH(AQ14,Matl!$B$3:$B$15,0),MATCH(D19,Matl!$D$2:$K$2,0)))</f>
        <v>10877.83035</v>
      </c>
      <c r="AR19" s="81">
        <f ca="1">IF(D19="",0,INDEX(INDIRECT(CW32),MATCH(AR14,Matl!$B$3:$B$15,0),MATCH(D19,Matl!$D$2:$K$2,0)))</f>
        <v>9137.3774940000003</v>
      </c>
      <c r="AS19" s="58"/>
      <c r="AT19" s="58"/>
      <c r="AU19" s="82">
        <f t="shared" ca="1" si="9"/>
        <v>18746041.053699207</v>
      </c>
      <c r="AV19" s="76">
        <f t="shared" ca="1" si="10"/>
        <v>1532748.5312369722</v>
      </c>
      <c r="AW19" s="76">
        <f t="shared" ca="1" si="11"/>
        <v>488946.78146459418</v>
      </c>
      <c r="AX19" s="76">
        <f t="shared" ca="1" si="12"/>
        <v>488946.78146459413</v>
      </c>
      <c r="AY19" s="61">
        <v>0</v>
      </c>
      <c r="AZ19" s="61">
        <v>0</v>
      </c>
      <c r="BA19" s="61">
        <v>0</v>
      </c>
      <c r="BB19" s="61">
        <v>0</v>
      </c>
      <c r="BC19" s="62">
        <f t="shared" ca="1" si="13"/>
        <v>650059.14171599993</v>
      </c>
      <c r="BD19" s="63"/>
      <c r="BE19" s="82">
        <f t="shared" ca="1" si="14"/>
        <v>18746041.053699207</v>
      </c>
      <c r="BF19" s="76">
        <f t="shared" ca="1" si="15"/>
        <v>1532748.5312369722</v>
      </c>
      <c r="BG19" s="76">
        <f t="shared" ca="1" si="16"/>
        <v>488946.78146459418</v>
      </c>
      <c r="BH19" s="76">
        <f t="shared" ca="1" si="17"/>
        <v>488946.78146459418</v>
      </c>
      <c r="BI19" s="76">
        <f t="shared" ca="1" si="48"/>
        <v>-2.0774812932604088E-9</v>
      </c>
      <c r="BJ19" s="76">
        <f t="shared" ca="1" si="18"/>
        <v>-2.0774812932604088E-9</v>
      </c>
      <c r="BK19" s="76">
        <f t="shared" ca="1" si="19"/>
        <v>-3.1402580518061899E-11</v>
      </c>
      <c r="BL19" s="76">
        <f t="shared" ca="1" si="20"/>
        <v>-3.1402580518061899E-11</v>
      </c>
      <c r="BM19" s="83">
        <f t="shared" ca="1" si="49"/>
        <v>650059.14171599993</v>
      </c>
      <c r="BN19" s="84"/>
      <c r="BO19" s="82">
        <f t="shared" ca="1" si="21"/>
        <v>116240.2151951821</v>
      </c>
      <c r="BP19" s="76">
        <f t="shared" ca="1" si="22"/>
        <v>9504.2477822765013</v>
      </c>
      <c r="BQ19" s="76">
        <f t="shared" ca="1" si="23"/>
        <v>3031.8550425462045</v>
      </c>
      <c r="BR19" s="76">
        <f t="shared" ca="1" si="24"/>
        <v>3031.8550425462045</v>
      </c>
      <c r="BS19" s="76">
        <f t="shared" ca="1" si="25"/>
        <v>-1.2882019830256473E-11</v>
      </c>
      <c r="BT19" s="76">
        <f t="shared" ca="1" si="26"/>
        <v>-1.2882019830256473E-11</v>
      </c>
      <c r="BU19" s="76">
        <f t="shared" ca="1" si="27"/>
        <v>-1.9472072565333661E-13</v>
      </c>
      <c r="BV19" s="76">
        <f t="shared" ca="1" si="28"/>
        <v>-1.9472072565333661E-13</v>
      </c>
      <c r="BW19" s="83">
        <f t="shared" ca="1" si="29"/>
        <v>4030.8785362311023</v>
      </c>
      <c r="BX19" s="84"/>
      <c r="BY19" s="76">
        <f t="shared" ca="1" si="30"/>
        <v>-4685.0756026010877</v>
      </c>
      <c r="BZ19" s="76">
        <f t="shared" ca="1" si="31"/>
        <v>-383.06982941360491</v>
      </c>
      <c r="CA19" s="76">
        <f t="shared" ca="1" si="32"/>
        <v>-122.19927558293999</v>
      </c>
      <c r="CB19" s="76">
        <f t="shared" ca="1" si="33"/>
        <v>-122.19927558293999</v>
      </c>
      <c r="CC19" s="76">
        <f t="shared" ca="1" si="34"/>
        <v>5.1921133075689204E-13</v>
      </c>
      <c r="CD19" s="76">
        <f t="shared" ca="1" si="35"/>
        <v>5.1921133075689204E-13</v>
      </c>
      <c r="CE19" s="76">
        <f t="shared" ca="1" si="36"/>
        <v>7.8482418459686324E-15</v>
      </c>
      <c r="CF19" s="76">
        <f t="shared" ca="1" si="37"/>
        <v>7.8482418459686324E-15</v>
      </c>
      <c r="CG19" s="76">
        <f t="shared" ca="1" si="38"/>
        <v>-162.46503549081061</v>
      </c>
      <c r="CH19" s="84"/>
      <c r="CI19" s="85">
        <f t="shared" ca="1" si="39"/>
        <v>189.20497625889001</v>
      </c>
      <c r="CJ19" s="86">
        <f t="shared" ca="1" si="40"/>
        <v>15.470127726318655</v>
      </c>
      <c r="CK19" s="86">
        <f t="shared" ca="1" si="41"/>
        <v>4.9349707446956517</v>
      </c>
      <c r="CL19" s="86">
        <f t="shared" ca="1" si="42"/>
        <v>4.9349707446956517</v>
      </c>
      <c r="CM19" s="86">
        <f t="shared" ca="1" si="43"/>
        <v>-2.0968149895951405E-14</v>
      </c>
      <c r="CN19" s="86">
        <f t="shared" ca="1" si="44"/>
        <v>-2.0968149895951405E-14</v>
      </c>
      <c r="CO19" s="86">
        <f t="shared" ca="1" si="45"/>
        <v>-3.1694822839488699E-16</v>
      </c>
      <c r="CP19" s="86">
        <f t="shared" ca="1" si="46"/>
        <v>-3.1694822839488699E-16</v>
      </c>
      <c r="CQ19" s="87">
        <f t="shared" ca="1" si="47"/>
        <v>6.5610879717442723</v>
      </c>
      <c r="CR19" s="61">
        <f ca="1">IF(D19="","",INDEX(INDIRECT(CW32),MATCH(CR14,Matl!$B$3:$B$29,0),MATCH(D19,Matl!$D$2:$K$2,0)))</f>
        <v>3000</v>
      </c>
      <c r="CS19" s="48">
        <f ca="1">IF(D19="","",INDEX(INDIRECT(CW32),MATCH(CS14,Matl!$B$3:$B$29,0),MATCH(D19,Matl!$D$2:$K$2,0)))</f>
        <v>4500</v>
      </c>
      <c r="CV19" s="101" t="str">
        <f>Matl!I2</f>
        <v>Pre-Preg Carbon Tape</v>
      </c>
      <c r="CW19" s="74"/>
      <c r="CX19" s="51"/>
      <c r="CY19" s="51"/>
      <c r="CZ19" s="51"/>
      <c r="DA19" s="51"/>
      <c r="DB19" s="51"/>
      <c r="DC19" s="58"/>
      <c r="DD19" s="58"/>
      <c r="DE19" s="51"/>
      <c r="DF19" s="51"/>
      <c r="DG19" s="51"/>
      <c r="DH19" s="51"/>
      <c r="DI19" s="51"/>
      <c r="DJ19" s="89"/>
      <c r="DN19" s="88"/>
      <c r="DO19" s="108"/>
      <c r="DR19" s="88"/>
      <c r="DS19" s="108"/>
      <c r="DT19" s="136"/>
      <c r="DU19" s="76"/>
      <c r="DV19" s="76"/>
      <c r="DW19" s="76"/>
      <c r="DY19" s="110"/>
      <c r="DZ19" s="110"/>
      <c r="EA19" s="110"/>
      <c r="EC19" s="90"/>
      <c r="ED19" s="90"/>
      <c r="EE19" s="90"/>
      <c r="EF19" s="90"/>
      <c r="EG19" s="90"/>
      <c r="EH19" s="90"/>
      <c r="EI19" s="90"/>
      <c r="EJ19" s="90"/>
      <c r="EK19" s="90"/>
      <c r="EL19" s="90"/>
      <c r="EM19" s="90"/>
      <c r="EN19" s="90"/>
      <c r="EO19" s="90"/>
      <c r="EP19" s="90"/>
      <c r="EQ19" s="90"/>
      <c r="ER19" s="76"/>
      <c r="ES19" s="76"/>
      <c r="ET19" s="76"/>
      <c r="EU19" s="76"/>
      <c r="EV19" s="76"/>
      <c r="EW19" s="76"/>
      <c r="EX19" s="76"/>
      <c r="EY19" s="76"/>
      <c r="EZ19" s="137"/>
      <c r="FA19" s="137"/>
      <c r="FB19" s="61"/>
      <c r="FC19" s="138"/>
      <c r="FD19" s="61"/>
      <c r="FE19" s="61"/>
      <c r="FF19" s="91"/>
      <c r="FI19" s="91"/>
      <c r="FK19" s="92"/>
      <c r="FL19" s="92"/>
      <c r="FM19" s="92"/>
      <c r="FN19" s="92"/>
      <c r="FO19" s="92"/>
      <c r="FP19" s="92"/>
      <c r="FQ19" s="92"/>
      <c r="FS19" s="106"/>
      <c r="FT19" s="61"/>
      <c r="FU19" s="65"/>
      <c r="FV19" s="61"/>
      <c r="FW19" s="65"/>
      <c r="FX19" s="65"/>
      <c r="FY19" s="65"/>
      <c r="FZ19" s="106"/>
      <c r="GA19" s="61"/>
      <c r="GB19" s="65"/>
      <c r="GC19" s="61"/>
      <c r="GD19" s="94"/>
      <c r="GE19" s="61"/>
      <c r="GF19" s="94"/>
      <c r="GG19" s="106"/>
      <c r="GH19" s="90"/>
      <c r="GI19" s="65"/>
      <c r="GJ19" s="94"/>
      <c r="GK19" s="94"/>
      <c r="GL19" s="94"/>
      <c r="GM19" s="94"/>
      <c r="GN19" s="106"/>
      <c r="GO19" s="65"/>
      <c r="GP19" s="96"/>
      <c r="GQ19" s="96"/>
      <c r="GR19" s="96"/>
      <c r="GS19" s="96"/>
      <c r="GT19" s="96"/>
      <c r="GU19" s="96"/>
      <c r="GV19" s="96"/>
    </row>
    <row r="20" spans="1:204" ht="13.8" x14ac:dyDescent="0.3">
      <c r="A20" s="132">
        <v>5</v>
      </c>
      <c r="B20" s="182">
        <v>-90</v>
      </c>
      <c r="C20" s="182"/>
      <c r="D20" s="222" t="s">
        <v>52</v>
      </c>
      <c r="E20" s="222"/>
      <c r="F20" s="146">
        <f>IF(C20="",INDEX(Matl!$C$15:$K$15,MATCH(D20,Matl!$C$2:$K$2,0)),C20)</f>
        <v>6.2007874015748039E-3</v>
      </c>
      <c r="G20" s="147"/>
      <c r="H20" s="209">
        <f ca="1">-CR54</f>
        <v>-3000</v>
      </c>
      <c r="I20" s="211"/>
      <c r="J20" s="209">
        <f ca="1">CS54</f>
        <v>4500</v>
      </c>
      <c r="K20" s="51"/>
      <c r="W20" s="48">
        <f t="shared" si="3"/>
        <v>6.2007874015748039E-3</v>
      </c>
      <c r="X20" s="48"/>
      <c r="Y20" s="48"/>
      <c r="Z20" s="48"/>
      <c r="AA20" s="48">
        <f t="shared" si="4"/>
        <v>0</v>
      </c>
      <c r="AB20" s="48">
        <f>IF(B20="","",IF(OR(D20=CV14,D20=CV16,D20=CV17,D20=CV18,D20=CV20)=TRUE,0.5,1))</f>
        <v>1</v>
      </c>
      <c r="AC20" s="51">
        <f t="shared" si="5"/>
        <v>0</v>
      </c>
      <c r="AD20" s="77">
        <f t="shared" si="6"/>
        <v>-1.5707963267948966</v>
      </c>
      <c r="AE20" s="77">
        <f>IF(D20="",0,SUM(F15:F20))</f>
        <v>3.100393700787402E-2</v>
      </c>
      <c r="AF20" s="77">
        <f>IF(D20="",0,SUM(F16:F50)/2-AE20)</f>
        <v>3.1003937007873999E-2</v>
      </c>
      <c r="AG20" s="77">
        <f t="shared" si="7"/>
        <v>3.7204724409448803E-2</v>
      </c>
      <c r="AH20" s="77">
        <f>IF(D20="",0,(AE20+AE19)/2-SUM(F16:F50)/2)</f>
        <v>-3.4104330708661403E-2</v>
      </c>
      <c r="AI20" s="58">
        <f ca="1">IF(D20="",0,INDEX(INDIRECT(CW32),MATCH(AI14,Matl!$B$3:$B$17,0),MATCH(D20,Matl!$D$2:$K$2,0)))</f>
        <v>18590067.030412</v>
      </c>
      <c r="AJ20" s="58">
        <f ca="1">IF(D20="",0,INDEX(INDIRECT(CW32),MATCH(AJ14,Matl!$B$3:$B$17,0),MATCH(D20,Matl!$D$2:$K$2,0)))</f>
        <v>1519995.4942399999</v>
      </c>
      <c r="AK20" s="58">
        <f ca="1">IF(D20="",0,INDEX(INDIRECT(CW32),MATCH(AK14,Matl!$B$3:$B$15,0),MATCH(D20,Matl!$D$2:$K$2,0)))</f>
        <v>0.31900000000000001</v>
      </c>
      <c r="AL20" s="80">
        <f t="shared" ca="1" si="8"/>
        <v>2.6082668872002123E-2</v>
      </c>
      <c r="AM20" s="58">
        <f ca="1">IF(D20="",0,INDEX(INDIRECT(CW32),MATCH(AM14,Matl!$B$3:$B$15,0),MATCH(D20,Matl!$D$2:$K$2,0)))</f>
        <v>650059.14171599993</v>
      </c>
      <c r="AN20" s="81">
        <f ca="1">IF(D20="",0,INDEX(INDIRECT(CW32),MATCH(AN14,Matl!$B$3:$B$15,0),MATCH(D20,Matl!$D$2:$K$2,0)))</f>
        <v>290365.55147599999</v>
      </c>
      <c r="AO20" s="81">
        <f ca="1">IF(D20="",0,INDEX(INDIRECT(CW32),MATCH(AO14,Matl!$B$3:$B$15,0),MATCH(D20,Matl!$D$2:$K$2,0)))</f>
        <v>1885.4905939999999</v>
      </c>
      <c r="AP20" s="81">
        <f ca="1">IF(D20="",0,INDEX(INDIRECT(CW32),MATCH(AP14,Matl!$B$3:$B$15,0),MATCH(D20,Matl!$D$2:$K$2,0)))</f>
        <v>90068.435297999997</v>
      </c>
      <c r="AQ20" s="81">
        <f ca="1">IF(D20="",0,INDEX(INDIRECT(CW32),MATCH(AQ14,Matl!$B$3:$B$15,0),MATCH(D20,Matl!$D$2:$K$2,0)))</f>
        <v>10877.83035</v>
      </c>
      <c r="AR20" s="81">
        <f ca="1">IF(D20="",0,INDEX(INDIRECT(CW32),MATCH(AR14,Matl!$B$3:$B$15,0),MATCH(D20,Matl!$D$2:$K$2,0)))</f>
        <v>9137.3774940000003</v>
      </c>
      <c r="AS20" s="58"/>
      <c r="AT20" s="58"/>
      <c r="AU20" s="82">
        <f t="shared" ca="1" si="9"/>
        <v>18746041.053699207</v>
      </c>
      <c r="AV20" s="76">
        <f t="shared" ca="1" si="10"/>
        <v>1532748.5312369722</v>
      </c>
      <c r="AW20" s="76">
        <f t="shared" ca="1" si="11"/>
        <v>488946.78146459418</v>
      </c>
      <c r="AX20" s="76">
        <f t="shared" ca="1" si="12"/>
        <v>488946.78146459413</v>
      </c>
      <c r="AY20" s="61">
        <v>0</v>
      </c>
      <c r="AZ20" s="61">
        <v>0</v>
      </c>
      <c r="BA20" s="61">
        <v>0</v>
      </c>
      <c r="BB20" s="61">
        <v>0</v>
      </c>
      <c r="BC20" s="62">
        <f t="shared" ca="1" si="13"/>
        <v>650059.14171599993</v>
      </c>
      <c r="BD20" s="63"/>
      <c r="BE20" s="82">
        <f t="shared" ca="1" si="14"/>
        <v>1532748.5312369722</v>
      </c>
      <c r="BF20" s="76">
        <f t="shared" ca="1" si="15"/>
        <v>18746041.053699207</v>
      </c>
      <c r="BG20" s="76">
        <f t="shared" ca="1" si="16"/>
        <v>488946.78146459418</v>
      </c>
      <c r="BH20" s="76">
        <f t="shared" ca="1" si="17"/>
        <v>488946.78146459418</v>
      </c>
      <c r="BI20" s="76">
        <f t="shared" ca="1" si="48"/>
        <v>-1.5701290259030949E-11</v>
      </c>
      <c r="BJ20" s="76">
        <f t="shared" ca="1" si="18"/>
        <v>-1.5701290259030949E-11</v>
      </c>
      <c r="BK20" s="76">
        <f t="shared" ca="1" si="19"/>
        <v>-1.0387406466302044E-9</v>
      </c>
      <c r="BL20" s="76">
        <f t="shared" ca="1" si="20"/>
        <v>-1.0387406466302044E-9</v>
      </c>
      <c r="BM20" s="83">
        <f t="shared" ca="1" si="49"/>
        <v>650059.14171599993</v>
      </c>
      <c r="BN20" s="84"/>
      <c r="BO20" s="82">
        <f t="shared" ca="1" si="21"/>
        <v>9504.2477822765013</v>
      </c>
      <c r="BP20" s="76">
        <f t="shared" ca="1" si="22"/>
        <v>116240.2151951821</v>
      </c>
      <c r="BQ20" s="76">
        <f t="shared" ca="1" si="23"/>
        <v>3031.8550425462045</v>
      </c>
      <c r="BR20" s="76">
        <f t="shared" ca="1" si="24"/>
        <v>3031.8550425462045</v>
      </c>
      <c r="BS20" s="76">
        <f t="shared" ca="1" si="25"/>
        <v>-9.7360362826668306E-14</v>
      </c>
      <c r="BT20" s="76">
        <f t="shared" ca="1" si="26"/>
        <v>-9.7360362826668306E-14</v>
      </c>
      <c r="BU20" s="76">
        <f t="shared" ca="1" si="27"/>
        <v>-6.4410099151282365E-12</v>
      </c>
      <c r="BV20" s="76">
        <f t="shared" ca="1" si="28"/>
        <v>-6.4410099151282365E-12</v>
      </c>
      <c r="BW20" s="83">
        <f t="shared" ca="1" si="29"/>
        <v>4030.8785362311023</v>
      </c>
      <c r="BX20" s="84"/>
      <c r="BY20" s="76">
        <f t="shared" ca="1" si="30"/>
        <v>-324.13600950381954</v>
      </c>
      <c r="BZ20" s="76">
        <f t="shared" ca="1" si="31"/>
        <v>-3964.2947406624585</v>
      </c>
      <c r="CA20" s="76">
        <f t="shared" ca="1" si="32"/>
        <v>-103.39938703171845</v>
      </c>
      <c r="CB20" s="76">
        <f t="shared" ca="1" si="33"/>
        <v>-103.39938703171845</v>
      </c>
      <c r="CC20" s="76">
        <f t="shared" ca="1" si="34"/>
        <v>3.32041001175596E-15</v>
      </c>
      <c r="CD20" s="76">
        <f t="shared" ca="1" si="35"/>
        <v>3.32041001175596E-15</v>
      </c>
      <c r="CE20" s="76">
        <f t="shared" ca="1" si="36"/>
        <v>2.196663322433005E-13</v>
      </c>
      <c r="CF20" s="76">
        <f t="shared" ca="1" si="37"/>
        <v>2.196663322433005E-13</v>
      </c>
      <c r="CG20" s="76">
        <f t="shared" ca="1" si="38"/>
        <v>-137.47041464607051</v>
      </c>
      <c r="CH20" s="84"/>
      <c r="CI20" s="85">
        <f t="shared" ca="1" si="39"/>
        <v>11.08489467003935</v>
      </c>
      <c r="CJ20" s="86">
        <f t="shared" ca="1" si="40"/>
        <v>135.5720696028267</v>
      </c>
      <c r="CK20" s="86">
        <f t="shared" ca="1" si="41"/>
        <v>3.5360813997425535</v>
      </c>
      <c r="CL20" s="86">
        <f t="shared" ca="1" si="42"/>
        <v>3.5360813997425535</v>
      </c>
      <c r="CM20" s="86">
        <f t="shared" ca="1" si="43"/>
        <v>-1.1355231804698707E-16</v>
      </c>
      <c r="CN20" s="86">
        <f t="shared" ca="1" si="44"/>
        <v>-1.1355231804698707E-16</v>
      </c>
      <c r="CO20" s="86">
        <f t="shared" ca="1" si="45"/>
        <v>-7.5122111831951884E-15</v>
      </c>
      <c r="CP20" s="86">
        <f t="shared" ca="1" si="46"/>
        <v>-7.5122111831951884E-15</v>
      </c>
      <c r="CQ20" s="87">
        <f t="shared" ca="1" si="47"/>
        <v>4.7012520112498324</v>
      </c>
      <c r="CR20" s="61">
        <f ca="1">IF(D20="","",INDEX(INDIRECT(CW32),MATCH(CR14,Matl!$B$3:$B$29,0),MATCH(D20,Matl!$D$2:$K$2,0)))</f>
        <v>3000</v>
      </c>
      <c r="CS20" s="48">
        <f ca="1">IF(D20="","",INDEX(INDIRECT(CW32),MATCH(CS14,Matl!$B$3:$B$29,0),MATCH(D20,Matl!$D$2:$K$2,0)))</f>
        <v>4500</v>
      </c>
      <c r="CV20" s="101" t="str">
        <f>Matl!J2</f>
        <v>Pre-Preg S-Glass Cloth</v>
      </c>
      <c r="CW20" s="74"/>
      <c r="CX20" s="51"/>
      <c r="CY20" s="51"/>
      <c r="CZ20" s="51"/>
      <c r="DA20" s="51"/>
      <c r="DB20" s="51"/>
      <c r="DC20" s="58"/>
      <c r="DD20" s="58"/>
      <c r="DE20" s="51"/>
      <c r="DF20" s="51"/>
      <c r="DG20" s="51"/>
      <c r="DH20" s="51"/>
      <c r="DI20" s="51"/>
      <c r="DJ20" s="89"/>
      <c r="DN20" s="88"/>
      <c r="DO20" s="108"/>
      <c r="DR20" s="88"/>
      <c r="DS20" s="108"/>
      <c r="DT20" s="136"/>
      <c r="DU20" s="76"/>
      <c r="DV20" s="76"/>
      <c r="DW20" s="76"/>
      <c r="DY20" s="110"/>
      <c r="DZ20" s="110"/>
      <c r="EA20" s="110"/>
      <c r="EC20" s="90"/>
      <c r="ED20" s="90"/>
      <c r="EE20" s="90"/>
      <c r="EF20" s="90"/>
      <c r="EG20" s="90"/>
      <c r="EH20" s="90"/>
      <c r="EI20" s="90"/>
      <c r="EJ20" s="90"/>
      <c r="EK20" s="90"/>
      <c r="EL20" s="90"/>
      <c r="EM20" s="90"/>
      <c r="EN20" s="90"/>
      <c r="EO20" s="90"/>
      <c r="EP20" s="90"/>
      <c r="EQ20" s="90"/>
      <c r="ER20" s="76"/>
      <c r="ES20" s="76"/>
      <c r="ET20" s="76"/>
      <c r="EU20" s="76"/>
      <c r="EV20" s="76"/>
      <c r="EW20" s="76"/>
      <c r="EX20" s="76"/>
      <c r="EY20" s="76"/>
      <c r="EZ20" s="137"/>
      <c r="FA20" s="137"/>
      <c r="FB20" s="61"/>
      <c r="FC20" s="138"/>
      <c r="FD20" s="61"/>
      <c r="FE20" s="61"/>
      <c r="FF20" s="91"/>
      <c r="FI20" s="91"/>
      <c r="FK20" s="92"/>
      <c r="FL20" s="92"/>
      <c r="FM20" s="92"/>
      <c r="FN20" s="92"/>
      <c r="FO20" s="92"/>
      <c r="FP20" s="92"/>
      <c r="FQ20" s="92"/>
      <c r="FS20" s="106"/>
      <c r="FT20" s="61"/>
      <c r="FU20" s="65"/>
      <c r="FV20" s="61"/>
      <c r="FW20" s="65"/>
      <c r="FX20" s="65"/>
      <c r="FY20" s="65"/>
      <c r="FZ20" s="106"/>
      <c r="GA20" s="61"/>
      <c r="GB20" s="65"/>
      <c r="GC20" s="93"/>
      <c r="GD20" s="94"/>
      <c r="GE20" s="61"/>
      <c r="GF20" s="94"/>
      <c r="GG20" s="106"/>
      <c r="GH20" s="90"/>
      <c r="GI20" s="65"/>
      <c r="GJ20" s="94"/>
      <c r="GK20" s="94"/>
      <c r="GL20" s="94"/>
      <c r="GM20" s="94"/>
      <c r="GN20" s="106"/>
      <c r="GO20" s="65"/>
      <c r="GP20" s="96"/>
      <c r="GQ20" s="96"/>
      <c r="GR20" s="96"/>
      <c r="GS20" s="96"/>
      <c r="GT20" s="96"/>
      <c r="GU20" s="96"/>
      <c r="GV20" s="96"/>
    </row>
    <row r="21" spans="1:204" ht="12.75" customHeight="1" x14ac:dyDescent="0.3">
      <c r="A21" s="132">
        <v>6</v>
      </c>
      <c r="B21" s="182">
        <v>0</v>
      </c>
      <c r="C21" s="182"/>
      <c r="D21" s="222" t="s">
        <v>52</v>
      </c>
      <c r="E21" s="222"/>
      <c r="F21" s="146">
        <f>IF(C21="",INDEX(Matl!$C$15:$K$15,MATCH(D21,Matl!$C$2:$K$2,0)),C21)</f>
        <v>6.2007874015748039E-3</v>
      </c>
      <c r="G21" s="147"/>
      <c r="H21" s="209">
        <f ca="1">-CR55</f>
        <v>-3000</v>
      </c>
      <c r="I21" s="211"/>
      <c r="J21" s="209">
        <f ca="1">CS55</f>
        <v>4500</v>
      </c>
      <c r="K21" s="51"/>
      <c r="W21" s="48">
        <f t="shared" si="3"/>
        <v>0</v>
      </c>
      <c r="X21" s="48"/>
      <c r="Y21" s="48"/>
      <c r="Z21" s="48"/>
      <c r="AA21" s="48">
        <f t="shared" si="4"/>
        <v>1</v>
      </c>
      <c r="AB21" s="48">
        <f>IF(B21="","",IF(OR(D21=CV14,D21=CV16,D21=CV17,D21=CV18,D21=CV20)=TRUE,0.5,1))</f>
        <v>1</v>
      </c>
      <c r="AC21" s="51">
        <f t="shared" si="5"/>
        <v>6.2007874015748039E-3</v>
      </c>
      <c r="AD21" s="77">
        <f t="shared" si="6"/>
        <v>0</v>
      </c>
      <c r="AE21" s="77">
        <f>IF(D21="",0,SUM(F15:F21))</f>
        <v>3.7204724409448824E-2</v>
      </c>
      <c r="AF21" s="77">
        <f>IF(D21="",0,SUM(F16:F50)/2-AE21)</f>
        <v>2.4803149606299195E-2</v>
      </c>
      <c r="AG21" s="77">
        <f t="shared" si="7"/>
        <v>3.1003937007873999E-2</v>
      </c>
      <c r="AH21" s="77">
        <f>IF(D21="",0,(AE21+AE20)/2-SUM(F16:F50)/2)</f>
        <v>-2.7903543307086595E-2</v>
      </c>
      <c r="AI21" s="58">
        <f ca="1">IF(D21="",0,INDEX(INDIRECT(CW32),MATCH(AI14,Matl!$B$3:$B$17,0),MATCH(D21,Matl!$D$2:$K$2,0)))</f>
        <v>18590067.030412</v>
      </c>
      <c r="AJ21" s="58">
        <f ca="1">IF(D21="",0,INDEX(INDIRECT(CW32),MATCH(AJ14,Matl!$B$3:$B$17,0),MATCH(D21,Matl!$D$2:$K$2,0)))</f>
        <v>1519995.4942399999</v>
      </c>
      <c r="AK21" s="58">
        <f ca="1">IF(D21="",0,INDEX(INDIRECT(CW32),MATCH(AK14,Matl!$B$3:$B$15,0),MATCH(D21,Matl!$D$2:$K$2,0)))</f>
        <v>0.31900000000000001</v>
      </c>
      <c r="AL21" s="80">
        <f t="shared" ca="1" si="8"/>
        <v>2.6082668872002123E-2</v>
      </c>
      <c r="AM21" s="58">
        <f ca="1">IF(D21="",0,INDEX(INDIRECT(CW32),MATCH(AM14,Matl!$B$3:$B$15,0),MATCH(D21,Matl!$D$2:$K$2,0)))</f>
        <v>650059.14171599993</v>
      </c>
      <c r="AN21" s="81">
        <f ca="1">IF(D21="",0,INDEX(INDIRECT(CW32),MATCH(AN14,Matl!$B$3:$B$15,0),MATCH(D21,Matl!$D$2:$K$2,0)))</f>
        <v>290365.55147599999</v>
      </c>
      <c r="AO21" s="81">
        <f ca="1">IF(D21="",0,INDEX(INDIRECT(CW32),MATCH(AO14,Matl!$B$3:$B$15,0),MATCH(D21,Matl!$D$2:$K$2,0)))</f>
        <v>1885.4905939999999</v>
      </c>
      <c r="AP21" s="81">
        <f ca="1">IF(D21="",0,INDEX(INDIRECT(CW32),MATCH(AP14,Matl!$B$3:$B$15,0),MATCH(D21,Matl!$D$2:$K$2,0)))</f>
        <v>90068.435297999997</v>
      </c>
      <c r="AQ21" s="81">
        <f ca="1">IF(D21="",0,INDEX(INDIRECT(CW32),MATCH(AQ14,Matl!$B$3:$B$15,0),MATCH(D21,Matl!$D$2:$K$2,0)))</f>
        <v>10877.83035</v>
      </c>
      <c r="AR21" s="81">
        <f ca="1">IF(D21="",0,INDEX(INDIRECT(CW32),MATCH(AR14,Matl!$B$3:$B$15,0),MATCH(D21,Matl!$D$2:$K$2,0)))</f>
        <v>9137.3774940000003</v>
      </c>
      <c r="AS21" s="58"/>
      <c r="AT21" s="58"/>
      <c r="AU21" s="82">
        <f t="shared" ca="1" si="9"/>
        <v>18746041.053699207</v>
      </c>
      <c r="AV21" s="76">
        <f t="shared" ca="1" si="10"/>
        <v>1532748.5312369722</v>
      </c>
      <c r="AW21" s="76">
        <f t="shared" ca="1" si="11"/>
        <v>488946.78146459418</v>
      </c>
      <c r="AX21" s="76">
        <f t="shared" ca="1" si="12"/>
        <v>488946.78146459413</v>
      </c>
      <c r="AY21" s="61">
        <v>0</v>
      </c>
      <c r="AZ21" s="61">
        <v>0</v>
      </c>
      <c r="BA21" s="61">
        <v>0</v>
      </c>
      <c r="BB21" s="61">
        <v>0</v>
      </c>
      <c r="BC21" s="62">
        <f t="shared" ca="1" si="13"/>
        <v>650059.14171599993</v>
      </c>
      <c r="BD21" s="63"/>
      <c r="BE21" s="82">
        <f t="shared" ca="1" si="14"/>
        <v>18746041.053699207</v>
      </c>
      <c r="BF21" s="76">
        <f t="shared" ca="1" si="15"/>
        <v>1532748.5312369722</v>
      </c>
      <c r="BG21" s="76">
        <f t="shared" ca="1" si="16"/>
        <v>488946.78146459418</v>
      </c>
      <c r="BH21" s="76">
        <f t="shared" ca="1" si="17"/>
        <v>488946.78146459418</v>
      </c>
      <c r="BI21" s="76">
        <f t="shared" ca="1" si="48"/>
        <v>0</v>
      </c>
      <c r="BJ21" s="76">
        <f t="shared" ca="1" si="18"/>
        <v>0</v>
      </c>
      <c r="BK21" s="76">
        <f t="shared" ca="1" si="19"/>
        <v>0</v>
      </c>
      <c r="BL21" s="76">
        <f t="shared" ca="1" si="20"/>
        <v>0</v>
      </c>
      <c r="BM21" s="83">
        <f t="shared" ca="1" si="49"/>
        <v>650059.14171599993</v>
      </c>
      <c r="BN21" s="84"/>
      <c r="BO21" s="82">
        <f t="shared" ca="1" si="21"/>
        <v>116240.2151951821</v>
      </c>
      <c r="BP21" s="76">
        <f t="shared" ca="1" si="22"/>
        <v>9504.2477822765013</v>
      </c>
      <c r="BQ21" s="76">
        <f t="shared" ca="1" si="23"/>
        <v>3031.8550425462045</v>
      </c>
      <c r="BR21" s="76">
        <f t="shared" ca="1" si="24"/>
        <v>3031.8550425462045</v>
      </c>
      <c r="BS21" s="76">
        <f t="shared" ca="1" si="25"/>
        <v>0</v>
      </c>
      <c r="BT21" s="76">
        <f t="shared" ca="1" si="26"/>
        <v>0</v>
      </c>
      <c r="BU21" s="76">
        <f t="shared" ca="1" si="27"/>
        <v>0</v>
      </c>
      <c r="BV21" s="76">
        <f t="shared" ca="1" si="28"/>
        <v>0</v>
      </c>
      <c r="BW21" s="83">
        <f t="shared" ca="1" si="29"/>
        <v>4030.8785362311023</v>
      </c>
      <c r="BX21" s="84"/>
      <c r="BY21" s="76">
        <f t="shared" ca="1" si="30"/>
        <v>-3243.5138787238293</v>
      </c>
      <c r="BZ21" s="76">
        <f t="shared" ca="1" si="31"/>
        <v>-265.20218959403411</v>
      </c>
      <c r="CA21" s="76">
        <f t="shared" ca="1" si="32"/>
        <v>-84.599498480496891</v>
      </c>
      <c r="CB21" s="76">
        <f t="shared" ca="1" si="33"/>
        <v>-84.599498480496891</v>
      </c>
      <c r="CC21" s="76">
        <f t="shared" ca="1" si="34"/>
        <v>0</v>
      </c>
      <c r="CD21" s="76">
        <f t="shared" ca="1" si="35"/>
        <v>0</v>
      </c>
      <c r="CE21" s="76">
        <f t="shared" ca="1" si="36"/>
        <v>0</v>
      </c>
      <c r="CF21" s="76">
        <f t="shared" ca="1" si="37"/>
        <v>0</v>
      </c>
      <c r="CG21" s="76">
        <f t="shared" ca="1" si="38"/>
        <v>-112.4757938013304</v>
      </c>
      <c r="CH21" s="84"/>
      <c r="CI21" s="85">
        <f t="shared" ca="1" si="39"/>
        <v>90.877980722773884</v>
      </c>
      <c r="CJ21" s="86">
        <f t="shared" ca="1" si="40"/>
        <v>7.4305337898065931</v>
      </c>
      <c r="CK21" s="86">
        <f t="shared" ca="1" si="41"/>
        <v>2.3703402789483032</v>
      </c>
      <c r="CL21" s="86">
        <f t="shared" ca="1" si="42"/>
        <v>2.3703402789483032</v>
      </c>
      <c r="CM21" s="86">
        <f t="shared" ca="1" si="43"/>
        <v>0</v>
      </c>
      <c r="CN21" s="86">
        <f t="shared" ca="1" si="44"/>
        <v>0</v>
      </c>
      <c r="CO21" s="86">
        <f t="shared" ca="1" si="45"/>
        <v>0</v>
      </c>
      <c r="CP21" s="86">
        <f t="shared" ca="1" si="46"/>
        <v>0</v>
      </c>
      <c r="CQ21" s="87">
        <f t="shared" ca="1" si="47"/>
        <v>3.1513887108377978</v>
      </c>
      <c r="CR21" s="61">
        <f ca="1">IF(D21="","",INDEX(INDIRECT(CW32),MATCH(CR14,Matl!$B$3:$B$29,0),MATCH(D21,Matl!$D$2:$K$2,0)))</f>
        <v>3000</v>
      </c>
      <c r="CS21" s="48">
        <f ca="1">IF(D21="","",INDEX(INDIRECT(CW32),MATCH(CS14,Matl!$B$3:$B$29,0),MATCH(D21,Matl!$D$2:$K$2,0)))</f>
        <v>4500</v>
      </c>
      <c r="CV21" s="101" t="str">
        <f>Matl!K2</f>
        <v>Foam Core</v>
      </c>
      <c r="CW21" s="74"/>
      <c r="CX21" s="51"/>
      <c r="CY21" s="51"/>
      <c r="CZ21" s="51"/>
      <c r="DA21" s="51"/>
      <c r="DB21" s="51"/>
      <c r="DC21" s="58"/>
      <c r="DD21" s="58"/>
      <c r="DE21" s="51"/>
      <c r="DF21" s="51"/>
      <c r="DG21" s="51"/>
      <c r="DH21" s="51"/>
      <c r="DI21" s="51"/>
      <c r="DJ21" s="89"/>
      <c r="DN21" s="88"/>
      <c r="DO21" s="108"/>
      <c r="DR21" s="88"/>
      <c r="DS21" s="108"/>
      <c r="DT21" s="136"/>
      <c r="DU21" s="76"/>
      <c r="DV21" s="76"/>
      <c r="DW21" s="76"/>
      <c r="DY21" s="110"/>
      <c r="DZ21" s="110"/>
      <c r="EA21" s="110"/>
      <c r="EC21" s="90"/>
      <c r="ED21" s="90"/>
      <c r="EE21" s="90"/>
      <c r="EF21" s="90"/>
      <c r="EG21" s="90"/>
      <c r="EH21" s="90"/>
      <c r="EI21" s="90"/>
      <c r="EJ21" s="90"/>
      <c r="EK21" s="90"/>
      <c r="EL21" s="90"/>
      <c r="EM21" s="90"/>
      <c r="EN21" s="90"/>
      <c r="EO21" s="90"/>
      <c r="EP21" s="90"/>
      <c r="EQ21" s="90"/>
      <c r="ER21" s="76"/>
      <c r="ES21" s="76"/>
      <c r="ET21" s="76"/>
      <c r="EU21" s="76"/>
      <c r="EV21" s="76"/>
      <c r="EW21" s="76"/>
      <c r="EX21" s="76"/>
      <c r="EY21" s="76"/>
      <c r="EZ21" s="137"/>
      <c r="FA21" s="137"/>
      <c r="FB21" s="61"/>
      <c r="FC21" s="138"/>
      <c r="FD21" s="61"/>
      <c r="FE21" s="61"/>
      <c r="FF21" s="91"/>
      <c r="FI21" s="91"/>
      <c r="FK21" s="92"/>
      <c r="FL21" s="92"/>
      <c r="FM21" s="92"/>
      <c r="FN21" s="92"/>
      <c r="FO21" s="92"/>
      <c r="FP21" s="92"/>
      <c r="FQ21" s="92"/>
      <c r="FS21" s="106"/>
      <c r="FT21" s="65"/>
      <c r="FU21" s="65"/>
      <c r="FV21" s="65"/>
      <c r="FW21" s="65"/>
      <c r="FX21" s="65"/>
      <c r="FY21" s="65"/>
      <c r="FZ21" s="106"/>
      <c r="GA21" s="90"/>
      <c r="GB21" s="65"/>
      <c r="GC21" s="61"/>
      <c r="GD21" s="94"/>
      <c r="GE21" s="65"/>
      <c r="GF21" s="94"/>
      <c r="GG21" s="106"/>
      <c r="GH21" s="90"/>
      <c r="GI21" s="65"/>
      <c r="GJ21" s="90"/>
      <c r="GK21" s="94"/>
      <c r="GL21" s="90"/>
      <c r="GM21" s="94"/>
      <c r="GO21" s="65"/>
      <c r="GP21" s="96"/>
      <c r="GQ21" s="96"/>
      <c r="GR21" s="96"/>
      <c r="GS21" s="96"/>
      <c r="GT21" s="96"/>
      <c r="GU21" s="96"/>
      <c r="GV21" s="96"/>
    </row>
    <row r="22" spans="1:204" ht="13.8" x14ac:dyDescent="0.3">
      <c r="A22" s="132">
        <v>7</v>
      </c>
      <c r="B22" s="182">
        <v>-45</v>
      </c>
      <c r="C22" s="182"/>
      <c r="D22" s="222" t="s">
        <v>52</v>
      </c>
      <c r="E22" s="222"/>
      <c r="F22" s="146">
        <f>IF(C22="",INDEX(Matl!$C$15:$K$15,MATCH(D22,Matl!$C$2:$K$2,0)),C22)</f>
        <v>6.2007874015748039E-3</v>
      </c>
      <c r="G22" s="147"/>
      <c r="H22" s="183"/>
      <c r="I22" s="183"/>
      <c r="J22" s="183"/>
      <c r="K22" s="183"/>
      <c r="W22" s="48">
        <f t="shared" si="3"/>
        <v>6.2007874015748039E-3</v>
      </c>
      <c r="X22" s="48"/>
      <c r="Y22" s="48"/>
      <c r="Z22" s="48"/>
      <c r="AA22" s="48">
        <f t="shared" si="4"/>
        <v>0</v>
      </c>
      <c r="AB22" s="48">
        <f>IF(B22="","",IF(OR(D22=CV14,D22=CV16,D22=CV17,D22=CV18,D22=CV20)=TRUE,0.5,1))</f>
        <v>1</v>
      </c>
      <c r="AC22" s="51">
        <f t="shared" si="5"/>
        <v>0</v>
      </c>
      <c r="AD22" s="77">
        <f t="shared" si="6"/>
        <v>-0.78539816339744828</v>
      </c>
      <c r="AE22" s="77">
        <f>IF(D22="",0,SUM(F15:F22))</f>
        <v>4.3405511811023631E-2</v>
      </c>
      <c r="AF22" s="77">
        <f>IF(D22="",0,SUM(F16:F50)/2-AE22)</f>
        <v>1.8602362204724388E-2</v>
      </c>
      <c r="AG22" s="77">
        <f t="shared" si="7"/>
        <v>2.4803149606299191E-2</v>
      </c>
      <c r="AH22" s="77">
        <f>IF(D22="",0,(AE22+AE21)/2-SUM(F16:F50)/2)</f>
        <v>-2.1702755905511795E-2</v>
      </c>
      <c r="AI22" s="58">
        <f ca="1">IF(D22="",0,INDEX(INDIRECT(CW32),MATCH(AI14,Matl!$B$3:$B$17,0),MATCH(D22,Matl!$D$2:$K$2,0)))</f>
        <v>18590067.030412</v>
      </c>
      <c r="AJ22" s="58">
        <f ca="1">IF(D22="",0,INDEX(INDIRECT(CW32),MATCH(AJ14,Matl!$B$3:$B$17,0),MATCH(D22,Matl!$D$2:$K$2,0)))</f>
        <v>1519995.4942399999</v>
      </c>
      <c r="AK22" s="58">
        <f ca="1">IF(D22="",0,INDEX(INDIRECT(CW32),MATCH(AK14,Matl!$B$3:$B$15,0),MATCH(D22,Matl!$D$2:$K$2,0)))</f>
        <v>0.31900000000000001</v>
      </c>
      <c r="AL22" s="80">
        <f t="shared" ca="1" si="8"/>
        <v>2.6082668872002123E-2</v>
      </c>
      <c r="AM22" s="58">
        <f ca="1">IF(D22="",0,INDEX(INDIRECT(CW32),MATCH(AM14,Matl!$B$3:$B$15,0),MATCH(D22,Matl!$D$2:$K$2,0)))</f>
        <v>650059.14171599993</v>
      </c>
      <c r="AN22" s="81">
        <f ca="1">IF(D22="",0,INDEX(INDIRECT(CW32),MATCH(AN14,Matl!$B$3:$B$15,0),MATCH(D22,Matl!$D$2:$K$2,0)))</f>
        <v>290365.55147599999</v>
      </c>
      <c r="AO22" s="81">
        <f ca="1">IF(D22="",0,INDEX(INDIRECT(CW32),MATCH(AO14,Matl!$B$3:$B$15,0),MATCH(D22,Matl!$D$2:$K$2,0)))</f>
        <v>1885.4905939999999</v>
      </c>
      <c r="AP22" s="81">
        <f ca="1">IF(D22="",0,INDEX(INDIRECT(CW32),MATCH(AP14,Matl!$B$3:$B$15,0),MATCH(D22,Matl!$D$2:$K$2,0)))</f>
        <v>90068.435297999997</v>
      </c>
      <c r="AQ22" s="81">
        <f ca="1">IF(D22="",0,INDEX(INDIRECT(CW32),MATCH(AQ14,Matl!$B$3:$B$15,0),MATCH(D22,Matl!$D$2:$K$2,0)))</f>
        <v>10877.83035</v>
      </c>
      <c r="AR22" s="81">
        <f ca="1">IF(D22="",0,INDEX(INDIRECT(CW32),MATCH(AR14,Matl!$B$3:$B$15,0),MATCH(D22,Matl!$D$2:$K$2,0)))</f>
        <v>9137.3774940000003</v>
      </c>
      <c r="AS22" s="58"/>
      <c r="AT22" s="58"/>
      <c r="AU22" s="82">
        <f t="shared" ca="1" si="9"/>
        <v>18746041.053699207</v>
      </c>
      <c r="AV22" s="76">
        <f t="shared" ca="1" si="10"/>
        <v>1532748.5312369722</v>
      </c>
      <c r="AW22" s="76">
        <f t="shared" ca="1" si="11"/>
        <v>488946.78146459418</v>
      </c>
      <c r="AX22" s="76">
        <f t="shared" ca="1" si="12"/>
        <v>488946.78146459413</v>
      </c>
      <c r="AY22" s="61">
        <v>0</v>
      </c>
      <c r="AZ22" s="61">
        <v>0</v>
      </c>
      <c r="BA22" s="61">
        <v>0</v>
      </c>
      <c r="BB22" s="61">
        <v>0</v>
      </c>
      <c r="BC22" s="62">
        <f t="shared" ca="1" si="13"/>
        <v>650059.14171599993</v>
      </c>
      <c r="BD22" s="63"/>
      <c r="BE22" s="82">
        <f t="shared" ca="1" si="14"/>
        <v>5964229.928682344</v>
      </c>
      <c r="BF22" s="76">
        <f t="shared" ca="1" si="15"/>
        <v>5964229.9286823403</v>
      </c>
      <c r="BG22" s="76">
        <f t="shared" ca="1" si="16"/>
        <v>4664111.6452503419</v>
      </c>
      <c r="BH22" s="76">
        <f t="shared" ca="1" si="17"/>
        <v>4664111.6452503419</v>
      </c>
      <c r="BI22" s="76">
        <f t="shared" ca="1" si="48"/>
        <v>-4303323.1306155594</v>
      </c>
      <c r="BJ22" s="76">
        <f t="shared" ca="1" si="18"/>
        <v>-4303323.1306155594</v>
      </c>
      <c r="BK22" s="76">
        <f t="shared" ca="1" si="19"/>
        <v>-4303323.1306155575</v>
      </c>
      <c r="BL22" s="76">
        <f t="shared" ca="1" si="20"/>
        <v>-4303323.1306155575</v>
      </c>
      <c r="BM22" s="83">
        <f t="shared" ca="1" si="49"/>
        <v>4825224.0055017481</v>
      </c>
      <c r="BN22" s="84"/>
      <c r="BO22" s="82">
        <f t="shared" ca="1" si="21"/>
        <v>36982.92180186887</v>
      </c>
      <c r="BP22" s="76">
        <f t="shared" ca="1" si="22"/>
        <v>36982.921801868848</v>
      </c>
      <c r="BQ22" s="76">
        <f t="shared" ca="1" si="23"/>
        <v>28921.16472940665</v>
      </c>
      <c r="BR22" s="76">
        <f t="shared" ca="1" si="24"/>
        <v>28921.16472940665</v>
      </c>
      <c r="BS22" s="76">
        <f t="shared" ca="1" si="25"/>
        <v>-26683.991853226406</v>
      </c>
      <c r="BT22" s="76">
        <f t="shared" ca="1" si="26"/>
        <v>-26683.991853226406</v>
      </c>
      <c r="BU22" s="76">
        <f t="shared" ca="1" si="27"/>
        <v>-26683.991853226395</v>
      </c>
      <c r="BV22" s="76">
        <f t="shared" ca="1" si="28"/>
        <v>-26683.991853226395</v>
      </c>
      <c r="BW22" s="83">
        <f t="shared" ca="1" si="29"/>
        <v>29920.188223091551</v>
      </c>
      <c r="BX22" s="84"/>
      <c r="BY22" s="76">
        <f t="shared" ca="1" si="30"/>
        <v>-802.63132453859055</v>
      </c>
      <c r="BZ22" s="76">
        <f t="shared" ca="1" si="31"/>
        <v>-802.63132453858998</v>
      </c>
      <c r="CA22" s="76">
        <f t="shared" ca="1" si="32"/>
        <v>-627.66897862540964</v>
      </c>
      <c r="CB22" s="76">
        <f t="shared" ca="1" si="33"/>
        <v>-627.66897862540964</v>
      </c>
      <c r="CC22" s="76">
        <f t="shared" ca="1" si="34"/>
        <v>579.11616177523797</v>
      </c>
      <c r="CD22" s="76">
        <f t="shared" ca="1" si="35"/>
        <v>579.11616177523797</v>
      </c>
      <c r="CE22" s="76">
        <f t="shared" ca="1" si="36"/>
        <v>579.11616177523774</v>
      </c>
      <c r="CF22" s="76">
        <f t="shared" ca="1" si="37"/>
        <v>579.11616177523774</v>
      </c>
      <c r="CG22" s="76">
        <f t="shared" ca="1" si="38"/>
        <v>-649.35054165272459</v>
      </c>
      <c r="CH22" s="84"/>
      <c r="CI22" s="85">
        <f t="shared" ca="1" si="39"/>
        <v>17.537810437752654</v>
      </c>
      <c r="CJ22" s="86">
        <f t="shared" ca="1" si="40"/>
        <v>17.537810437752643</v>
      </c>
      <c r="CK22" s="86">
        <f t="shared" ca="1" si="41"/>
        <v>13.714814296736302</v>
      </c>
      <c r="CL22" s="86">
        <f t="shared" ca="1" si="42"/>
        <v>13.714814296736302</v>
      </c>
      <c r="CM22" s="86">
        <f t="shared" ca="1" si="43"/>
        <v>-12.653916133277827</v>
      </c>
      <c r="CN22" s="86">
        <f t="shared" ca="1" si="44"/>
        <v>-12.653916133277827</v>
      </c>
      <c r="CO22" s="86">
        <f t="shared" ca="1" si="45"/>
        <v>-12.653916133277821</v>
      </c>
      <c r="CP22" s="86">
        <f t="shared" ca="1" si="46"/>
        <v>-12.653916133277821</v>
      </c>
      <c r="CQ22" s="87">
        <f t="shared" ca="1" si="47"/>
        <v>14.18856498493157</v>
      </c>
      <c r="CR22" s="61">
        <f ca="1">IF(D22="","",INDEX(INDIRECT(CW32),MATCH(CR14,Matl!$B$3:$B$29,0),MATCH(D22,Matl!$D$2:$K$2,0)))</f>
        <v>3000</v>
      </c>
      <c r="CS22" s="48">
        <f ca="1">IF(D22="","",INDEX(INDIRECT(CW32),MATCH(CS14,Matl!$B$3:$B$29,0),MATCH(D22,Matl!$D$2:$K$2,0)))</f>
        <v>4500</v>
      </c>
      <c r="CV22" s="101" t="str">
        <f>Matl!L2</f>
        <v>Blank</v>
      </c>
      <c r="CW22" s="74"/>
      <c r="CX22" s="51"/>
      <c r="CY22" s="51"/>
      <c r="CZ22" s="51"/>
      <c r="DA22" s="51"/>
      <c r="DB22" s="51"/>
      <c r="DC22" s="58"/>
      <c r="DD22" s="95"/>
      <c r="DE22" s="51"/>
      <c r="DF22" s="51"/>
      <c r="DG22" s="51"/>
      <c r="DH22" s="51"/>
      <c r="DI22" s="51"/>
      <c r="DJ22" s="89"/>
      <c r="DN22" s="88"/>
      <c r="DO22" s="108"/>
      <c r="DR22" s="88"/>
      <c r="DS22" s="108"/>
      <c r="DT22" s="136"/>
      <c r="DU22" s="76"/>
      <c r="DV22" s="76"/>
      <c r="DW22" s="76"/>
      <c r="DY22" s="110"/>
      <c r="DZ22" s="110"/>
      <c r="EA22" s="110"/>
      <c r="EC22" s="90"/>
      <c r="ED22" s="90"/>
      <c r="EE22" s="90"/>
      <c r="EF22" s="90"/>
      <c r="EG22" s="90"/>
      <c r="EH22" s="90"/>
      <c r="EI22" s="90"/>
      <c r="EJ22" s="90"/>
      <c r="EK22" s="90"/>
      <c r="EL22" s="90"/>
      <c r="EM22" s="90"/>
      <c r="EN22" s="90"/>
      <c r="EO22" s="90"/>
      <c r="EP22" s="90"/>
      <c r="EQ22" s="90"/>
      <c r="ER22" s="76"/>
      <c r="ES22" s="76"/>
      <c r="ET22" s="76"/>
      <c r="EU22" s="76"/>
      <c r="EV22" s="76"/>
      <c r="EW22" s="76"/>
      <c r="EX22" s="76"/>
      <c r="EY22" s="76"/>
      <c r="EZ22" s="137"/>
      <c r="FA22" s="137"/>
      <c r="FB22" s="61"/>
      <c r="FC22" s="138"/>
      <c r="FD22" s="61"/>
      <c r="FE22" s="61"/>
      <c r="FF22" s="91"/>
      <c r="FI22" s="91"/>
      <c r="FK22" s="92"/>
      <c r="FL22" s="92"/>
      <c r="FM22" s="92"/>
      <c r="FN22" s="92"/>
      <c r="FO22" s="92"/>
      <c r="FP22" s="92"/>
      <c r="FQ22" s="92"/>
      <c r="FS22" s="106"/>
      <c r="FT22" s="65"/>
      <c r="FU22" s="65"/>
      <c r="FV22" s="65"/>
      <c r="FW22" s="65"/>
      <c r="FX22" s="65"/>
      <c r="FY22" s="65"/>
      <c r="FZ22" s="106"/>
      <c r="GA22" s="90"/>
      <c r="GB22" s="65"/>
      <c r="GC22" s="61"/>
      <c r="GD22" s="94"/>
      <c r="GE22" s="65"/>
      <c r="GF22" s="94"/>
      <c r="GG22" s="106"/>
      <c r="GH22" s="90"/>
      <c r="GI22" s="65"/>
      <c r="GJ22" s="90"/>
      <c r="GK22" s="94"/>
      <c r="GL22" s="90"/>
      <c r="GM22" s="94"/>
      <c r="GO22" s="65"/>
      <c r="GP22" s="96"/>
      <c r="GQ22" s="96"/>
      <c r="GR22" s="96"/>
      <c r="GS22" s="96"/>
      <c r="GT22" s="96"/>
      <c r="GU22" s="96"/>
      <c r="GV22" s="96"/>
    </row>
    <row r="23" spans="1:204" ht="13.8" x14ac:dyDescent="0.3">
      <c r="A23" s="132">
        <v>8</v>
      </c>
      <c r="B23" s="182">
        <v>0</v>
      </c>
      <c r="C23" s="182"/>
      <c r="D23" s="222" t="s">
        <v>52</v>
      </c>
      <c r="E23" s="222"/>
      <c r="F23" s="146">
        <f>IF(C23="",INDEX(Matl!$C$15:$K$15,MATCH(D23,Matl!$C$2:$K$2,0)),C23)</f>
        <v>6.2007874015748039E-3</v>
      </c>
      <c r="G23" s="147"/>
      <c r="H23" s="183"/>
      <c r="I23" s="183"/>
      <c r="J23" s="183"/>
      <c r="K23" s="183"/>
      <c r="W23" s="48">
        <f t="shared" si="3"/>
        <v>0</v>
      </c>
      <c r="X23" s="48"/>
      <c r="Y23" s="48"/>
      <c r="Z23" s="48"/>
      <c r="AA23" s="48">
        <f t="shared" si="4"/>
        <v>1</v>
      </c>
      <c r="AB23" s="48">
        <f>IF(B23="","",IF(OR(D23=CV14,D23=CV16,D23=CV17,D23=CV18,D23=CV20)=TRUE,0.5,1))</f>
        <v>1</v>
      </c>
      <c r="AC23" s="51">
        <f t="shared" si="5"/>
        <v>6.2007874015748039E-3</v>
      </c>
      <c r="AD23" s="77">
        <f t="shared" si="6"/>
        <v>0</v>
      </c>
      <c r="AE23" s="77">
        <f>IF(D23="",0,SUM(F15:F23))</f>
        <v>4.9606299212598431E-2</v>
      </c>
      <c r="AF23" s="77">
        <f>IF(D23="",0,SUM(F16:F50)/2-AE23)</f>
        <v>1.2401574803149587E-2</v>
      </c>
      <c r="AG23" s="77">
        <f t="shared" si="7"/>
        <v>1.8602362204724391E-2</v>
      </c>
      <c r="AH23" s="77">
        <f>IF(D23="",0,(AE23+AE22)/2-SUM(F16:F50)/2)</f>
        <v>-1.5501968503936987E-2</v>
      </c>
      <c r="AI23" s="58">
        <f ca="1">IF(D23="",0,INDEX(INDIRECT(CW32),MATCH(AI14,Matl!$B$3:$B$17,0),MATCH(D23,Matl!$D$2:$K$2,0)))</f>
        <v>18590067.030412</v>
      </c>
      <c r="AJ23" s="58">
        <f ca="1">IF(D23="",0,INDEX(INDIRECT(CW32),MATCH(AJ14,Matl!$B$3:$B$17,0),MATCH(D23,Matl!$D$2:$K$2,0)))</f>
        <v>1519995.4942399999</v>
      </c>
      <c r="AK23" s="58">
        <f ca="1">IF(D23="",0,INDEX(INDIRECT(CW32),MATCH(AK14,Matl!$B$3:$B$15,0),MATCH(D23,Matl!$D$2:$K$2,0)))</f>
        <v>0.31900000000000001</v>
      </c>
      <c r="AL23" s="80">
        <f t="shared" ca="1" si="8"/>
        <v>2.6082668872002123E-2</v>
      </c>
      <c r="AM23" s="58">
        <f ca="1">IF(D23="",0,INDEX(INDIRECT(CW32),MATCH(AM14,Matl!$B$3:$B$15,0),MATCH(D23,Matl!$D$2:$K$2,0)))</f>
        <v>650059.14171599993</v>
      </c>
      <c r="AN23" s="81">
        <f ca="1">IF(D23="",0,INDEX(INDIRECT(CW32),MATCH(AN14,Matl!$B$3:$B$15,0),MATCH(D23,Matl!$D$2:$K$2,0)))</f>
        <v>290365.55147599999</v>
      </c>
      <c r="AO23" s="81">
        <f ca="1">IF(D23="",0,INDEX(INDIRECT(CW32),MATCH(AO14,Matl!$B$3:$B$15,0),MATCH(D23,Matl!$D$2:$K$2,0)))</f>
        <v>1885.4905939999999</v>
      </c>
      <c r="AP23" s="81">
        <f ca="1">IF(D23="",0,INDEX(INDIRECT(CW32),MATCH(AP14,Matl!$B$3:$B$15,0),MATCH(D23,Matl!$D$2:$K$2,0)))</f>
        <v>90068.435297999997</v>
      </c>
      <c r="AQ23" s="81">
        <f ca="1">IF(D23="",0,INDEX(INDIRECT(CW32),MATCH(AQ14,Matl!$B$3:$B$15,0),MATCH(D23,Matl!$D$2:$K$2,0)))</f>
        <v>10877.83035</v>
      </c>
      <c r="AR23" s="81">
        <f ca="1">IF(D23="",0,INDEX(INDIRECT(CW32),MATCH(AR14,Matl!$B$3:$B$15,0),MATCH(D23,Matl!$D$2:$K$2,0)))</f>
        <v>9137.3774940000003</v>
      </c>
      <c r="AS23" s="58"/>
      <c r="AT23" s="58"/>
      <c r="AU23" s="82">
        <f t="shared" ca="1" si="9"/>
        <v>18746041.053699207</v>
      </c>
      <c r="AV23" s="76">
        <f t="shared" ca="1" si="10"/>
        <v>1532748.5312369722</v>
      </c>
      <c r="AW23" s="76">
        <f t="shared" ca="1" si="11"/>
        <v>488946.78146459418</v>
      </c>
      <c r="AX23" s="76">
        <f t="shared" ca="1" si="12"/>
        <v>488946.78146459413</v>
      </c>
      <c r="AY23" s="61">
        <v>0</v>
      </c>
      <c r="AZ23" s="61">
        <v>0</v>
      </c>
      <c r="BA23" s="61">
        <v>0</v>
      </c>
      <c r="BB23" s="61">
        <v>0</v>
      </c>
      <c r="BC23" s="62">
        <f t="shared" ca="1" si="13"/>
        <v>650059.14171599993</v>
      </c>
      <c r="BD23" s="63"/>
      <c r="BE23" s="82">
        <f t="shared" ca="1" si="14"/>
        <v>18746041.053699207</v>
      </c>
      <c r="BF23" s="76">
        <f t="shared" ca="1" si="15"/>
        <v>1532748.5312369722</v>
      </c>
      <c r="BG23" s="76">
        <f t="shared" ca="1" si="16"/>
        <v>488946.78146459418</v>
      </c>
      <c r="BH23" s="76">
        <f t="shared" ca="1" si="17"/>
        <v>488946.78146459418</v>
      </c>
      <c r="BI23" s="76">
        <f t="shared" ca="1" si="48"/>
        <v>0</v>
      </c>
      <c r="BJ23" s="76">
        <f t="shared" ca="1" si="18"/>
        <v>0</v>
      </c>
      <c r="BK23" s="76">
        <f t="shared" ca="1" si="19"/>
        <v>0</v>
      </c>
      <c r="BL23" s="76">
        <f t="shared" ca="1" si="20"/>
        <v>0</v>
      </c>
      <c r="BM23" s="83">
        <f t="shared" ca="1" si="49"/>
        <v>650059.14171599993</v>
      </c>
      <c r="BN23" s="84"/>
      <c r="BO23" s="82">
        <f t="shared" ca="1" si="21"/>
        <v>116240.2151951821</v>
      </c>
      <c r="BP23" s="76">
        <f t="shared" ca="1" si="22"/>
        <v>9504.2477822765013</v>
      </c>
      <c r="BQ23" s="76">
        <f t="shared" ca="1" si="23"/>
        <v>3031.8550425462045</v>
      </c>
      <c r="BR23" s="76">
        <f t="shared" ca="1" si="24"/>
        <v>3031.8550425462045</v>
      </c>
      <c r="BS23" s="76">
        <f t="shared" ca="1" si="25"/>
        <v>0</v>
      </c>
      <c r="BT23" s="76">
        <f t="shared" ca="1" si="26"/>
        <v>0</v>
      </c>
      <c r="BU23" s="76">
        <f t="shared" ca="1" si="27"/>
        <v>0</v>
      </c>
      <c r="BV23" s="76">
        <f t="shared" ca="1" si="28"/>
        <v>0</v>
      </c>
      <c r="BW23" s="83">
        <f t="shared" ca="1" si="29"/>
        <v>4030.8785362311023</v>
      </c>
      <c r="BX23" s="84"/>
      <c r="BY23" s="76">
        <f t="shared" ca="1" si="30"/>
        <v>-1801.9521548465707</v>
      </c>
      <c r="BZ23" s="76">
        <f t="shared" ca="1" si="31"/>
        <v>-147.33454977446328</v>
      </c>
      <c r="CA23" s="76">
        <f t="shared" ca="1" si="32"/>
        <v>-46.999721378053792</v>
      </c>
      <c r="CB23" s="76">
        <f t="shared" ca="1" si="33"/>
        <v>-46.999721378053792</v>
      </c>
      <c r="CC23" s="76">
        <f t="shared" ca="1" si="34"/>
        <v>0</v>
      </c>
      <c r="CD23" s="76">
        <f t="shared" ca="1" si="35"/>
        <v>0</v>
      </c>
      <c r="CE23" s="76">
        <f t="shared" ca="1" si="36"/>
        <v>0</v>
      </c>
      <c r="CF23" s="76">
        <f t="shared" ca="1" si="37"/>
        <v>0</v>
      </c>
      <c r="CG23" s="76">
        <f t="shared" ca="1" si="38"/>
        <v>-62.486552111850173</v>
      </c>
      <c r="CH23" s="84"/>
      <c r="CI23" s="85">
        <f t="shared" ca="1" si="39"/>
        <v>28.306256290700027</v>
      </c>
      <c r="CJ23" s="86">
        <f t="shared" ca="1" si="40"/>
        <v>2.3144285574807393</v>
      </c>
      <c r="CK23" s="86">
        <f t="shared" ca="1" si="41"/>
        <v>0.73830270983635593</v>
      </c>
      <c r="CL23" s="86">
        <f t="shared" ca="1" si="42"/>
        <v>0.73830270983635593</v>
      </c>
      <c r="CM23" s="86">
        <f t="shared" ca="1" si="43"/>
        <v>0</v>
      </c>
      <c r="CN23" s="86">
        <f t="shared" ca="1" si="44"/>
        <v>0</v>
      </c>
      <c r="CO23" s="86">
        <f t="shared" ca="1" si="45"/>
        <v>0</v>
      </c>
      <c r="CP23" s="86">
        <f t="shared" ca="1" si="46"/>
        <v>0</v>
      </c>
      <c r="CQ23" s="87">
        <f t="shared" ca="1" si="47"/>
        <v>0.98158009026095228</v>
      </c>
      <c r="CR23" s="61">
        <f ca="1">IF(D23="","",INDEX(INDIRECT(CW32),MATCH(CR14,Matl!$B$3:$B$29,0),MATCH(D23,Matl!$D$2:$K$2,0)))</f>
        <v>3000</v>
      </c>
      <c r="CS23" s="48">
        <f ca="1">IF(D23="","",INDEX(INDIRECT(CW32),MATCH(CS14,Matl!$B$3:$B$29,0),MATCH(D23,Matl!$D$2:$K$2,0)))</f>
        <v>4500</v>
      </c>
      <c r="CV23" s="101"/>
      <c r="CW23" s="74"/>
      <c r="CX23" s="51"/>
      <c r="CY23" s="51"/>
      <c r="CZ23" s="51"/>
      <c r="DA23" s="51"/>
      <c r="DB23" s="51"/>
      <c r="DC23" s="58"/>
      <c r="DD23" s="51"/>
      <c r="DE23" s="51"/>
      <c r="DF23" s="51"/>
      <c r="DG23" s="51"/>
      <c r="DH23" s="51"/>
      <c r="DI23" s="51"/>
      <c r="DJ23" s="89"/>
      <c r="DN23" s="88"/>
      <c r="DO23" s="108"/>
      <c r="DR23" s="88"/>
      <c r="DS23" s="108"/>
      <c r="DT23" s="136"/>
      <c r="DU23" s="76"/>
      <c r="DV23" s="76"/>
      <c r="DW23" s="76"/>
      <c r="DY23" s="110"/>
      <c r="DZ23" s="110"/>
      <c r="EA23" s="110"/>
      <c r="EC23" s="90"/>
      <c r="ED23" s="90"/>
      <c r="EE23" s="90"/>
      <c r="EF23" s="90"/>
      <c r="EG23" s="90"/>
      <c r="EH23" s="90"/>
      <c r="EI23" s="90"/>
      <c r="EJ23" s="90"/>
      <c r="EK23" s="90"/>
      <c r="EL23" s="90"/>
      <c r="EM23" s="90"/>
      <c r="EN23" s="90"/>
      <c r="EO23" s="90"/>
      <c r="EP23" s="90"/>
      <c r="EQ23" s="90"/>
      <c r="ER23" s="76"/>
      <c r="ES23" s="76"/>
      <c r="ET23" s="76"/>
      <c r="EU23" s="76"/>
      <c r="EV23" s="76"/>
      <c r="EW23" s="76"/>
      <c r="EX23" s="76"/>
      <c r="EY23" s="76"/>
      <c r="EZ23" s="137"/>
      <c r="FA23" s="137"/>
      <c r="FB23" s="61"/>
      <c r="FC23" s="138"/>
      <c r="FD23" s="61"/>
      <c r="FE23" s="61"/>
      <c r="FF23" s="91"/>
      <c r="FI23" s="91"/>
      <c r="FK23" s="92"/>
      <c r="FL23" s="92"/>
      <c r="FM23" s="92"/>
      <c r="FN23" s="92"/>
      <c r="FO23" s="92"/>
      <c r="FP23" s="92"/>
      <c r="FQ23" s="92"/>
      <c r="FS23" s="106"/>
      <c r="FT23" s="61"/>
      <c r="FU23" s="65"/>
      <c r="FV23" s="61"/>
      <c r="FW23" s="65"/>
      <c r="FX23" s="65"/>
      <c r="FY23" s="65"/>
      <c r="FZ23" s="106"/>
      <c r="GA23" s="61"/>
      <c r="GB23" s="65"/>
      <c r="GC23" s="61"/>
      <c r="GD23" s="94"/>
      <c r="GE23" s="61"/>
      <c r="GF23" s="94"/>
      <c r="GG23" s="106"/>
      <c r="GH23" s="90"/>
      <c r="GI23" s="65"/>
      <c r="GJ23" s="94"/>
      <c r="GK23" s="94"/>
      <c r="GL23" s="94"/>
      <c r="GM23" s="94"/>
      <c r="GO23" s="65"/>
      <c r="GP23" s="96"/>
      <c r="GQ23" s="96"/>
      <c r="GR23" s="96"/>
      <c r="GS23" s="96"/>
      <c r="GT23" s="96"/>
      <c r="GU23" s="96"/>
      <c r="GV23" s="96"/>
    </row>
    <row r="24" spans="1:204" ht="13.8" x14ac:dyDescent="0.3">
      <c r="A24" s="132">
        <v>9</v>
      </c>
      <c r="B24" s="182">
        <v>90</v>
      </c>
      <c r="C24" s="182"/>
      <c r="D24" s="222" t="s">
        <v>52</v>
      </c>
      <c r="E24" s="222"/>
      <c r="F24" s="146">
        <f>IF(C24="",INDEX(Matl!$C$15:$K$15,MATCH(D24,Matl!$C$2:$K$2,0)),C24)</f>
        <v>6.2007874015748039E-3</v>
      </c>
      <c r="G24" s="147"/>
      <c r="H24" s="51" t="s">
        <v>149</v>
      </c>
      <c r="I24" s="51"/>
      <c r="J24" s="51"/>
      <c r="K24" s="183"/>
      <c r="W24" s="48">
        <f t="shared" si="3"/>
        <v>6.2007874015748039E-3</v>
      </c>
      <c r="X24" s="48"/>
      <c r="Y24" s="48"/>
      <c r="Z24" s="48"/>
      <c r="AA24" s="48">
        <f t="shared" si="4"/>
        <v>0</v>
      </c>
      <c r="AB24" s="48">
        <f>IF(B24="","",IF(OR(D24=CV14,D24=CV16,D24=CV17,D24=CV18,D24=CV20)=TRUE,0.5,1))</f>
        <v>1</v>
      </c>
      <c r="AC24" s="51">
        <f t="shared" si="5"/>
        <v>0</v>
      </c>
      <c r="AD24" s="77">
        <f t="shared" si="6"/>
        <v>1.5707963267948966</v>
      </c>
      <c r="AE24" s="77">
        <f>IF(D24="",0,SUM(F15:F24))</f>
        <v>5.5807086614173232E-2</v>
      </c>
      <c r="AF24" s="77">
        <f>IF(D24="",0,SUM(F16:F50)/2-AE24)</f>
        <v>6.2007874015747866E-3</v>
      </c>
      <c r="AG24" s="77">
        <f t="shared" si="7"/>
        <v>1.2401574803149591E-2</v>
      </c>
      <c r="AH24" s="77">
        <f>IF(D24="",0,(AE24+AE23)/2-SUM(F16:F50)/2)</f>
        <v>-9.3011811023621868E-3</v>
      </c>
      <c r="AI24" s="58">
        <f ca="1">IF(D24="",0,INDEX(INDIRECT(CW32),MATCH(AI14,Matl!$B$3:$B$17,0),MATCH(D24,Matl!$D$2:$K$2,0)))</f>
        <v>18590067.030412</v>
      </c>
      <c r="AJ24" s="58">
        <f ca="1">IF(D24="",0,INDEX(INDIRECT(CW32),MATCH(AJ14,Matl!$B$3:$B$17,0),MATCH(D24,Matl!$D$2:$K$2,0)))</f>
        <v>1519995.4942399999</v>
      </c>
      <c r="AK24" s="58">
        <f ca="1">IF(D24="",0,INDEX(INDIRECT(CW32),MATCH(AK14,Matl!$B$3:$B$15,0),MATCH(D24,Matl!$D$2:$K$2,0)))</f>
        <v>0.31900000000000001</v>
      </c>
      <c r="AL24" s="80">
        <f t="shared" ca="1" si="8"/>
        <v>2.6082668872002123E-2</v>
      </c>
      <c r="AM24" s="58">
        <f ca="1">IF(D24="",0,INDEX(INDIRECT(CW32),MATCH(AM14,Matl!$B$3:$B$15,0),MATCH(D24,Matl!$D$2:$K$2,0)))</f>
        <v>650059.14171599993</v>
      </c>
      <c r="AN24" s="81">
        <f ca="1">IF(D24="",0,INDEX(INDIRECT(CW32),MATCH(AN14,Matl!$B$3:$B$15,0),MATCH(D24,Matl!$D$2:$K$2,0)))</f>
        <v>290365.55147599999</v>
      </c>
      <c r="AO24" s="81">
        <f ca="1">IF(D24="",0,INDEX(INDIRECT(CW32),MATCH(AO14,Matl!$B$3:$B$15,0),MATCH(D24,Matl!$D$2:$K$2,0)))</f>
        <v>1885.4905939999999</v>
      </c>
      <c r="AP24" s="81">
        <f ca="1">IF(D24="",0,INDEX(INDIRECT(CW32),MATCH(AP14,Matl!$B$3:$B$15,0),MATCH(D24,Matl!$D$2:$K$2,0)))</f>
        <v>90068.435297999997</v>
      </c>
      <c r="AQ24" s="81">
        <f ca="1">IF(D24="",0,INDEX(INDIRECT(CW32),MATCH(AQ14,Matl!$B$3:$B$15,0),MATCH(D24,Matl!$D$2:$K$2,0)))</f>
        <v>10877.83035</v>
      </c>
      <c r="AR24" s="81">
        <f ca="1">IF(D24="",0,INDEX(INDIRECT(CW32),MATCH(AR14,Matl!$B$3:$B$15,0),MATCH(D24,Matl!$D$2:$K$2,0)))</f>
        <v>9137.3774940000003</v>
      </c>
      <c r="AS24" s="58"/>
      <c r="AT24" s="58"/>
      <c r="AU24" s="82">
        <f t="shared" ca="1" si="9"/>
        <v>18746041.053699207</v>
      </c>
      <c r="AV24" s="76">
        <f t="shared" ca="1" si="10"/>
        <v>1532748.5312369722</v>
      </c>
      <c r="AW24" s="76">
        <f t="shared" ca="1" si="11"/>
        <v>488946.78146459418</v>
      </c>
      <c r="AX24" s="76">
        <f t="shared" ca="1" si="12"/>
        <v>488946.78146459413</v>
      </c>
      <c r="AY24" s="61">
        <v>0</v>
      </c>
      <c r="AZ24" s="61">
        <v>0</v>
      </c>
      <c r="BA24" s="61">
        <v>0</v>
      </c>
      <c r="BB24" s="61">
        <v>0</v>
      </c>
      <c r="BC24" s="62">
        <f t="shared" ca="1" si="13"/>
        <v>650059.14171599993</v>
      </c>
      <c r="BD24" s="63"/>
      <c r="BE24" s="82">
        <f t="shared" ca="1" si="14"/>
        <v>1532748.5312369722</v>
      </c>
      <c r="BF24" s="76">
        <f t="shared" ca="1" si="15"/>
        <v>18746041.053699207</v>
      </c>
      <c r="BG24" s="76">
        <f t="shared" ca="1" si="16"/>
        <v>488946.78146459418</v>
      </c>
      <c r="BH24" s="76">
        <f t="shared" ca="1" si="17"/>
        <v>488946.78146459418</v>
      </c>
      <c r="BI24" s="76">
        <f t="shared" ca="1" si="48"/>
        <v>1.5701290259030949E-11</v>
      </c>
      <c r="BJ24" s="76">
        <f t="shared" ca="1" si="18"/>
        <v>1.5701290259030949E-11</v>
      </c>
      <c r="BK24" s="76">
        <f t="shared" ca="1" si="19"/>
        <v>1.0387406466302044E-9</v>
      </c>
      <c r="BL24" s="76">
        <f t="shared" ca="1" si="20"/>
        <v>1.0387406466302044E-9</v>
      </c>
      <c r="BM24" s="83">
        <f t="shared" ca="1" si="49"/>
        <v>650059.14171599993</v>
      </c>
      <c r="BN24" s="84"/>
      <c r="BO24" s="82">
        <f t="shared" ca="1" si="21"/>
        <v>9504.2477822765013</v>
      </c>
      <c r="BP24" s="76">
        <f t="shared" ca="1" si="22"/>
        <v>116240.2151951821</v>
      </c>
      <c r="BQ24" s="76">
        <f t="shared" ca="1" si="23"/>
        <v>3031.8550425462045</v>
      </c>
      <c r="BR24" s="76">
        <f t="shared" ca="1" si="24"/>
        <v>3031.8550425462045</v>
      </c>
      <c r="BS24" s="76">
        <f t="shared" ca="1" si="25"/>
        <v>9.7360362826668306E-14</v>
      </c>
      <c r="BT24" s="76">
        <f t="shared" ca="1" si="26"/>
        <v>9.7360362826668306E-14</v>
      </c>
      <c r="BU24" s="76">
        <f t="shared" ca="1" si="27"/>
        <v>6.4410099151282365E-12</v>
      </c>
      <c r="BV24" s="76">
        <f t="shared" ca="1" si="28"/>
        <v>6.4410099151282365E-12</v>
      </c>
      <c r="BW24" s="83">
        <f t="shared" ca="1" si="29"/>
        <v>4030.8785362311023</v>
      </c>
      <c r="BX24" s="84"/>
      <c r="BY24" s="76">
        <f t="shared" ca="1" si="30"/>
        <v>-88.400729864677928</v>
      </c>
      <c r="BZ24" s="76">
        <f t="shared" ca="1" si="31"/>
        <v>-1081.1712929079417</v>
      </c>
      <c r="CA24" s="76">
        <f t="shared" ca="1" si="32"/>
        <v>-28.19983282683226</v>
      </c>
      <c r="CB24" s="76">
        <f t="shared" ca="1" si="33"/>
        <v>-28.19983282683226</v>
      </c>
      <c r="CC24" s="76">
        <f t="shared" ca="1" si="34"/>
        <v>-9.0556636684253325E-16</v>
      </c>
      <c r="CD24" s="76">
        <f t="shared" ca="1" si="35"/>
        <v>-9.0556636684253325E-16</v>
      </c>
      <c r="CE24" s="76">
        <f t="shared" ca="1" si="36"/>
        <v>-5.9908999702718232E-14</v>
      </c>
      <c r="CF24" s="76">
        <f t="shared" ca="1" si="37"/>
        <v>-5.9908999702718232E-14</v>
      </c>
      <c r="CG24" s="76">
        <f t="shared" ca="1" si="38"/>
        <v>-37.491931267110083</v>
      </c>
      <c r="CH24" s="84"/>
      <c r="CI24" s="85">
        <f t="shared" ca="1" si="39"/>
        <v>0.85268420538764</v>
      </c>
      <c r="CJ24" s="86">
        <f t="shared" ca="1" si="40"/>
        <v>10.428620738678948</v>
      </c>
      <c r="CK24" s="86">
        <f t="shared" ca="1" si="41"/>
        <v>0.2720062615186572</v>
      </c>
      <c r="CL24" s="86">
        <f t="shared" ca="1" si="42"/>
        <v>0.2720062615186572</v>
      </c>
      <c r="CM24" s="86">
        <f t="shared" ca="1" si="43"/>
        <v>8.7347936959220568E-18</v>
      </c>
      <c r="CN24" s="86">
        <f t="shared" ca="1" si="44"/>
        <v>8.7347936959220568E-18</v>
      </c>
      <c r="CO24" s="86">
        <f t="shared" ca="1" si="45"/>
        <v>5.778623987073205E-16</v>
      </c>
      <c r="CP24" s="86">
        <f t="shared" ca="1" si="46"/>
        <v>5.778623987073205E-16</v>
      </c>
      <c r="CQ24" s="87">
        <f t="shared" ca="1" si="47"/>
        <v>0.36163477009613998</v>
      </c>
      <c r="CR24" s="61">
        <f ca="1">IF(D24="","",INDEX(INDIRECT(CW32),MATCH(CR14,Matl!$B$3:$B$29,0),MATCH(D24,Matl!$D$2:$K$2,0)))</f>
        <v>3000</v>
      </c>
      <c r="CS24" s="48">
        <f ca="1">IF(D24="","",INDEX(INDIRECT(CW32),MATCH(CS14,Matl!$B$3:$B$29,0),MATCH(D24,Matl!$D$2:$K$2,0)))</f>
        <v>4500</v>
      </c>
      <c r="CV24" s="101"/>
      <c r="CW24" s="51"/>
      <c r="CX24" s="51"/>
      <c r="CY24" s="51"/>
      <c r="CZ24" s="51"/>
      <c r="DA24" s="51"/>
      <c r="DB24" s="51"/>
      <c r="DC24" s="58"/>
      <c r="DD24" s="51"/>
      <c r="DE24" s="51"/>
      <c r="DF24" s="51"/>
      <c r="DG24" s="51"/>
      <c r="DH24" s="51"/>
      <c r="DI24" s="51"/>
      <c r="DJ24" s="89"/>
      <c r="DN24" s="88"/>
      <c r="DO24" s="108"/>
      <c r="DR24" s="88"/>
      <c r="DS24" s="108"/>
      <c r="DT24" s="136"/>
      <c r="DU24" s="76"/>
      <c r="DV24" s="76"/>
      <c r="DW24" s="76"/>
      <c r="DY24" s="110"/>
      <c r="DZ24" s="110"/>
      <c r="EA24" s="110"/>
      <c r="EC24" s="90"/>
      <c r="ED24" s="90"/>
      <c r="EE24" s="90"/>
      <c r="EF24" s="90"/>
      <c r="EG24" s="90"/>
      <c r="EH24" s="90"/>
      <c r="EI24" s="90"/>
      <c r="EJ24" s="90"/>
      <c r="EK24" s="90"/>
      <c r="EL24" s="90"/>
      <c r="EM24" s="90"/>
      <c r="EN24" s="90"/>
      <c r="EO24" s="90"/>
      <c r="EP24" s="90"/>
      <c r="EQ24" s="90"/>
      <c r="ER24" s="76"/>
      <c r="ES24" s="76"/>
      <c r="ET24" s="76"/>
      <c r="EU24" s="76"/>
      <c r="EV24" s="76"/>
      <c r="EW24" s="76"/>
      <c r="EX24" s="76"/>
      <c r="EY24" s="76"/>
      <c r="EZ24" s="137"/>
      <c r="FA24" s="137"/>
      <c r="FB24" s="61"/>
      <c r="FC24" s="138"/>
      <c r="FD24" s="61"/>
      <c r="FE24" s="61"/>
      <c r="FF24" s="91"/>
      <c r="FI24" s="91"/>
      <c r="FK24" s="92"/>
      <c r="FL24" s="92"/>
      <c r="FM24" s="92"/>
      <c r="FN24" s="92"/>
      <c r="FO24" s="92"/>
      <c r="FP24" s="92"/>
      <c r="FQ24" s="92"/>
      <c r="FS24" s="106"/>
      <c r="FT24" s="61"/>
      <c r="FU24" s="65"/>
      <c r="FV24" s="61"/>
      <c r="FW24" s="65"/>
      <c r="FX24" s="65"/>
      <c r="FY24" s="65"/>
      <c r="FZ24" s="106"/>
      <c r="GA24" s="61"/>
      <c r="GB24" s="65"/>
      <c r="GC24" s="93"/>
      <c r="GD24" s="94"/>
      <c r="GE24" s="61"/>
      <c r="GF24" s="94"/>
      <c r="GG24" s="106"/>
      <c r="GH24" s="90"/>
      <c r="GI24" s="65"/>
      <c r="GJ24" s="94"/>
      <c r="GK24" s="94"/>
      <c r="GL24" s="94"/>
      <c r="GM24" s="94"/>
      <c r="GN24" s="106"/>
      <c r="GO24" s="65"/>
      <c r="GP24" s="96"/>
      <c r="GQ24" s="96"/>
      <c r="GR24" s="96"/>
      <c r="GS24" s="96"/>
      <c r="GT24" s="96"/>
      <c r="GU24" s="96"/>
      <c r="GV24" s="96"/>
    </row>
    <row r="25" spans="1:204" ht="13.8" x14ac:dyDescent="0.3">
      <c r="A25" s="132">
        <v>10</v>
      </c>
      <c r="B25" s="182">
        <v>45</v>
      </c>
      <c r="C25" s="182"/>
      <c r="D25" s="222" t="s">
        <v>52</v>
      </c>
      <c r="E25" s="222"/>
      <c r="F25" s="146">
        <f>IF(C25="",INDEX(Matl!$C$15:$K$15,MATCH(D25,Matl!$C$2:$K$2,0)),C25)</f>
        <v>6.2007874015748039E-3</v>
      </c>
      <c r="G25" s="147"/>
      <c r="H25" s="204">
        <f t="shared" ref="H25:J27" ca="1" si="50">CV37</f>
        <v>1208844.7390663289</v>
      </c>
      <c r="I25" s="205">
        <f t="shared" ca="1" si="50"/>
        <v>215972.95897208672</v>
      </c>
      <c r="J25" s="206">
        <f t="shared" ca="1" si="50"/>
        <v>53367.983706452782</v>
      </c>
      <c r="K25" s="183"/>
      <c r="W25" s="48">
        <f t="shared" si="3"/>
        <v>6.2007874015748039E-3</v>
      </c>
      <c r="X25" s="48"/>
      <c r="Y25" s="48"/>
      <c r="Z25" s="48"/>
      <c r="AA25" s="48">
        <f t="shared" si="4"/>
        <v>0</v>
      </c>
      <c r="AB25" s="48">
        <f>IF(B25="","",IF(OR(D25=CV14,D25=CV16,D25=CV17,D25=CV18,D25=CV20)=TRUE,0.5,1))</f>
        <v>1</v>
      </c>
      <c r="AC25" s="51">
        <f t="shared" si="5"/>
        <v>0</v>
      </c>
      <c r="AD25" s="77">
        <f t="shared" si="6"/>
        <v>0.78539816339744828</v>
      </c>
      <c r="AE25" s="77">
        <f>IF(D25="",0,SUM(F15:F25))</f>
        <v>6.2007874015748032E-2</v>
      </c>
      <c r="AF25" s="77">
        <f>IF(D25="",0,SUM(F16:F50)/2-AE25)</f>
        <v>-1.3877787807814457E-17</v>
      </c>
      <c r="AG25" s="77">
        <f t="shared" si="7"/>
        <v>6.2007874015747901E-3</v>
      </c>
      <c r="AH25" s="77">
        <f>IF(D25="",0,(AE25+AE24)/2-SUM(F16:F50)/2)</f>
        <v>-3.1003937007873864E-3</v>
      </c>
      <c r="AI25" s="58">
        <f ca="1">IF(D25="",0,INDEX(INDIRECT(CW32),MATCH(AI14,Matl!$B$3:$B$17,0),MATCH(D25,Matl!$D$2:$K$2,0)))</f>
        <v>18590067.030412</v>
      </c>
      <c r="AJ25" s="58">
        <f ca="1">IF(D25="",0,INDEX(INDIRECT(CW32),MATCH(AJ14,Matl!$B$3:$B$17,0),MATCH(D25,Matl!$D$2:$K$2,0)))</f>
        <v>1519995.4942399999</v>
      </c>
      <c r="AK25" s="58">
        <f ca="1">IF(D25="",0,INDEX(INDIRECT(CW32),MATCH(AK14,Matl!$B$3:$B$15,0),MATCH(D25,Matl!$D$2:$K$2,0)))</f>
        <v>0.31900000000000001</v>
      </c>
      <c r="AL25" s="80">
        <f t="shared" ca="1" si="8"/>
        <v>2.6082668872002123E-2</v>
      </c>
      <c r="AM25" s="58">
        <f ca="1">IF(D25="",0,INDEX(INDIRECT(CW32),MATCH(AM14,Matl!$B$3:$B$15,0),MATCH(D25,Matl!$D$2:$K$2,0)))</f>
        <v>650059.14171599993</v>
      </c>
      <c r="AN25" s="81">
        <f ca="1">IF(D25="",0,INDEX(INDIRECT(CW32),MATCH(AN14,Matl!$B$3:$B$15,0),MATCH(D25,Matl!$D$2:$K$2,0)))</f>
        <v>290365.55147599999</v>
      </c>
      <c r="AO25" s="81">
        <f ca="1">IF(D25="",0,INDEX(INDIRECT(CW32),MATCH(AO14,Matl!$B$3:$B$15,0),MATCH(D25,Matl!$D$2:$K$2,0)))</f>
        <v>1885.4905939999999</v>
      </c>
      <c r="AP25" s="81">
        <f ca="1">IF(D25="",0,INDEX(INDIRECT(CW32),MATCH(AP14,Matl!$B$3:$B$15,0),MATCH(D25,Matl!$D$2:$K$2,0)))</f>
        <v>90068.435297999997</v>
      </c>
      <c r="AQ25" s="81">
        <f ca="1">IF(D25="",0,INDEX(INDIRECT(CW32),MATCH(AQ14,Matl!$B$3:$B$15,0),MATCH(D25,Matl!$D$2:$K$2,0)))</f>
        <v>10877.83035</v>
      </c>
      <c r="AR25" s="81">
        <f ca="1">IF(D25="",0,INDEX(INDIRECT(CW32),MATCH(AR14,Matl!$B$3:$B$15,0),MATCH(D25,Matl!$D$2:$K$2,0)))</f>
        <v>9137.3774940000003</v>
      </c>
      <c r="AS25" s="58"/>
      <c r="AT25" s="58"/>
      <c r="AU25" s="82">
        <f t="shared" ca="1" si="9"/>
        <v>18746041.053699207</v>
      </c>
      <c r="AV25" s="76">
        <f t="shared" ca="1" si="10"/>
        <v>1532748.5312369722</v>
      </c>
      <c r="AW25" s="76">
        <f t="shared" ca="1" si="11"/>
        <v>488946.78146459418</v>
      </c>
      <c r="AX25" s="76">
        <f t="shared" ca="1" si="12"/>
        <v>488946.78146459413</v>
      </c>
      <c r="AY25" s="61">
        <v>0</v>
      </c>
      <c r="AZ25" s="61">
        <v>0</v>
      </c>
      <c r="BA25" s="61">
        <v>0</v>
      </c>
      <c r="BB25" s="61">
        <v>0</v>
      </c>
      <c r="BC25" s="62">
        <f t="shared" ca="1" si="13"/>
        <v>650059.14171599993</v>
      </c>
      <c r="BD25" s="63"/>
      <c r="BE25" s="82">
        <f t="shared" ca="1" si="14"/>
        <v>5964229.928682344</v>
      </c>
      <c r="BF25" s="76">
        <f t="shared" ca="1" si="15"/>
        <v>5964229.9286823403</v>
      </c>
      <c r="BG25" s="76">
        <f t="shared" ca="1" si="16"/>
        <v>4664111.6452503419</v>
      </c>
      <c r="BH25" s="76">
        <f t="shared" ca="1" si="17"/>
        <v>4664111.6452503419</v>
      </c>
      <c r="BI25" s="76">
        <f t="shared" ca="1" si="48"/>
        <v>4303323.1306155594</v>
      </c>
      <c r="BJ25" s="76">
        <f t="shared" ca="1" si="18"/>
        <v>4303323.1306155594</v>
      </c>
      <c r="BK25" s="76">
        <f t="shared" ca="1" si="19"/>
        <v>4303323.1306155575</v>
      </c>
      <c r="BL25" s="76">
        <f t="shared" ca="1" si="20"/>
        <v>4303323.1306155575</v>
      </c>
      <c r="BM25" s="83">
        <f t="shared" ca="1" si="49"/>
        <v>4825224.0055017481</v>
      </c>
      <c r="BN25" s="84"/>
      <c r="BO25" s="82">
        <f t="shared" ca="1" si="21"/>
        <v>36982.92180186887</v>
      </c>
      <c r="BP25" s="76">
        <f t="shared" ca="1" si="22"/>
        <v>36982.921801868848</v>
      </c>
      <c r="BQ25" s="76">
        <f t="shared" ca="1" si="23"/>
        <v>28921.16472940665</v>
      </c>
      <c r="BR25" s="76">
        <f t="shared" ca="1" si="24"/>
        <v>28921.16472940665</v>
      </c>
      <c r="BS25" s="76">
        <f t="shared" ca="1" si="25"/>
        <v>26683.991853226406</v>
      </c>
      <c r="BT25" s="76">
        <f t="shared" ca="1" si="26"/>
        <v>26683.991853226406</v>
      </c>
      <c r="BU25" s="76">
        <f t="shared" ca="1" si="27"/>
        <v>26683.991853226395</v>
      </c>
      <c r="BV25" s="76">
        <f t="shared" ca="1" si="28"/>
        <v>26683.991853226395</v>
      </c>
      <c r="BW25" s="83">
        <f t="shared" ca="1" si="29"/>
        <v>29920.188223091551</v>
      </c>
      <c r="BX25" s="84"/>
      <c r="BY25" s="76">
        <f t="shared" ca="1" si="30"/>
        <v>-114.66161779122673</v>
      </c>
      <c r="BZ25" s="76">
        <f t="shared" ca="1" si="31"/>
        <v>-114.66161779122666</v>
      </c>
      <c r="CA25" s="76">
        <f t="shared" ca="1" si="32"/>
        <v>-89.666996946486719</v>
      </c>
      <c r="CB25" s="76">
        <f t="shared" ca="1" si="33"/>
        <v>-89.666996946486719</v>
      </c>
      <c r="CC25" s="76">
        <f t="shared" ca="1" si="34"/>
        <v>-82.730880253605079</v>
      </c>
      <c r="CD25" s="76">
        <f t="shared" ca="1" si="35"/>
        <v>-82.730880253605079</v>
      </c>
      <c r="CE25" s="76">
        <f t="shared" ca="1" si="36"/>
        <v>-82.730880253605051</v>
      </c>
      <c r="CF25" s="76">
        <f t="shared" ca="1" si="37"/>
        <v>-82.730880253605051</v>
      </c>
      <c r="CG25" s="76">
        <f t="shared" ca="1" si="38"/>
        <v>-92.76436309324599</v>
      </c>
      <c r="CH25" s="84"/>
      <c r="CI25" s="85">
        <f t="shared" ca="1" si="39"/>
        <v>0.47399487669601487</v>
      </c>
      <c r="CJ25" s="86">
        <f t="shared" ca="1" si="40"/>
        <v>0.47399487669601459</v>
      </c>
      <c r="CK25" s="86">
        <f t="shared" ca="1" si="41"/>
        <v>0.37067065666854654</v>
      </c>
      <c r="CL25" s="86">
        <f t="shared" ca="1" si="42"/>
        <v>0.37067065666854654</v>
      </c>
      <c r="CM25" s="86">
        <f t="shared" ca="1" si="43"/>
        <v>0.3419977333318312</v>
      </c>
      <c r="CN25" s="86">
        <f t="shared" ca="1" si="44"/>
        <v>0.3419977333318312</v>
      </c>
      <c r="CO25" s="86">
        <f t="shared" ca="1" si="45"/>
        <v>0.34199773333183103</v>
      </c>
      <c r="CP25" s="86">
        <f t="shared" ca="1" si="46"/>
        <v>0.34199773333183103</v>
      </c>
      <c r="CQ25" s="87">
        <f t="shared" ca="1" si="47"/>
        <v>0.38347472932247262</v>
      </c>
      <c r="CR25" s="61">
        <f ca="1">IF(D25="","",INDEX(INDIRECT(CW32),MATCH(CR14,Matl!$B$3:$B$29,0),MATCH(D25,Matl!$D$2:$K$2,0)))</f>
        <v>3000</v>
      </c>
      <c r="CS25" s="48">
        <f ca="1">IF(D25="","",INDEX(INDIRECT(CW32),MATCH(CS14,Matl!$B$3:$B$29,0),MATCH(D25,Matl!$D$2:$K$2,0)))</f>
        <v>4500</v>
      </c>
      <c r="CV25" s="101" t="str">
        <f>Matl!$B$1</f>
        <v>HOT WET</v>
      </c>
      <c r="CY25" s="99" t="s">
        <v>44</v>
      </c>
      <c r="CZ25" s="99"/>
      <c r="DA25" s="51"/>
      <c r="DB25" s="51"/>
      <c r="DC25" s="58"/>
      <c r="DD25" s="51"/>
      <c r="DE25" s="51"/>
      <c r="DF25" s="51"/>
      <c r="DG25" s="51"/>
      <c r="DH25" s="51"/>
      <c r="DI25" s="51"/>
      <c r="DJ25" s="89"/>
      <c r="DN25" s="88"/>
      <c r="DO25" s="108"/>
      <c r="DR25" s="88"/>
      <c r="DS25" s="108"/>
      <c r="DT25" s="136"/>
      <c r="DU25" s="76"/>
      <c r="DV25" s="76"/>
      <c r="DW25" s="76"/>
      <c r="DY25" s="110"/>
      <c r="DZ25" s="110"/>
      <c r="EA25" s="110"/>
      <c r="EC25" s="90"/>
      <c r="ED25" s="90"/>
      <c r="EE25" s="90"/>
      <c r="EF25" s="90"/>
      <c r="EG25" s="90"/>
      <c r="EH25" s="90"/>
      <c r="EI25" s="90"/>
      <c r="EJ25" s="90"/>
      <c r="EK25" s="90"/>
      <c r="EL25" s="90"/>
      <c r="EM25" s="90"/>
      <c r="EN25" s="90"/>
      <c r="EO25" s="90"/>
      <c r="EP25" s="90"/>
      <c r="EQ25" s="90"/>
      <c r="ER25" s="76"/>
      <c r="ES25" s="76"/>
      <c r="ET25" s="76"/>
      <c r="EU25" s="76"/>
      <c r="EV25" s="76"/>
      <c r="EW25" s="76"/>
      <c r="EX25" s="76"/>
      <c r="EY25" s="76"/>
      <c r="EZ25" s="137"/>
      <c r="FA25" s="137"/>
      <c r="FB25" s="61"/>
      <c r="FC25" s="138"/>
      <c r="FD25" s="61"/>
      <c r="FE25" s="61"/>
      <c r="FF25" s="91"/>
      <c r="FI25" s="91"/>
      <c r="FK25" s="92"/>
      <c r="FL25" s="92"/>
      <c r="FM25" s="92"/>
      <c r="FN25" s="92"/>
      <c r="FO25" s="92"/>
      <c r="FP25" s="92"/>
      <c r="FQ25" s="92"/>
      <c r="FS25" s="106"/>
      <c r="FT25" s="65"/>
      <c r="FU25" s="65"/>
      <c r="FV25" s="65"/>
      <c r="FW25" s="65"/>
      <c r="FX25" s="65"/>
      <c r="FY25" s="65"/>
      <c r="FZ25" s="106"/>
      <c r="GA25" s="90"/>
      <c r="GB25" s="65"/>
      <c r="GC25" s="61"/>
      <c r="GD25" s="94"/>
      <c r="GE25" s="65"/>
      <c r="GF25" s="94"/>
      <c r="GG25" s="106"/>
      <c r="GH25" s="90"/>
      <c r="GI25" s="65"/>
      <c r="GJ25" s="90"/>
      <c r="GK25" s="94"/>
      <c r="GL25" s="90"/>
      <c r="GM25" s="94"/>
      <c r="GO25" s="65"/>
      <c r="GP25" s="96"/>
      <c r="GQ25" s="96"/>
      <c r="GR25" s="96"/>
      <c r="GS25" s="96"/>
      <c r="GT25" s="96"/>
      <c r="GU25" s="96"/>
      <c r="GV25" s="96"/>
    </row>
    <row r="26" spans="1:204" ht="13.8" x14ac:dyDescent="0.3">
      <c r="A26" s="132">
        <v>11</v>
      </c>
      <c r="B26" s="182">
        <v>45</v>
      </c>
      <c r="C26" s="182"/>
      <c r="D26" s="222" t="s">
        <v>52</v>
      </c>
      <c r="E26" s="222"/>
      <c r="F26" s="146">
        <f>IF(C26="",INDEX(Matl!$C$15:$K$15,MATCH(D26,Matl!$C$2:$K$2,0)),C26)</f>
        <v>6.2007874015748039E-3</v>
      </c>
      <c r="G26" s="147"/>
      <c r="H26" s="82">
        <f t="shared" ca="1" si="50"/>
        <v>215972.95897208672</v>
      </c>
      <c r="I26" s="76">
        <f t="shared" ca="1" si="50"/>
        <v>995372.80424051755</v>
      </c>
      <c r="J26" s="83">
        <f t="shared" ca="1" si="50"/>
        <v>53367.983706452804</v>
      </c>
      <c r="K26" s="183"/>
      <c r="W26" s="48">
        <f t="shared" si="3"/>
        <v>6.2007874015748039E-3</v>
      </c>
      <c r="X26" s="48"/>
      <c r="Y26" s="48"/>
      <c r="Z26" s="48"/>
      <c r="AA26" s="48">
        <f t="shared" si="4"/>
        <v>0</v>
      </c>
      <c r="AB26" s="48">
        <f>IF(B26="","",IF(OR(D26=CV14,D26=CV16,D26=CV17,D26=CV18,D26=CV20)=TRUE,0.5,1))</f>
        <v>1</v>
      </c>
      <c r="AC26" s="51">
        <f t="shared" si="5"/>
        <v>0</v>
      </c>
      <c r="AD26" s="77">
        <f t="shared" si="6"/>
        <v>0.78539816339744828</v>
      </c>
      <c r="AE26" s="77">
        <f>IF(D26="",0,SUM(F15:F26))</f>
        <v>6.8208661417322833E-2</v>
      </c>
      <c r="AF26" s="77">
        <f>IF(D26="",0,SUM(F16:F50)/2-AE26)</f>
        <v>-6.2007874015748143E-3</v>
      </c>
      <c r="AG26" s="77">
        <f t="shared" si="7"/>
        <v>-1.0408340855860843E-17</v>
      </c>
      <c r="AH26" s="77">
        <f>IF(D26="",0,(AE26+AE25)/2-SUM(F16:F50)/2)</f>
        <v>3.100393700787421E-3</v>
      </c>
      <c r="AI26" s="58">
        <f ca="1">IF(D26="",0,INDEX(INDIRECT(CW32),MATCH(AI14,Matl!$B$3:$B$17,0),MATCH(D26,Matl!$D$2:$K$2,0)))</f>
        <v>18590067.030412</v>
      </c>
      <c r="AJ26" s="58">
        <f ca="1">IF(D26="",0,INDEX(INDIRECT(CW32),MATCH(AJ14,Matl!$B$3:$B$17,0),MATCH(D26,Matl!$D$2:$K$2,0)))</f>
        <v>1519995.4942399999</v>
      </c>
      <c r="AK26" s="58">
        <f ca="1">IF(D26="",0,INDEX(INDIRECT(CW32),MATCH(AK14,Matl!$B$3:$B$15,0),MATCH(D26,Matl!$D$2:$K$2,0)))</f>
        <v>0.31900000000000001</v>
      </c>
      <c r="AL26" s="80">
        <f t="shared" ca="1" si="8"/>
        <v>2.6082668872002123E-2</v>
      </c>
      <c r="AM26" s="58">
        <f ca="1">IF(D26="",0,INDEX(INDIRECT(CW32),MATCH(AM14,Matl!$B$3:$B$15,0),MATCH(D26,Matl!$D$2:$K$2,0)))</f>
        <v>650059.14171599993</v>
      </c>
      <c r="AN26" s="81">
        <f ca="1">IF(D26="",0,INDEX(INDIRECT(CW32),MATCH(AN14,Matl!$B$3:$B$15,0),MATCH(D26,Matl!$D$2:$K$2,0)))</f>
        <v>290365.55147599999</v>
      </c>
      <c r="AO26" s="81">
        <f ca="1">IF(D26="",0,INDEX(INDIRECT(CW32),MATCH(AO14,Matl!$B$3:$B$15,0),MATCH(D26,Matl!$D$2:$K$2,0)))</f>
        <v>1885.4905939999999</v>
      </c>
      <c r="AP26" s="81">
        <f ca="1">IF(D26="",0,INDEX(INDIRECT(CW32),MATCH(AP14,Matl!$B$3:$B$15,0),MATCH(D26,Matl!$D$2:$K$2,0)))</f>
        <v>90068.435297999997</v>
      </c>
      <c r="AQ26" s="81">
        <f ca="1">IF(D26="",0,INDEX(INDIRECT(CW32),MATCH(AQ14,Matl!$B$3:$B$15,0),MATCH(D26,Matl!$D$2:$K$2,0)))</f>
        <v>10877.83035</v>
      </c>
      <c r="AR26" s="81">
        <f ca="1">IF(D26="",0,INDEX(INDIRECT(CW32),MATCH(AR14,Matl!$B$3:$B$15,0),MATCH(D26,Matl!$D$2:$K$2,0)))</f>
        <v>9137.3774940000003</v>
      </c>
      <c r="AS26" s="58"/>
      <c r="AT26" s="58"/>
      <c r="AU26" s="82">
        <f t="shared" ca="1" si="9"/>
        <v>18746041.053699207</v>
      </c>
      <c r="AV26" s="76">
        <f t="shared" ca="1" si="10"/>
        <v>1532748.5312369722</v>
      </c>
      <c r="AW26" s="76">
        <f t="shared" ca="1" si="11"/>
        <v>488946.78146459418</v>
      </c>
      <c r="AX26" s="76">
        <f t="shared" ca="1" si="12"/>
        <v>488946.78146459413</v>
      </c>
      <c r="AY26" s="61">
        <v>0</v>
      </c>
      <c r="AZ26" s="61">
        <v>0</v>
      </c>
      <c r="BA26" s="61">
        <v>0</v>
      </c>
      <c r="BB26" s="61">
        <v>0</v>
      </c>
      <c r="BC26" s="62">
        <f t="shared" ca="1" si="13"/>
        <v>650059.14171599993</v>
      </c>
      <c r="BD26" s="63"/>
      <c r="BE26" s="82">
        <f t="shared" ca="1" si="14"/>
        <v>5964229.928682344</v>
      </c>
      <c r="BF26" s="76">
        <f t="shared" ca="1" si="15"/>
        <v>5964229.9286823403</v>
      </c>
      <c r="BG26" s="76">
        <f t="shared" ca="1" si="16"/>
        <v>4664111.6452503419</v>
      </c>
      <c r="BH26" s="76">
        <f t="shared" ca="1" si="17"/>
        <v>4664111.6452503419</v>
      </c>
      <c r="BI26" s="76">
        <f t="shared" ca="1" si="48"/>
        <v>4303323.1306155594</v>
      </c>
      <c r="BJ26" s="76">
        <f t="shared" ca="1" si="18"/>
        <v>4303323.1306155594</v>
      </c>
      <c r="BK26" s="76">
        <f t="shared" ca="1" si="19"/>
        <v>4303323.1306155575</v>
      </c>
      <c r="BL26" s="76">
        <f t="shared" ca="1" si="20"/>
        <v>4303323.1306155575</v>
      </c>
      <c r="BM26" s="83">
        <f t="shared" ca="1" si="49"/>
        <v>4825224.0055017481</v>
      </c>
      <c r="BN26" s="84"/>
      <c r="BO26" s="82">
        <f t="shared" ca="1" si="21"/>
        <v>36982.92180186887</v>
      </c>
      <c r="BP26" s="76">
        <f t="shared" ca="1" si="22"/>
        <v>36982.921801868848</v>
      </c>
      <c r="BQ26" s="76">
        <f t="shared" ca="1" si="23"/>
        <v>28921.16472940665</v>
      </c>
      <c r="BR26" s="76">
        <f t="shared" ca="1" si="24"/>
        <v>28921.16472940665</v>
      </c>
      <c r="BS26" s="76">
        <f t="shared" ca="1" si="25"/>
        <v>26683.991853226406</v>
      </c>
      <c r="BT26" s="76">
        <f t="shared" ca="1" si="26"/>
        <v>26683.991853226406</v>
      </c>
      <c r="BU26" s="76">
        <f t="shared" ca="1" si="27"/>
        <v>26683.991853226395</v>
      </c>
      <c r="BV26" s="76">
        <f t="shared" ca="1" si="28"/>
        <v>26683.991853226395</v>
      </c>
      <c r="BW26" s="83">
        <f t="shared" ca="1" si="29"/>
        <v>29920.188223091551</v>
      </c>
      <c r="BX26" s="84"/>
      <c r="BY26" s="76">
        <f t="shared" ca="1" si="30"/>
        <v>114.66161779122801</v>
      </c>
      <c r="BZ26" s="76">
        <f t="shared" ca="1" si="31"/>
        <v>114.66161779122795</v>
      </c>
      <c r="CA26" s="76">
        <f t="shared" ca="1" si="32"/>
        <v>89.666996946487714</v>
      </c>
      <c r="CB26" s="76">
        <f t="shared" ca="1" si="33"/>
        <v>89.666996946487714</v>
      </c>
      <c r="CC26" s="76">
        <f t="shared" ca="1" si="34"/>
        <v>82.730880253606003</v>
      </c>
      <c r="CD26" s="76">
        <f t="shared" ca="1" si="35"/>
        <v>82.730880253606003</v>
      </c>
      <c r="CE26" s="76">
        <f t="shared" ca="1" si="36"/>
        <v>82.730880253605974</v>
      </c>
      <c r="CF26" s="76">
        <f t="shared" ca="1" si="37"/>
        <v>82.730880253605974</v>
      </c>
      <c r="CG26" s="76">
        <f t="shared" ca="1" si="38"/>
        <v>92.764363093247027</v>
      </c>
      <c r="CH26" s="84"/>
      <c r="CI26" s="85">
        <f t="shared" ca="1" si="39"/>
        <v>0.47399487669602286</v>
      </c>
      <c r="CJ26" s="86">
        <f t="shared" ca="1" si="40"/>
        <v>0.47399487669602253</v>
      </c>
      <c r="CK26" s="86">
        <f t="shared" ca="1" si="41"/>
        <v>0.37067065666855276</v>
      </c>
      <c r="CL26" s="86">
        <f t="shared" ca="1" si="42"/>
        <v>0.37067065666855276</v>
      </c>
      <c r="CM26" s="86">
        <f t="shared" ca="1" si="43"/>
        <v>0.34199773333183692</v>
      </c>
      <c r="CN26" s="86">
        <f t="shared" ca="1" si="44"/>
        <v>0.34199773333183692</v>
      </c>
      <c r="CO26" s="86">
        <f t="shared" ca="1" si="45"/>
        <v>0.34199773333183681</v>
      </c>
      <c r="CP26" s="86">
        <f t="shared" ca="1" si="46"/>
        <v>0.34199773333183681</v>
      </c>
      <c r="CQ26" s="87">
        <f t="shared" ca="1" si="47"/>
        <v>0.38347472932247906</v>
      </c>
      <c r="CR26" s="61">
        <f ca="1">IF(D26="","",INDEX(INDIRECT(CW32),MATCH(CR14,Matl!$B$3:$B$29,0),MATCH(D26,Matl!$D$2:$K$2,0)))</f>
        <v>3000</v>
      </c>
      <c r="CS26" s="48">
        <f ca="1">IF(D26="","",INDEX(INDIRECT(CW32),MATCH(CS14,Matl!$B$3:$B$29,0),MATCH(D26,Matl!$D$2:$K$2,0)))</f>
        <v>4500</v>
      </c>
      <c r="CV26" s="101" t="str">
        <f>Matl!$B$30</f>
        <v>HOT</v>
      </c>
      <c r="CY26" s="99" t="s">
        <v>45</v>
      </c>
      <c r="CZ26" s="99"/>
      <c r="DA26" s="51"/>
      <c r="DB26" s="51"/>
      <c r="DC26" s="51"/>
      <c r="DD26" s="51"/>
      <c r="DE26" s="51"/>
      <c r="DF26" s="51"/>
      <c r="DG26" s="51"/>
      <c r="DH26" s="51"/>
      <c r="DI26" s="51"/>
      <c r="DJ26" s="89"/>
      <c r="DN26" s="88"/>
      <c r="DO26" s="108"/>
      <c r="DR26" s="88"/>
      <c r="DS26" s="108"/>
      <c r="DU26" s="76"/>
      <c r="DV26" s="76"/>
      <c r="DW26" s="76"/>
      <c r="DY26" s="110"/>
      <c r="DZ26" s="110"/>
      <c r="EA26" s="110"/>
      <c r="EC26" s="90"/>
      <c r="ED26" s="90"/>
      <c r="EE26" s="90"/>
      <c r="EF26" s="90"/>
      <c r="EG26" s="90"/>
      <c r="EH26" s="90"/>
      <c r="EI26" s="90"/>
      <c r="EJ26" s="90"/>
      <c r="EK26" s="90"/>
      <c r="EL26" s="90"/>
      <c r="EM26" s="90"/>
      <c r="EN26" s="90"/>
      <c r="EO26" s="90"/>
      <c r="EP26" s="90"/>
      <c r="EQ26" s="90"/>
      <c r="ER26" s="76"/>
      <c r="ES26" s="76"/>
      <c r="ET26" s="76"/>
      <c r="EU26" s="76"/>
      <c r="EV26" s="76"/>
      <c r="EW26" s="76"/>
      <c r="EX26" s="76"/>
      <c r="EY26" s="76"/>
      <c r="EZ26" s="137"/>
      <c r="FA26" s="137"/>
      <c r="FB26" s="61"/>
      <c r="FC26" s="138"/>
      <c r="FD26" s="61"/>
      <c r="FE26" s="61"/>
      <c r="FF26" s="91"/>
      <c r="FI26" s="91"/>
      <c r="FK26" s="92"/>
      <c r="FL26" s="92"/>
      <c r="FM26" s="92"/>
      <c r="FN26" s="92"/>
      <c r="FO26" s="92"/>
      <c r="FP26" s="92"/>
      <c r="FQ26" s="92"/>
      <c r="FS26" s="106"/>
      <c r="FT26" s="65"/>
      <c r="FU26" s="65"/>
      <c r="FV26" s="65"/>
      <c r="FW26" s="65"/>
      <c r="FX26" s="65"/>
      <c r="FY26" s="65"/>
      <c r="FZ26" s="106"/>
      <c r="GA26" s="90"/>
      <c r="GB26" s="65"/>
      <c r="GC26" s="61"/>
      <c r="GD26" s="94"/>
      <c r="GE26" s="65"/>
      <c r="GF26" s="94"/>
      <c r="GG26" s="106"/>
      <c r="GH26" s="90"/>
      <c r="GI26" s="65"/>
      <c r="GJ26" s="90"/>
      <c r="GK26" s="94"/>
      <c r="GL26" s="90"/>
      <c r="GM26" s="94"/>
      <c r="GO26" s="65"/>
      <c r="GP26" s="96"/>
      <c r="GQ26" s="96"/>
      <c r="GR26" s="96"/>
      <c r="GS26" s="96"/>
      <c r="GT26" s="96"/>
      <c r="GU26" s="96"/>
      <c r="GV26" s="96"/>
    </row>
    <row r="27" spans="1:204" ht="13.8" x14ac:dyDescent="0.3">
      <c r="A27" s="132">
        <v>12</v>
      </c>
      <c r="B27" s="182">
        <v>90</v>
      </c>
      <c r="C27" s="182"/>
      <c r="D27" s="222" t="s">
        <v>52</v>
      </c>
      <c r="E27" s="222"/>
      <c r="F27" s="146">
        <f>IF(C27="",INDEX(Matl!$C$15:$K$15,MATCH(D27,Matl!$C$2:$K$2,0)),C27)</f>
        <v>6.2007874015748039E-3</v>
      </c>
      <c r="G27" s="147"/>
      <c r="H27" s="207">
        <f t="shared" ca="1" si="50"/>
        <v>53367.983706452782</v>
      </c>
      <c r="I27" s="97">
        <f t="shared" ca="1" si="50"/>
        <v>53367.983706452804</v>
      </c>
      <c r="J27" s="98">
        <f t="shared" ca="1" si="50"/>
        <v>235953.42884578463</v>
      </c>
      <c r="K27" s="148"/>
      <c r="W27" s="48">
        <f t="shared" si="3"/>
        <v>6.2007874015748039E-3</v>
      </c>
      <c r="X27" s="48"/>
      <c r="Y27" s="48"/>
      <c r="Z27" s="48"/>
      <c r="AA27" s="48">
        <f t="shared" si="4"/>
        <v>0</v>
      </c>
      <c r="AB27" s="48">
        <f>IF(B27="","",IF(OR(D27=CV14,D27=CV16,D27=CV17,D27=CV18,D27=CV20)=TRUE,0.5,1))</f>
        <v>1</v>
      </c>
      <c r="AC27" s="51">
        <f t="shared" si="5"/>
        <v>0</v>
      </c>
      <c r="AD27" s="77">
        <f t="shared" si="6"/>
        <v>1.5707963267948966</v>
      </c>
      <c r="AE27" s="77">
        <f>IF(D27="",0,SUM(F15:F27))</f>
        <v>7.4409448818897633E-2</v>
      </c>
      <c r="AF27" s="77">
        <f>IF(D27="",0,SUM(F16:F50)/2-AE27)</f>
        <v>-1.2401574803149615E-2</v>
      </c>
      <c r="AG27" s="77">
        <f t="shared" si="7"/>
        <v>-6.2007874015748109E-3</v>
      </c>
      <c r="AH27" s="77">
        <f>IF(D27="",0,(AE27+AE26)/2-SUM(F16:F50)/2)</f>
        <v>9.3011811023622076E-3</v>
      </c>
      <c r="AI27" s="58">
        <f ca="1">IF(D27="",0,INDEX(INDIRECT(CW32),MATCH(AI14,Matl!$B$3:$B$17,0),MATCH(D27,Matl!$D$2:$K$2,0)))</f>
        <v>18590067.030412</v>
      </c>
      <c r="AJ27" s="58">
        <f ca="1">IF(D27="",0,INDEX(INDIRECT(CW32),MATCH(AJ14,Matl!$B$3:$B$17,0),MATCH(D27,Matl!$D$2:$K$2,0)))</f>
        <v>1519995.4942399999</v>
      </c>
      <c r="AK27" s="58">
        <f ca="1">IF(D27="",0,INDEX(INDIRECT(CW32),MATCH(AK14,Matl!$B$3:$B$15,0),MATCH(D27,Matl!$D$2:$K$2,0)))</f>
        <v>0.31900000000000001</v>
      </c>
      <c r="AL27" s="80">
        <f t="shared" ca="1" si="8"/>
        <v>2.6082668872002123E-2</v>
      </c>
      <c r="AM27" s="58">
        <f ca="1">IF(D27="",0,INDEX(INDIRECT(CW32),MATCH(AM14,Matl!$B$3:$B$15,0),MATCH(D27,Matl!$D$2:$K$2,0)))</f>
        <v>650059.14171599993</v>
      </c>
      <c r="AN27" s="81">
        <f ca="1">IF(D27="",0,INDEX(INDIRECT(CW32),MATCH(AN14,Matl!$B$3:$B$15,0),MATCH(D27,Matl!$D$2:$K$2,0)))</f>
        <v>290365.55147599999</v>
      </c>
      <c r="AO27" s="81">
        <f ca="1">IF(D27="",0,INDEX(INDIRECT(CW32),MATCH(AO14,Matl!$B$3:$B$15,0),MATCH(D27,Matl!$D$2:$K$2,0)))</f>
        <v>1885.4905939999999</v>
      </c>
      <c r="AP27" s="81">
        <f ca="1">IF(D27="",0,INDEX(INDIRECT(CW32),MATCH(AP14,Matl!$B$3:$B$15,0),MATCH(D27,Matl!$D$2:$K$2,0)))</f>
        <v>90068.435297999997</v>
      </c>
      <c r="AQ27" s="81">
        <f ca="1">IF(D27="",0,INDEX(INDIRECT(CW32),MATCH(AQ14,Matl!$B$3:$B$15,0),MATCH(D27,Matl!$D$2:$K$2,0)))</f>
        <v>10877.83035</v>
      </c>
      <c r="AR27" s="81">
        <f ca="1">IF(D27="",0,INDEX(INDIRECT(CW32),MATCH(AR14,Matl!$B$3:$B$15,0),MATCH(D27,Matl!$D$2:$K$2,0)))</f>
        <v>9137.3774940000003</v>
      </c>
      <c r="AS27" s="58"/>
      <c r="AT27" s="58"/>
      <c r="AU27" s="82">
        <f t="shared" ca="1" si="9"/>
        <v>18746041.053699207</v>
      </c>
      <c r="AV27" s="76">
        <f t="shared" ca="1" si="10"/>
        <v>1532748.5312369722</v>
      </c>
      <c r="AW27" s="76">
        <f t="shared" ca="1" si="11"/>
        <v>488946.78146459418</v>
      </c>
      <c r="AX27" s="76">
        <f t="shared" ca="1" si="12"/>
        <v>488946.78146459413</v>
      </c>
      <c r="AY27" s="61">
        <v>0</v>
      </c>
      <c r="AZ27" s="61">
        <v>0</v>
      </c>
      <c r="BA27" s="61">
        <v>0</v>
      </c>
      <c r="BB27" s="61">
        <v>0</v>
      </c>
      <c r="BC27" s="62">
        <f t="shared" ca="1" si="13"/>
        <v>650059.14171599993</v>
      </c>
      <c r="BD27" s="63"/>
      <c r="BE27" s="82">
        <f t="shared" ca="1" si="14"/>
        <v>1532748.5312369722</v>
      </c>
      <c r="BF27" s="76">
        <f t="shared" ca="1" si="15"/>
        <v>18746041.053699207</v>
      </c>
      <c r="BG27" s="76">
        <f t="shared" ca="1" si="16"/>
        <v>488946.78146459418</v>
      </c>
      <c r="BH27" s="76">
        <f t="shared" ca="1" si="17"/>
        <v>488946.78146459418</v>
      </c>
      <c r="BI27" s="76">
        <f t="shared" ca="1" si="48"/>
        <v>1.5701290259030949E-11</v>
      </c>
      <c r="BJ27" s="76">
        <f t="shared" ca="1" si="18"/>
        <v>1.5701290259030949E-11</v>
      </c>
      <c r="BK27" s="76">
        <f t="shared" ca="1" si="19"/>
        <v>1.0387406466302044E-9</v>
      </c>
      <c r="BL27" s="76">
        <f t="shared" ca="1" si="20"/>
        <v>1.0387406466302044E-9</v>
      </c>
      <c r="BM27" s="83">
        <f t="shared" ca="1" si="49"/>
        <v>650059.14171599993</v>
      </c>
      <c r="BN27" s="84"/>
      <c r="BO27" s="82">
        <f t="shared" ca="1" si="21"/>
        <v>9504.2477822765013</v>
      </c>
      <c r="BP27" s="76">
        <f t="shared" ca="1" si="22"/>
        <v>116240.2151951821</v>
      </c>
      <c r="BQ27" s="76">
        <f t="shared" ca="1" si="23"/>
        <v>3031.8550425462045</v>
      </c>
      <c r="BR27" s="76">
        <f t="shared" ca="1" si="24"/>
        <v>3031.8550425462045</v>
      </c>
      <c r="BS27" s="76">
        <f t="shared" ca="1" si="25"/>
        <v>9.7360362826668306E-14</v>
      </c>
      <c r="BT27" s="76">
        <f t="shared" ca="1" si="26"/>
        <v>9.7360362826668306E-14</v>
      </c>
      <c r="BU27" s="76">
        <f t="shared" ca="1" si="27"/>
        <v>6.4410099151282365E-12</v>
      </c>
      <c r="BV27" s="76">
        <f t="shared" ca="1" si="28"/>
        <v>6.4410099151282365E-12</v>
      </c>
      <c r="BW27" s="83">
        <f t="shared" ca="1" si="29"/>
        <v>4030.8785362311023</v>
      </c>
      <c r="BX27" s="84"/>
      <c r="BY27" s="76">
        <f t="shared" ca="1" si="30"/>
        <v>88.400729864678127</v>
      </c>
      <c r="BZ27" s="76">
        <f t="shared" ca="1" si="31"/>
        <v>1081.1712929079442</v>
      </c>
      <c r="CA27" s="76">
        <f t="shared" ca="1" si="32"/>
        <v>28.199832826832321</v>
      </c>
      <c r="CB27" s="76">
        <f t="shared" ca="1" si="33"/>
        <v>28.199832826832321</v>
      </c>
      <c r="CC27" s="76">
        <f t="shared" ca="1" si="34"/>
        <v>9.0556636684253503E-16</v>
      </c>
      <c r="CD27" s="76">
        <f t="shared" ca="1" si="35"/>
        <v>9.0556636684253503E-16</v>
      </c>
      <c r="CE27" s="76">
        <f t="shared" ca="1" si="36"/>
        <v>5.9908999702718359E-14</v>
      </c>
      <c r="CF27" s="76">
        <f t="shared" ca="1" si="37"/>
        <v>5.9908999702718359E-14</v>
      </c>
      <c r="CG27" s="76">
        <f t="shared" ca="1" si="38"/>
        <v>37.491931267110168</v>
      </c>
      <c r="CH27" s="84"/>
      <c r="CI27" s="85">
        <f t="shared" ca="1" si="39"/>
        <v>0.85268420538764356</v>
      </c>
      <c r="CJ27" s="86">
        <f t="shared" ca="1" si="40"/>
        <v>10.42862073867899</v>
      </c>
      <c r="CK27" s="86">
        <f t="shared" ca="1" si="41"/>
        <v>0.27200626151865831</v>
      </c>
      <c r="CL27" s="86">
        <f t="shared" ca="1" si="42"/>
        <v>0.27200626151865831</v>
      </c>
      <c r="CM27" s="86">
        <f t="shared" ca="1" si="43"/>
        <v>8.7347936959220938E-18</v>
      </c>
      <c r="CN27" s="86">
        <f t="shared" ca="1" si="44"/>
        <v>8.7347936959220938E-18</v>
      </c>
      <c r="CO27" s="86">
        <f t="shared" ca="1" si="45"/>
        <v>5.7786239870732297E-16</v>
      </c>
      <c r="CP27" s="86">
        <f t="shared" ca="1" si="46"/>
        <v>5.7786239870732297E-16</v>
      </c>
      <c r="CQ27" s="87">
        <f t="shared" ca="1" si="47"/>
        <v>0.36163477009614148</v>
      </c>
      <c r="CR27" s="61">
        <f ca="1">IF(D27="","",INDEX(INDIRECT(CW32),MATCH(CR14,Matl!$B$3:$B$29,0),MATCH(D27,Matl!$D$2:$K$2,0)))</f>
        <v>3000</v>
      </c>
      <c r="CS27" s="48">
        <f ca="1">IF(D27="","",INDEX(INDIRECT(CW32),MATCH(CS14,Matl!$B$3:$B$29,0),MATCH(D27,Matl!$D$2:$K$2,0)))</f>
        <v>4500</v>
      </c>
      <c r="CV27" s="101" t="str">
        <f>Matl!$B$59</f>
        <v>ROOM TEMP</v>
      </c>
      <c r="CY27" s="99" t="s">
        <v>46</v>
      </c>
      <c r="CZ27" s="99"/>
      <c r="DA27" s="51"/>
      <c r="DB27" s="79"/>
      <c r="DC27" s="58"/>
      <c r="DD27" s="95"/>
      <c r="DE27" s="51"/>
      <c r="DF27" s="51"/>
      <c r="DG27" s="51"/>
      <c r="DH27" s="51"/>
      <c r="DI27" s="51"/>
      <c r="DJ27" s="89"/>
      <c r="DN27" s="88"/>
      <c r="DO27" s="108"/>
      <c r="DR27" s="88"/>
      <c r="DS27" s="108"/>
      <c r="DU27" s="76"/>
      <c r="DV27" s="76"/>
      <c r="DW27" s="76"/>
      <c r="DY27" s="110"/>
      <c r="DZ27" s="110"/>
      <c r="EA27" s="110"/>
      <c r="EC27" s="90"/>
      <c r="ED27" s="90"/>
      <c r="EE27" s="90"/>
      <c r="EF27" s="90"/>
      <c r="EG27" s="90"/>
      <c r="EH27" s="90"/>
      <c r="EI27" s="90"/>
      <c r="EJ27" s="90"/>
      <c r="EK27" s="90"/>
      <c r="EL27" s="90"/>
      <c r="EM27" s="90"/>
      <c r="EN27" s="90"/>
      <c r="EO27" s="90"/>
      <c r="EP27" s="90"/>
      <c r="EQ27" s="90"/>
      <c r="ER27" s="76"/>
      <c r="ES27" s="76"/>
      <c r="ET27" s="76"/>
      <c r="EU27" s="76"/>
      <c r="EV27" s="76"/>
      <c r="EW27" s="76"/>
      <c r="EX27" s="76"/>
      <c r="EY27" s="76"/>
      <c r="EZ27" s="137"/>
      <c r="FA27" s="137"/>
      <c r="FB27" s="61"/>
      <c r="FC27" s="138"/>
      <c r="FD27" s="61"/>
      <c r="FE27" s="61"/>
      <c r="FF27" s="91"/>
      <c r="FI27" s="91"/>
      <c r="FK27" s="92"/>
      <c r="FL27" s="92"/>
      <c r="FM27" s="92"/>
      <c r="FN27" s="92"/>
      <c r="FO27" s="92"/>
      <c r="FP27" s="92"/>
      <c r="FQ27" s="92"/>
      <c r="FS27" s="106"/>
      <c r="FT27" s="61"/>
      <c r="FU27" s="65"/>
      <c r="FV27" s="61"/>
      <c r="FW27" s="65"/>
      <c r="FX27" s="65"/>
      <c r="FY27" s="65"/>
      <c r="FZ27" s="106"/>
      <c r="GA27" s="61"/>
      <c r="GB27" s="65"/>
      <c r="GC27" s="61"/>
      <c r="GD27" s="94"/>
      <c r="GE27" s="61"/>
      <c r="GF27" s="94"/>
      <c r="GG27" s="106"/>
      <c r="GH27" s="90"/>
      <c r="GI27" s="65"/>
      <c r="GJ27" s="94"/>
      <c r="GK27" s="94"/>
      <c r="GL27" s="94"/>
      <c r="GM27" s="94"/>
      <c r="GO27" s="65"/>
      <c r="GP27" s="96"/>
      <c r="GQ27" s="96"/>
      <c r="GR27" s="96"/>
      <c r="GS27" s="96"/>
      <c r="GT27" s="96"/>
      <c r="GU27" s="96"/>
      <c r="GV27" s="96"/>
    </row>
    <row r="28" spans="1:204" ht="13.8" x14ac:dyDescent="0.3">
      <c r="A28" s="132">
        <v>13</v>
      </c>
      <c r="B28" s="182">
        <v>0</v>
      </c>
      <c r="C28" s="182"/>
      <c r="D28" s="222" t="s">
        <v>52</v>
      </c>
      <c r="E28" s="222"/>
      <c r="F28" s="146">
        <f>IF(C28="",INDEX(Matl!$C$15:$K$15,MATCH(D28,Matl!$C$2:$K$2,0)),C28)</f>
        <v>6.2007874015748039E-3</v>
      </c>
      <c r="G28" s="147"/>
      <c r="H28" s="51"/>
      <c r="I28" s="51"/>
      <c r="J28" s="51"/>
      <c r="K28" s="148"/>
      <c r="W28" s="48">
        <f t="shared" si="3"/>
        <v>0</v>
      </c>
      <c r="X28" s="48"/>
      <c r="Y28" s="48"/>
      <c r="Z28" s="48"/>
      <c r="AA28" s="48">
        <f t="shared" si="4"/>
        <v>1</v>
      </c>
      <c r="AB28" s="48">
        <f>IF(B28="","",IF(OR(D28=CV14,D28=CV16,D28=CV17,D28=CV18,D28=CV20)=TRUE,0.5,1))</f>
        <v>1</v>
      </c>
      <c r="AC28" s="51">
        <f t="shared" si="5"/>
        <v>6.2007874015748039E-3</v>
      </c>
      <c r="AD28" s="77">
        <f t="shared" si="6"/>
        <v>0</v>
      </c>
      <c r="AE28" s="77">
        <f>IF(D28="",0,SUM(F15:F28))</f>
        <v>8.0610236220472434E-2</v>
      </c>
      <c r="AF28" s="77">
        <f>IF(D28="",0,SUM(F16:F50)/2-AE28)</f>
        <v>-1.8602362204724415E-2</v>
      </c>
      <c r="AG28" s="77">
        <f t="shared" si="7"/>
        <v>-1.2401574803149611E-2</v>
      </c>
      <c r="AH28" s="77">
        <f>IF(D28="",0,(AE28+AE27)/2-SUM(F16:F50)/2)</f>
        <v>1.5501968503937022E-2</v>
      </c>
      <c r="AI28" s="58">
        <f ca="1">IF(D28="",0,INDEX(INDIRECT(CW32),MATCH(AI14,Matl!$B$3:$B$17,0),MATCH(D28,Matl!$D$2:$K$2,0)))</f>
        <v>18590067.030412</v>
      </c>
      <c r="AJ28" s="58">
        <f ca="1">IF(D28="",0,INDEX(INDIRECT(CW32),MATCH(AJ14,Matl!$B$3:$B$17,0),MATCH(D28,Matl!$D$2:$K$2,0)))</f>
        <v>1519995.4942399999</v>
      </c>
      <c r="AK28" s="58">
        <f ca="1">IF(D28="",0,INDEX(INDIRECT(CW32),MATCH(AK14,Matl!$B$3:$B$15,0),MATCH(D28,Matl!$D$2:$K$2,0)))</f>
        <v>0.31900000000000001</v>
      </c>
      <c r="AL28" s="80">
        <f t="shared" ca="1" si="8"/>
        <v>2.6082668872002123E-2</v>
      </c>
      <c r="AM28" s="58">
        <f ca="1">IF(D28="",0,INDEX(INDIRECT(CW32),MATCH(AM14,Matl!$B$3:$B$15,0),MATCH(D28,Matl!$D$2:$K$2,0)))</f>
        <v>650059.14171599993</v>
      </c>
      <c r="AN28" s="81">
        <f ca="1">IF(D28="",0,INDEX(INDIRECT(CW32),MATCH(AN14,Matl!$B$3:$B$15,0),MATCH(D28,Matl!$D$2:$K$2,0)))</f>
        <v>290365.55147599999</v>
      </c>
      <c r="AO28" s="81">
        <f ca="1">IF(D28="",0,INDEX(INDIRECT(CW32),MATCH(AO14,Matl!$B$3:$B$15,0),MATCH(D28,Matl!$D$2:$K$2,0)))</f>
        <v>1885.4905939999999</v>
      </c>
      <c r="AP28" s="81">
        <f ca="1">IF(D28="",0,INDEX(INDIRECT(CW32),MATCH(AP14,Matl!$B$3:$B$15,0),MATCH(D28,Matl!$D$2:$K$2,0)))</f>
        <v>90068.435297999997</v>
      </c>
      <c r="AQ28" s="81">
        <f ca="1">IF(D28="",0,INDEX(INDIRECT(CW32),MATCH(AQ14,Matl!$B$3:$B$15,0),MATCH(D28,Matl!$D$2:$K$2,0)))</f>
        <v>10877.83035</v>
      </c>
      <c r="AR28" s="81">
        <f ca="1">IF(D28="",0,INDEX(INDIRECT(CW32),MATCH(AR14,Matl!$B$3:$B$15,0),MATCH(D28,Matl!$D$2:$K$2,0)))</f>
        <v>9137.3774940000003</v>
      </c>
      <c r="AS28" s="58"/>
      <c r="AT28" s="58"/>
      <c r="AU28" s="82">
        <f t="shared" ca="1" si="9"/>
        <v>18746041.053699207</v>
      </c>
      <c r="AV28" s="76">
        <f t="shared" ca="1" si="10"/>
        <v>1532748.5312369722</v>
      </c>
      <c r="AW28" s="76">
        <f t="shared" ca="1" si="11"/>
        <v>488946.78146459418</v>
      </c>
      <c r="AX28" s="76">
        <f t="shared" ca="1" si="12"/>
        <v>488946.78146459413</v>
      </c>
      <c r="AY28" s="61">
        <v>0</v>
      </c>
      <c r="AZ28" s="61">
        <v>0</v>
      </c>
      <c r="BA28" s="61">
        <v>0</v>
      </c>
      <c r="BB28" s="61">
        <v>0</v>
      </c>
      <c r="BC28" s="62">
        <f t="shared" ca="1" si="13"/>
        <v>650059.14171599993</v>
      </c>
      <c r="BD28" s="63"/>
      <c r="BE28" s="82">
        <f t="shared" ca="1" si="14"/>
        <v>18746041.053699207</v>
      </c>
      <c r="BF28" s="76">
        <f t="shared" ca="1" si="15"/>
        <v>1532748.5312369722</v>
      </c>
      <c r="BG28" s="76">
        <f t="shared" ca="1" si="16"/>
        <v>488946.78146459418</v>
      </c>
      <c r="BH28" s="76">
        <f t="shared" ca="1" si="17"/>
        <v>488946.78146459418</v>
      </c>
      <c r="BI28" s="76">
        <f t="shared" ca="1" si="48"/>
        <v>0</v>
      </c>
      <c r="BJ28" s="76">
        <f t="shared" ca="1" si="18"/>
        <v>0</v>
      </c>
      <c r="BK28" s="76">
        <f t="shared" ca="1" si="19"/>
        <v>0</v>
      </c>
      <c r="BL28" s="76">
        <f t="shared" ca="1" si="20"/>
        <v>0</v>
      </c>
      <c r="BM28" s="83">
        <f t="shared" ca="1" si="49"/>
        <v>650059.14171599993</v>
      </c>
      <c r="BN28" s="84"/>
      <c r="BO28" s="82">
        <f t="shared" ca="1" si="21"/>
        <v>116240.2151951821</v>
      </c>
      <c r="BP28" s="76">
        <f t="shared" ca="1" si="22"/>
        <v>9504.2477822765013</v>
      </c>
      <c r="BQ28" s="76">
        <f t="shared" ca="1" si="23"/>
        <v>3031.8550425462045</v>
      </c>
      <c r="BR28" s="76">
        <f t="shared" ca="1" si="24"/>
        <v>3031.8550425462045</v>
      </c>
      <c r="BS28" s="76">
        <f t="shared" ca="1" si="25"/>
        <v>0</v>
      </c>
      <c r="BT28" s="76">
        <f t="shared" ca="1" si="26"/>
        <v>0</v>
      </c>
      <c r="BU28" s="76">
        <f t="shared" ca="1" si="27"/>
        <v>0</v>
      </c>
      <c r="BV28" s="76">
        <f t="shared" ca="1" si="28"/>
        <v>0</v>
      </c>
      <c r="BW28" s="83">
        <f t="shared" ca="1" si="29"/>
        <v>4030.8785362311023</v>
      </c>
      <c r="BX28" s="84"/>
      <c r="BY28" s="76">
        <f t="shared" ca="1" si="30"/>
        <v>1801.9521548465746</v>
      </c>
      <c r="BZ28" s="76">
        <f t="shared" ca="1" si="31"/>
        <v>147.33454977446362</v>
      </c>
      <c r="CA28" s="76">
        <f t="shared" ca="1" si="32"/>
        <v>46.999721378053898</v>
      </c>
      <c r="CB28" s="76">
        <f t="shared" ca="1" si="33"/>
        <v>46.999721378053898</v>
      </c>
      <c r="CC28" s="76">
        <f t="shared" ca="1" si="34"/>
        <v>0</v>
      </c>
      <c r="CD28" s="76">
        <f t="shared" ca="1" si="35"/>
        <v>0</v>
      </c>
      <c r="CE28" s="76">
        <f t="shared" ca="1" si="36"/>
        <v>0</v>
      </c>
      <c r="CF28" s="76">
        <f t="shared" ca="1" si="37"/>
        <v>0</v>
      </c>
      <c r="CG28" s="76">
        <f t="shared" ca="1" si="38"/>
        <v>62.486552111850315</v>
      </c>
      <c r="CH28" s="84"/>
      <c r="CI28" s="85">
        <f t="shared" ca="1" si="39"/>
        <v>28.306256290700151</v>
      </c>
      <c r="CJ28" s="86">
        <f t="shared" ca="1" si="40"/>
        <v>2.3144285574807495</v>
      </c>
      <c r="CK28" s="86">
        <f t="shared" ca="1" si="41"/>
        <v>0.73830270983635915</v>
      </c>
      <c r="CL28" s="86">
        <f t="shared" ca="1" si="42"/>
        <v>0.73830270983635915</v>
      </c>
      <c r="CM28" s="86">
        <f t="shared" ca="1" si="43"/>
        <v>0</v>
      </c>
      <c r="CN28" s="86">
        <f t="shared" ca="1" si="44"/>
        <v>0</v>
      </c>
      <c r="CO28" s="86">
        <f t="shared" ca="1" si="45"/>
        <v>0</v>
      </c>
      <c r="CP28" s="86">
        <f t="shared" ca="1" si="46"/>
        <v>0</v>
      </c>
      <c r="CQ28" s="87">
        <f t="shared" ca="1" si="47"/>
        <v>0.98158009026095649</v>
      </c>
      <c r="CR28" s="61">
        <f ca="1">IF(D28="","",INDEX(INDIRECT(CW32),MATCH(CR14,Matl!$B$3:$B$29,0),MATCH(D28,Matl!$D$2:$K$2,0)))</f>
        <v>3000</v>
      </c>
      <c r="CS28" s="48">
        <f ca="1">IF(D28="","",INDEX(INDIRECT(CW32),MATCH(CS14,Matl!$B$3:$B$29,0),MATCH(D28,Matl!$D$2:$K$2,0)))</f>
        <v>4500</v>
      </c>
      <c r="CV28" s="51" t="str">
        <f>Matl!$B$88</f>
        <v>COLD</v>
      </c>
      <c r="CY28" s="99" t="s">
        <v>47</v>
      </c>
      <c r="CZ28" s="99"/>
      <c r="DA28" s="51"/>
      <c r="DB28" s="79"/>
      <c r="DC28" s="58"/>
      <c r="DD28" s="95"/>
      <c r="DE28" s="51"/>
      <c r="DF28" s="51"/>
      <c r="DG28" s="51"/>
      <c r="DH28" s="51"/>
      <c r="DI28" s="51"/>
      <c r="DJ28" s="89"/>
      <c r="DN28" s="88"/>
      <c r="DO28" s="108"/>
      <c r="DR28" s="88"/>
      <c r="DS28" s="108"/>
      <c r="DU28" s="76"/>
      <c r="DV28" s="76"/>
      <c r="DW28" s="76"/>
      <c r="DY28" s="110"/>
      <c r="DZ28" s="110"/>
      <c r="EA28" s="110"/>
      <c r="EC28" s="90"/>
      <c r="ED28" s="90"/>
      <c r="EE28" s="90"/>
      <c r="EF28" s="90"/>
      <c r="EG28" s="90"/>
      <c r="EH28" s="90"/>
      <c r="EI28" s="90"/>
      <c r="EJ28" s="90"/>
      <c r="EK28" s="90"/>
      <c r="EL28" s="90"/>
      <c r="EM28" s="90"/>
      <c r="EN28" s="90"/>
      <c r="EO28" s="90"/>
      <c r="EP28" s="90"/>
      <c r="EQ28" s="90"/>
      <c r="ER28" s="76"/>
      <c r="ES28" s="76"/>
      <c r="ET28" s="76"/>
      <c r="EU28" s="76"/>
      <c r="EV28" s="76"/>
      <c r="EW28" s="76"/>
      <c r="EX28" s="76"/>
      <c r="EY28" s="76"/>
      <c r="EZ28" s="137"/>
      <c r="FA28" s="137"/>
      <c r="FB28" s="61"/>
      <c r="FC28" s="138"/>
      <c r="FD28" s="61"/>
      <c r="FE28" s="61"/>
      <c r="FF28" s="91"/>
      <c r="FI28" s="91"/>
      <c r="FK28" s="92"/>
      <c r="FL28" s="92"/>
      <c r="FM28" s="92"/>
      <c r="FN28" s="92"/>
      <c r="FO28" s="92"/>
      <c r="FP28" s="92"/>
      <c r="FQ28" s="92"/>
      <c r="FS28" s="106"/>
      <c r="FT28" s="61"/>
      <c r="FU28" s="65"/>
      <c r="FV28" s="61"/>
      <c r="FW28" s="65"/>
      <c r="FX28" s="65"/>
      <c r="FY28" s="65"/>
      <c r="FZ28" s="106"/>
      <c r="GA28" s="61"/>
      <c r="GB28" s="65"/>
      <c r="GC28" s="93"/>
      <c r="GD28" s="94"/>
      <c r="GE28" s="61"/>
      <c r="GF28" s="94"/>
      <c r="GG28" s="106"/>
      <c r="GH28" s="90"/>
      <c r="GI28" s="65"/>
      <c r="GJ28" s="94"/>
      <c r="GK28" s="94"/>
      <c r="GL28" s="94"/>
      <c r="GM28" s="94"/>
      <c r="GN28" s="106"/>
      <c r="GO28" s="65"/>
      <c r="GP28" s="96"/>
      <c r="GQ28" s="96"/>
      <c r="GR28" s="96"/>
      <c r="GS28" s="96"/>
      <c r="GT28" s="96"/>
      <c r="GU28" s="96"/>
      <c r="GV28" s="96"/>
    </row>
    <row r="29" spans="1:204" ht="13.8" x14ac:dyDescent="0.3">
      <c r="A29" s="132">
        <v>14</v>
      </c>
      <c r="B29" s="182">
        <v>-45</v>
      </c>
      <c r="C29" s="182"/>
      <c r="D29" s="222" t="s">
        <v>52</v>
      </c>
      <c r="E29" s="222"/>
      <c r="F29" s="146">
        <f>IF(C29="",INDEX(Matl!$C$15:$K$15,MATCH(D29,Matl!$C$2:$K$2,0)),C29)</f>
        <v>6.2007874015748039E-3</v>
      </c>
      <c r="G29" s="147"/>
      <c r="H29" s="51" t="s">
        <v>150</v>
      </c>
      <c r="I29" s="51"/>
      <c r="J29" s="51"/>
      <c r="K29" s="148"/>
      <c r="W29" s="48">
        <f t="shared" si="3"/>
        <v>6.2007874015748039E-3</v>
      </c>
      <c r="X29" s="48"/>
      <c r="Y29" s="48"/>
      <c r="Z29" s="48"/>
      <c r="AA29" s="48">
        <f t="shared" si="4"/>
        <v>0</v>
      </c>
      <c r="AB29" s="48">
        <f>IF(B29="","",IF(OR(D29=CV14,D29=CV16,D29=CV17,D29=CV18,D29=CV20)=TRUE,0.5,1))</f>
        <v>1</v>
      </c>
      <c r="AC29" s="51">
        <f t="shared" si="5"/>
        <v>0</v>
      </c>
      <c r="AD29" s="77">
        <f t="shared" si="6"/>
        <v>-0.78539816339744828</v>
      </c>
      <c r="AE29" s="77">
        <f>IF(D29="",0,SUM(F15:F29))</f>
        <v>8.6811023622047234E-2</v>
      </c>
      <c r="AF29" s="77">
        <f>IF(D29="",0,SUM(F16:F50)/2-AE29)</f>
        <v>-2.4803149606299216E-2</v>
      </c>
      <c r="AG29" s="77">
        <f t="shared" si="7"/>
        <v>-1.8602362204724412E-2</v>
      </c>
      <c r="AH29" s="77">
        <f>IF(D29="",0,(AE29+AE28)/2-SUM(F16:F50)/2)</f>
        <v>2.1702755905511809E-2</v>
      </c>
      <c r="AI29" s="58">
        <f ca="1">IF(D29="",0,INDEX(INDIRECT(CW32),MATCH(AI14,Matl!$B$3:$B$17,0),MATCH(D29,Matl!$D$2:$K$2,0)))</f>
        <v>18590067.030412</v>
      </c>
      <c r="AJ29" s="58">
        <f ca="1">IF(D29="",0,INDEX(INDIRECT(CW32),MATCH(AJ14,Matl!$B$3:$B$17,0),MATCH(D29,Matl!$D$2:$K$2,0)))</f>
        <v>1519995.4942399999</v>
      </c>
      <c r="AK29" s="58">
        <f ca="1">IF(D29="",0,INDEX(INDIRECT(CW32),MATCH(AK14,Matl!$B$3:$B$15,0),MATCH(D29,Matl!$D$2:$K$2,0)))</f>
        <v>0.31900000000000001</v>
      </c>
      <c r="AL29" s="80">
        <f t="shared" ca="1" si="8"/>
        <v>2.6082668872002123E-2</v>
      </c>
      <c r="AM29" s="58">
        <f ca="1">IF(D29="",0,INDEX(INDIRECT(CW32),MATCH(AM14,Matl!$B$3:$B$15,0),MATCH(D29,Matl!$D$2:$K$2,0)))</f>
        <v>650059.14171599993</v>
      </c>
      <c r="AN29" s="81">
        <f ca="1">IF(D29="",0,INDEX(INDIRECT(CW32),MATCH(AN14,Matl!$B$3:$B$15,0),MATCH(D29,Matl!$D$2:$K$2,0)))</f>
        <v>290365.55147599999</v>
      </c>
      <c r="AO29" s="81">
        <f ca="1">IF(D29="",0,INDEX(INDIRECT(CW32),MATCH(AO14,Matl!$B$3:$B$15,0),MATCH(D29,Matl!$D$2:$K$2,0)))</f>
        <v>1885.4905939999999</v>
      </c>
      <c r="AP29" s="81">
        <f ca="1">IF(D29="",0,INDEX(INDIRECT(CW32),MATCH(AP14,Matl!$B$3:$B$15,0),MATCH(D29,Matl!$D$2:$K$2,0)))</f>
        <v>90068.435297999997</v>
      </c>
      <c r="AQ29" s="81">
        <f ca="1">IF(D29="",0,INDEX(INDIRECT(CW32),MATCH(AQ14,Matl!$B$3:$B$15,0),MATCH(D29,Matl!$D$2:$K$2,0)))</f>
        <v>10877.83035</v>
      </c>
      <c r="AR29" s="81">
        <f ca="1">IF(D29="",0,INDEX(INDIRECT(CW32),MATCH(AR14,Matl!$B$3:$B$15,0),MATCH(D29,Matl!$D$2:$K$2,0)))</f>
        <v>9137.3774940000003</v>
      </c>
      <c r="AS29" s="58"/>
      <c r="AT29" s="58"/>
      <c r="AU29" s="82">
        <f t="shared" ca="1" si="9"/>
        <v>18746041.053699207</v>
      </c>
      <c r="AV29" s="76">
        <f t="shared" ca="1" si="10"/>
        <v>1532748.5312369722</v>
      </c>
      <c r="AW29" s="76">
        <f t="shared" ca="1" si="11"/>
        <v>488946.78146459418</v>
      </c>
      <c r="AX29" s="76">
        <f t="shared" ca="1" si="12"/>
        <v>488946.78146459413</v>
      </c>
      <c r="AY29" s="61">
        <v>0</v>
      </c>
      <c r="AZ29" s="61">
        <v>0</v>
      </c>
      <c r="BA29" s="61">
        <v>0</v>
      </c>
      <c r="BB29" s="61">
        <v>0</v>
      </c>
      <c r="BC29" s="62">
        <f t="shared" ca="1" si="13"/>
        <v>650059.14171599993</v>
      </c>
      <c r="BD29" s="63"/>
      <c r="BE29" s="82">
        <f t="shared" ca="1" si="14"/>
        <v>5964229.928682344</v>
      </c>
      <c r="BF29" s="76">
        <f t="shared" ca="1" si="15"/>
        <v>5964229.9286823403</v>
      </c>
      <c r="BG29" s="76">
        <f t="shared" ca="1" si="16"/>
        <v>4664111.6452503419</v>
      </c>
      <c r="BH29" s="76">
        <f t="shared" ca="1" si="17"/>
        <v>4664111.6452503419</v>
      </c>
      <c r="BI29" s="76">
        <f t="shared" ca="1" si="48"/>
        <v>-4303323.1306155594</v>
      </c>
      <c r="BJ29" s="76">
        <f t="shared" ca="1" si="18"/>
        <v>-4303323.1306155594</v>
      </c>
      <c r="BK29" s="76">
        <f t="shared" ca="1" si="19"/>
        <v>-4303323.1306155575</v>
      </c>
      <c r="BL29" s="76">
        <f t="shared" ca="1" si="20"/>
        <v>-4303323.1306155575</v>
      </c>
      <c r="BM29" s="83">
        <f t="shared" ca="1" si="49"/>
        <v>4825224.0055017481</v>
      </c>
      <c r="BN29" s="84"/>
      <c r="BO29" s="82">
        <f t="shared" ca="1" si="21"/>
        <v>36982.92180186887</v>
      </c>
      <c r="BP29" s="76">
        <f t="shared" ca="1" si="22"/>
        <v>36982.921801868848</v>
      </c>
      <c r="BQ29" s="76">
        <f t="shared" ca="1" si="23"/>
        <v>28921.16472940665</v>
      </c>
      <c r="BR29" s="76">
        <f t="shared" ca="1" si="24"/>
        <v>28921.16472940665</v>
      </c>
      <c r="BS29" s="76">
        <f t="shared" ca="1" si="25"/>
        <v>-26683.991853226406</v>
      </c>
      <c r="BT29" s="76">
        <f t="shared" ca="1" si="26"/>
        <v>-26683.991853226406</v>
      </c>
      <c r="BU29" s="76">
        <f t="shared" ca="1" si="27"/>
        <v>-26683.991853226395</v>
      </c>
      <c r="BV29" s="76">
        <f t="shared" ca="1" si="28"/>
        <v>-26683.991853226395</v>
      </c>
      <c r="BW29" s="83">
        <f t="shared" ca="1" si="29"/>
        <v>29920.188223091551</v>
      </c>
      <c r="BX29" s="84"/>
      <c r="BY29" s="76">
        <f t="shared" ca="1" si="30"/>
        <v>802.631324538591</v>
      </c>
      <c r="BZ29" s="76">
        <f t="shared" ca="1" si="31"/>
        <v>802.63132453859055</v>
      </c>
      <c r="CA29" s="76">
        <f t="shared" ca="1" si="32"/>
        <v>627.66897862541009</v>
      </c>
      <c r="CB29" s="76">
        <f t="shared" ca="1" si="33"/>
        <v>627.66897862541009</v>
      </c>
      <c r="CC29" s="76">
        <f t="shared" ca="1" si="34"/>
        <v>-579.11616177523842</v>
      </c>
      <c r="CD29" s="76">
        <f t="shared" ca="1" si="35"/>
        <v>-579.11616177523842</v>
      </c>
      <c r="CE29" s="76">
        <f t="shared" ca="1" si="36"/>
        <v>-579.11616177523808</v>
      </c>
      <c r="CF29" s="76">
        <f t="shared" ca="1" si="37"/>
        <v>-579.11616177523808</v>
      </c>
      <c r="CG29" s="76">
        <f t="shared" ca="1" si="38"/>
        <v>649.35054165272504</v>
      </c>
      <c r="CH29" s="84"/>
      <c r="CI29" s="85">
        <f t="shared" ca="1" si="39"/>
        <v>17.537810437752675</v>
      </c>
      <c r="CJ29" s="86">
        <f t="shared" ca="1" si="40"/>
        <v>17.537810437752665</v>
      </c>
      <c r="CK29" s="86">
        <f t="shared" ca="1" si="41"/>
        <v>13.71481429673632</v>
      </c>
      <c r="CL29" s="86">
        <f t="shared" ca="1" si="42"/>
        <v>13.71481429673632</v>
      </c>
      <c r="CM29" s="86">
        <f t="shared" ca="1" si="43"/>
        <v>-12.653916133277844</v>
      </c>
      <c r="CN29" s="86">
        <f t="shared" ca="1" si="44"/>
        <v>-12.653916133277844</v>
      </c>
      <c r="CO29" s="86">
        <f t="shared" ca="1" si="45"/>
        <v>-12.653916133277839</v>
      </c>
      <c r="CP29" s="86">
        <f t="shared" ca="1" si="46"/>
        <v>-12.653916133277839</v>
      </c>
      <c r="CQ29" s="87">
        <f t="shared" ca="1" si="47"/>
        <v>14.188564984931588</v>
      </c>
      <c r="CR29" s="61">
        <f ca="1">IF(D29="","",INDEX(INDIRECT(CW32),MATCH(CR14,Matl!$B$3:$B$29,0),MATCH(D29,Matl!$D$2:$K$2,0)))</f>
        <v>3000</v>
      </c>
      <c r="CS29" s="48">
        <f ca="1">IF(D29="","",INDEX(INDIRECT(CW32),MATCH(CS14,Matl!$B$3:$B$29,0),MATCH(D29,Matl!$D$2:$K$2,0)))</f>
        <v>4500</v>
      </c>
      <c r="CV29" s="51" t="str">
        <f>Matl!$B$117</f>
        <v>MINIMUM</v>
      </c>
      <c r="CY29" s="99" t="s">
        <v>48</v>
      </c>
      <c r="CZ29" s="99"/>
      <c r="DA29" s="51"/>
      <c r="DB29" s="79"/>
      <c r="DC29" s="58"/>
      <c r="DD29" s="95"/>
      <c r="DE29" s="51"/>
      <c r="DF29" s="51"/>
      <c r="DG29" s="51"/>
      <c r="DH29" s="51"/>
      <c r="DI29" s="51"/>
      <c r="DJ29" s="89"/>
      <c r="DN29" s="88"/>
      <c r="DO29" s="108"/>
      <c r="DR29" s="88"/>
      <c r="DS29" s="108"/>
      <c r="DU29" s="76"/>
      <c r="DV29" s="76"/>
      <c r="DW29" s="76"/>
      <c r="DY29" s="110"/>
      <c r="DZ29" s="110"/>
      <c r="EA29" s="110"/>
      <c r="EC29" s="90"/>
      <c r="ED29" s="90"/>
      <c r="EE29" s="90"/>
      <c r="EF29" s="90"/>
      <c r="EG29" s="90"/>
      <c r="EH29" s="90"/>
      <c r="EI29" s="90"/>
      <c r="EJ29" s="90"/>
      <c r="EK29" s="90"/>
      <c r="EL29" s="90"/>
      <c r="EM29" s="90"/>
      <c r="EN29" s="90"/>
      <c r="EO29" s="90"/>
      <c r="EP29" s="90"/>
      <c r="EQ29" s="90"/>
      <c r="ER29" s="76"/>
      <c r="ES29" s="76"/>
      <c r="ET29" s="76"/>
      <c r="EU29" s="76"/>
      <c r="EV29" s="76"/>
      <c r="EW29" s="76"/>
      <c r="EX29" s="76"/>
      <c r="EY29" s="76"/>
      <c r="EZ29" s="137"/>
      <c r="FA29" s="137"/>
      <c r="FB29" s="61"/>
      <c r="FC29" s="138"/>
      <c r="FD29" s="61"/>
      <c r="FE29" s="61"/>
      <c r="FF29" s="91"/>
      <c r="FI29" s="91"/>
      <c r="FK29" s="92"/>
      <c r="FL29" s="92"/>
      <c r="FM29" s="92"/>
      <c r="FN29" s="92"/>
      <c r="FO29" s="92"/>
      <c r="FP29" s="92"/>
      <c r="FQ29" s="92"/>
      <c r="FS29" s="106"/>
      <c r="FT29" s="65"/>
      <c r="FU29" s="65"/>
      <c r="FV29" s="65"/>
      <c r="FW29" s="65"/>
      <c r="FX29" s="65"/>
      <c r="FY29" s="65"/>
      <c r="FZ29" s="106"/>
      <c r="GA29" s="90"/>
      <c r="GB29" s="65"/>
      <c r="GC29" s="61"/>
      <c r="GD29" s="94"/>
      <c r="GE29" s="65"/>
      <c r="GF29" s="94"/>
      <c r="GG29" s="106"/>
      <c r="GH29" s="90"/>
      <c r="GI29" s="65"/>
      <c r="GJ29" s="90"/>
      <c r="GK29" s="94"/>
      <c r="GL29" s="90"/>
      <c r="GM29" s="94"/>
      <c r="GO29" s="65"/>
      <c r="GP29" s="96"/>
      <c r="GQ29" s="96"/>
      <c r="GR29" s="96"/>
      <c r="GS29" s="96"/>
      <c r="GT29" s="96"/>
      <c r="GU29" s="96"/>
      <c r="GV29" s="96"/>
    </row>
    <row r="30" spans="1:204" ht="13.8" x14ac:dyDescent="0.3">
      <c r="A30" s="132">
        <v>15</v>
      </c>
      <c r="B30" s="182">
        <v>0</v>
      </c>
      <c r="C30" s="182"/>
      <c r="D30" s="222" t="s">
        <v>52</v>
      </c>
      <c r="E30" s="222"/>
      <c r="F30" s="146">
        <f>IF(C30="",INDEX(Matl!$C$15:$K$15,MATCH(D30,Matl!$C$2:$K$2,0)),C30)</f>
        <v>6.2007874015748039E-3</v>
      </c>
      <c r="G30" s="147"/>
      <c r="H30" s="204">
        <f t="shared" ref="H30:J32" ca="1" si="51">CY37</f>
        <v>1.6825651982799172E-11</v>
      </c>
      <c r="I30" s="205">
        <f t="shared" ca="1" si="51"/>
        <v>2.0463630789890885E-12</v>
      </c>
      <c r="J30" s="206">
        <f t="shared" ca="1" si="51"/>
        <v>0</v>
      </c>
      <c r="K30" s="148"/>
      <c r="W30" s="48">
        <f t="shared" si="3"/>
        <v>0</v>
      </c>
      <c r="X30" s="48"/>
      <c r="Y30" s="48"/>
      <c r="Z30" s="48"/>
      <c r="AA30" s="48">
        <f t="shared" si="4"/>
        <v>1</v>
      </c>
      <c r="AB30" s="48">
        <f>IF(B30="","",IF(OR(D30=CV14,D30=CV16,D30=CV17,D30=CV18,D30=CV20)=TRUE,0.5,1))</f>
        <v>1</v>
      </c>
      <c r="AC30" s="51">
        <f t="shared" si="5"/>
        <v>6.2007874015748039E-3</v>
      </c>
      <c r="AD30" s="77">
        <f t="shared" si="6"/>
        <v>0</v>
      </c>
      <c r="AE30" s="77">
        <f>IF(D30="",0,SUM(F15:F30))</f>
        <v>9.3011811023622035E-2</v>
      </c>
      <c r="AF30" s="77">
        <f>IF(D30="",0,SUM(F16:F50)/2-AE30)</f>
        <v>-3.1003937007874016E-2</v>
      </c>
      <c r="AG30" s="77">
        <f t="shared" si="7"/>
        <v>-2.4803149606299212E-2</v>
      </c>
      <c r="AH30" s="77">
        <f>IF(D30="",0,(AE30+AE29)/2-SUM(F16:F50)/2)</f>
        <v>2.7903543307086623E-2</v>
      </c>
      <c r="AI30" s="58">
        <f ca="1">IF(D30="",0,INDEX(INDIRECT(CW32),MATCH(AI14,Matl!$B$3:$B$17,0),MATCH(D30,Matl!$D$2:$K$2,0)))</f>
        <v>18590067.030412</v>
      </c>
      <c r="AJ30" s="58">
        <f ca="1">IF(D30="",0,INDEX(INDIRECT(CW32),MATCH(AJ14,Matl!$B$3:$B$17,0),MATCH(D30,Matl!$D$2:$K$2,0)))</f>
        <v>1519995.4942399999</v>
      </c>
      <c r="AK30" s="58">
        <f ca="1">IF(D30="",0,INDEX(INDIRECT(CW32),MATCH(AK14,Matl!$B$3:$B$15,0),MATCH(D30,Matl!$D$2:$K$2,0)))</f>
        <v>0.31900000000000001</v>
      </c>
      <c r="AL30" s="80">
        <f t="shared" ca="1" si="8"/>
        <v>2.6082668872002123E-2</v>
      </c>
      <c r="AM30" s="58">
        <f ca="1">IF(D30="",0,INDEX(INDIRECT(CW32),MATCH(AM14,Matl!$B$3:$B$15,0),MATCH(D30,Matl!$D$2:$K$2,0)))</f>
        <v>650059.14171599993</v>
      </c>
      <c r="AN30" s="81">
        <f ca="1">IF(D30="",0,INDEX(INDIRECT(CW32),MATCH(AN14,Matl!$B$3:$B$15,0),MATCH(D30,Matl!$D$2:$K$2,0)))</f>
        <v>290365.55147599999</v>
      </c>
      <c r="AO30" s="81">
        <f ca="1">IF(D30="",0,INDEX(INDIRECT(CW32),MATCH(AO14,Matl!$B$3:$B$15,0),MATCH(D30,Matl!$D$2:$K$2,0)))</f>
        <v>1885.4905939999999</v>
      </c>
      <c r="AP30" s="81">
        <f ca="1">IF(D30="",0,INDEX(INDIRECT(CW32),MATCH(AP14,Matl!$B$3:$B$15,0),MATCH(D30,Matl!$D$2:$K$2,0)))</f>
        <v>90068.435297999997</v>
      </c>
      <c r="AQ30" s="81">
        <f ca="1">IF(D30="",0,INDEX(INDIRECT(CW32),MATCH(AQ14,Matl!$B$3:$B$15,0),MATCH(D30,Matl!$D$2:$K$2,0)))</f>
        <v>10877.83035</v>
      </c>
      <c r="AR30" s="81">
        <f ca="1">IF(D30="",0,INDEX(INDIRECT(CW32),MATCH(AR14,Matl!$B$3:$B$15,0),MATCH(D30,Matl!$D$2:$K$2,0)))</f>
        <v>9137.3774940000003</v>
      </c>
      <c r="AS30" s="58"/>
      <c r="AT30" s="58"/>
      <c r="AU30" s="82">
        <f t="shared" ca="1" si="9"/>
        <v>18746041.053699207</v>
      </c>
      <c r="AV30" s="76">
        <f t="shared" ca="1" si="10"/>
        <v>1532748.5312369722</v>
      </c>
      <c r="AW30" s="76">
        <f t="shared" ca="1" si="11"/>
        <v>488946.78146459418</v>
      </c>
      <c r="AX30" s="76">
        <f t="shared" ca="1" si="12"/>
        <v>488946.78146459413</v>
      </c>
      <c r="AY30" s="61">
        <v>0</v>
      </c>
      <c r="AZ30" s="61">
        <v>0</v>
      </c>
      <c r="BA30" s="61">
        <v>0</v>
      </c>
      <c r="BB30" s="61">
        <v>0</v>
      </c>
      <c r="BC30" s="62">
        <f t="shared" ca="1" si="13"/>
        <v>650059.14171599993</v>
      </c>
      <c r="BD30" s="63"/>
      <c r="BE30" s="82">
        <f t="shared" ca="1" si="14"/>
        <v>18746041.053699207</v>
      </c>
      <c r="BF30" s="76">
        <f t="shared" ca="1" si="15"/>
        <v>1532748.5312369722</v>
      </c>
      <c r="BG30" s="76">
        <f t="shared" ca="1" si="16"/>
        <v>488946.78146459418</v>
      </c>
      <c r="BH30" s="76">
        <f t="shared" ca="1" si="17"/>
        <v>488946.78146459418</v>
      </c>
      <c r="BI30" s="76">
        <f t="shared" ca="1" si="48"/>
        <v>0</v>
      </c>
      <c r="BJ30" s="76">
        <f t="shared" ca="1" si="18"/>
        <v>0</v>
      </c>
      <c r="BK30" s="76">
        <f t="shared" ca="1" si="19"/>
        <v>0</v>
      </c>
      <c r="BL30" s="76">
        <f t="shared" ca="1" si="20"/>
        <v>0</v>
      </c>
      <c r="BM30" s="83">
        <f t="shared" ca="1" si="49"/>
        <v>650059.14171599993</v>
      </c>
      <c r="BN30" s="84"/>
      <c r="BO30" s="82">
        <f t="shared" ca="1" si="21"/>
        <v>116240.2151951821</v>
      </c>
      <c r="BP30" s="76">
        <f t="shared" ca="1" si="22"/>
        <v>9504.2477822765013</v>
      </c>
      <c r="BQ30" s="76">
        <f t="shared" ca="1" si="23"/>
        <v>3031.8550425462045</v>
      </c>
      <c r="BR30" s="76">
        <f t="shared" ca="1" si="24"/>
        <v>3031.8550425462045</v>
      </c>
      <c r="BS30" s="76">
        <f t="shared" ca="1" si="25"/>
        <v>0</v>
      </c>
      <c r="BT30" s="76">
        <f t="shared" ca="1" si="26"/>
        <v>0</v>
      </c>
      <c r="BU30" s="76">
        <f t="shared" ca="1" si="27"/>
        <v>0</v>
      </c>
      <c r="BV30" s="76">
        <f t="shared" ca="1" si="28"/>
        <v>0</v>
      </c>
      <c r="BW30" s="83">
        <f t="shared" ca="1" si="29"/>
        <v>4030.8785362311023</v>
      </c>
      <c r="BX30" s="84"/>
      <c r="BY30" s="76">
        <f t="shared" ca="1" si="30"/>
        <v>3243.5138787238325</v>
      </c>
      <c r="BZ30" s="76">
        <f t="shared" ca="1" si="31"/>
        <v>265.20218959403434</v>
      </c>
      <c r="CA30" s="76">
        <f t="shared" ca="1" si="32"/>
        <v>84.599498480496976</v>
      </c>
      <c r="CB30" s="76">
        <f t="shared" ca="1" si="33"/>
        <v>84.599498480496976</v>
      </c>
      <c r="CC30" s="76">
        <f t="shared" ca="1" si="34"/>
        <v>0</v>
      </c>
      <c r="CD30" s="76">
        <f t="shared" ca="1" si="35"/>
        <v>0</v>
      </c>
      <c r="CE30" s="76">
        <f t="shared" ca="1" si="36"/>
        <v>0</v>
      </c>
      <c r="CF30" s="76">
        <f t="shared" ca="1" si="37"/>
        <v>0</v>
      </c>
      <c r="CG30" s="76">
        <f t="shared" ca="1" si="38"/>
        <v>112.4757938013305</v>
      </c>
      <c r="CH30" s="84"/>
      <c r="CI30" s="85">
        <f t="shared" ca="1" si="39"/>
        <v>90.877980722774055</v>
      </c>
      <c r="CJ30" s="86">
        <f t="shared" ca="1" si="40"/>
        <v>7.4305337898066073</v>
      </c>
      <c r="CK30" s="86">
        <f t="shared" ca="1" si="41"/>
        <v>2.3703402789483081</v>
      </c>
      <c r="CL30" s="86">
        <f t="shared" ca="1" si="42"/>
        <v>2.3703402789483081</v>
      </c>
      <c r="CM30" s="86">
        <f t="shared" ca="1" si="43"/>
        <v>0</v>
      </c>
      <c r="CN30" s="86">
        <f t="shared" ca="1" si="44"/>
        <v>0</v>
      </c>
      <c r="CO30" s="86">
        <f t="shared" ca="1" si="45"/>
        <v>0</v>
      </c>
      <c r="CP30" s="86">
        <f t="shared" ca="1" si="46"/>
        <v>0</v>
      </c>
      <c r="CQ30" s="87">
        <f t="shared" ca="1" si="47"/>
        <v>3.151388710837804</v>
      </c>
      <c r="CR30" s="61">
        <f ca="1">IF(D30="","",INDEX(INDIRECT(CW32),MATCH(CR14,Matl!$B$3:$B$29,0),MATCH(D30,Matl!$D$2:$K$2,0)))</f>
        <v>3000</v>
      </c>
      <c r="CS30" s="48">
        <f ca="1">IF(D30="","",INDEX(INDIRECT(CW32),MATCH(CS14,Matl!$B$3:$B$29,0),MATCH(D30,Matl!$D$2:$K$2,0)))</f>
        <v>4500</v>
      </c>
      <c r="CV30" s="51"/>
      <c r="CY30" s="51"/>
      <c r="CZ30" s="51"/>
      <c r="DA30" s="51"/>
      <c r="DB30" s="51"/>
      <c r="DC30" s="58"/>
      <c r="DD30" s="95"/>
      <c r="DE30" s="51"/>
      <c r="DF30" s="51"/>
      <c r="DG30" s="51"/>
      <c r="DH30" s="51"/>
      <c r="DI30" s="51"/>
      <c r="DJ30" s="89"/>
      <c r="DN30" s="88"/>
      <c r="DO30" s="108"/>
      <c r="DR30" s="88"/>
      <c r="DS30" s="108"/>
      <c r="DU30" s="76"/>
      <c r="DV30" s="76"/>
      <c r="DW30" s="76"/>
      <c r="DY30" s="110"/>
      <c r="DZ30" s="110"/>
      <c r="EA30" s="110"/>
      <c r="EC30" s="90"/>
      <c r="ED30" s="90"/>
      <c r="EE30" s="90"/>
      <c r="EF30" s="90"/>
      <c r="EG30" s="90"/>
      <c r="EH30" s="90"/>
      <c r="EI30" s="90"/>
      <c r="EJ30" s="90"/>
      <c r="EK30" s="90"/>
      <c r="EL30" s="90"/>
      <c r="EM30" s="90"/>
      <c r="EN30" s="90"/>
      <c r="EO30" s="90"/>
      <c r="EP30" s="90"/>
      <c r="EQ30" s="90"/>
      <c r="ER30" s="76"/>
      <c r="ES30" s="76"/>
      <c r="ET30" s="76"/>
      <c r="EU30" s="76"/>
      <c r="EV30" s="76"/>
      <c r="EW30" s="76"/>
      <c r="EX30" s="76"/>
      <c r="EY30" s="76"/>
      <c r="EZ30" s="137"/>
      <c r="FA30" s="137"/>
      <c r="FB30" s="61"/>
      <c r="FC30" s="138"/>
      <c r="FD30" s="61"/>
      <c r="FE30" s="61"/>
      <c r="FF30" s="91"/>
      <c r="FI30" s="91"/>
      <c r="FK30" s="92"/>
      <c r="FL30" s="92"/>
      <c r="FM30" s="92"/>
      <c r="FN30" s="92"/>
      <c r="FO30" s="92"/>
      <c r="FP30" s="92"/>
      <c r="FQ30" s="92"/>
      <c r="FS30" s="106"/>
      <c r="FT30" s="65"/>
      <c r="FU30" s="65"/>
      <c r="FV30" s="65"/>
      <c r="FW30" s="65"/>
      <c r="FX30" s="65"/>
      <c r="FY30" s="65"/>
      <c r="FZ30" s="106"/>
      <c r="GA30" s="90"/>
      <c r="GB30" s="65"/>
      <c r="GC30" s="61"/>
      <c r="GD30" s="94"/>
      <c r="GE30" s="65"/>
      <c r="GF30" s="94"/>
      <c r="GG30" s="106"/>
      <c r="GH30" s="90"/>
      <c r="GI30" s="65"/>
      <c r="GJ30" s="90"/>
      <c r="GK30" s="94"/>
      <c r="GL30" s="90"/>
      <c r="GM30" s="94"/>
      <c r="GO30" s="65"/>
      <c r="GP30" s="96"/>
      <c r="GQ30" s="96"/>
      <c r="GR30" s="96"/>
      <c r="GS30" s="96"/>
      <c r="GT30" s="96"/>
      <c r="GU30" s="96"/>
      <c r="GV30" s="96"/>
    </row>
    <row r="31" spans="1:204" ht="13.8" x14ac:dyDescent="0.3">
      <c r="A31" s="132">
        <v>16</v>
      </c>
      <c r="B31" s="182">
        <v>-90</v>
      </c>
      <c r="C31" s="182"/>
      <c r="D31" s="222" t="s">
        <v>52</v>
      </c>
      <c r="E31" s="222"/>
      <c r="F31" s="146">
        <f>IF(C31="",INDEX(Matl!$C$15:$K$15,MATCH(D31,Matl!$C$2:$K$2,0)),C31)</f>
        <v>6.2007874015748039E-3</v>
      </c>
      <c r="G31" s="147"/>
      <c r="H31" s="82">
        <f t="shared" ca="1" si="51"/>
        <v>2.0463630789890885E-12</v>
      </c>
      <c r="I31" s="76">
        <f t="shared" ca="1" si="51"/>
        <v>1.8189894035458565E-12</v>
      </c>
      <c r="J31" s="83">
        <f t="shared" ca="1" si="51"/>
        <v>6.8212102632969618E-13</v>
      </c>
      <c r="K31" s="148"/>
      <c r="W31" s="48">
        <f t="shared" si="3"/>
        <v>6.2007874015748039E-3</v>
      </c>
      <c r="X31" s="48"/>
      <c r="Y31" s="48"/>
      <c r="Z31" s="48"/>
      <c r="AA31" s="48">
        <f t="shared" si="4"/>
        <v>0</v>
      </c>
      <c r="AB31" s="48">
        <f>IF(B31="","",IF(OR(D31=CV14,D31=CV16,D31=CV17,D31=CV18,D31=CV20)=TRUE,0.5,1))</f>
        <v>1</v>
      </c>
      <c r="AC31" s="51">
        <f t="shared" si="5"/>
        <v>0</v>
      </c>
      <c r="AD31" s="77">
        <f t="shared" si="6"/>
        <v>-1.5707963267948966</v>
      </c>
      <c r="AE31" s="77">
        <f>IF(D31="",0,SUM(F15:F31))</f>
        <v>9.9212598425196835E-2</v>
      </c>
      <c r="AF31" s="77">
        <f>IF(D31="",0,SUM(F16:F50)/2-AE31)</f>
        <v>-3.7204724409448817E-2</v>
      </c>
      <c r="AG31" s="77">
        <f t="shared" si="7"/>
        <v>-3.1003937007874013E-2</v>
      </c>
      <c r="AH31" s="77">
        <f>IF(D31="",0,(AE31+AE30)/2-SUM(F16:F50)/2)</f>
        <v>3.4104330708661409E-2</v>
      </c>
      <c r="AI31" s="58">
        <f ca="1">IF(D31="",0,INDEX(INDIRECT(CW32),MATCH(AI14,Matl!$B$3:$B$17,0),MATCH(D31,Matl!$D$2:$K$2,0)))</f>
        <v>18590067.030412</v>
      </c>
      <c r="AJ31" s="58">
        <f ca="1">IF(D31="",0,INDEX(INDIRECT(CW32),MATCH(AJ14,Matl!$B$3:$B$17,0),MATCH(D31,Matl!$D$2:$K$2,0)))</f>
        <v>1519995.4942399999</v>
      </c>
      <c r="AK31" s="58">
        <f ca="1">IF(D31="",0,INDEX(INDIRECT(CW32),MATCH(AK14,Matl!$B$3:$B$15,0),MATCH(D31,Matl!$D$2:$K$2,0)))</f>
        <v>0.31900000000000001</v>
      </c>
      <c r="AL31" s="80">
        <f t="shared" ca="1" si="8"/>
        <v>2.6082668872002123E-2</v>
      </c>
      <c r="AM31" s="58">
        <f ca="1">IF(D31="",0,INDEX(INDIRECT(CW32),MATCH(AM14,Matl!$B$3:$B$15,0),MATCH(D31,Matl!$D$2:$K$2,0)))</f>
        <v>650059.14171599993</v>
      </c>
      <c r="AN31" s="81">
        <f ca="1">IF(D31="",0,INDEX(INDIRECT(CW32),MATCH(AN14,Matl!$B$3:$B$15,0),MATCH(D31,Matl!$D$2:$K$2,0)))</f>
        <v>290365.55147599999</v>
      </c>
      <c r="AO31" s="81">
        <f ca="1">IF(D31="",0,INDEX(INDIRECT(CW32),MATCH(AO14,Matl!$B$3:$B$15,0),MATCH(D31,Matl!$D$2:$K$2,0)))</f>
        <v>1885.4905939999999</v>
      </c>
      <c r="AP31" s="81">
        <f ca="1">IF(D31="",0,INDEX(INDIRECT(CW32),MATCH(AP14,Matl!$B$3:$B$15,0),MATCH(D31,Matl!$D$2:$K$2,0)))</f>
        <v>90068.435297999997</v>
      </c>
      <c r="AQ31" s="81">
        <f ca="1">IF(D31="",0,INDEX(INDIRECT(CW32),MATCH(AQ14,Matl!$B$3:$B$15,0),MATCH(D31,Matl!$D$2:$K$2,0)))</f>
        <v>10877.83035</v>
      </c>
      <c r="AR31" s="81">
        <f ca="1">IF(D31="",0,INDEX(INDIRECT(CW32),MATCH(AR14,Matl!$B$3:$B$15,0),MATCH(D31,Matl!$D$2:$K$2,0)))</f>
        <v>9137.3774940000003</v>
      </c>
      <c r="AS31" s="58"/>
      <c r="AT31" s="58"/>
      <c r="AU31" s="82">
        <f t="shared" ca="1" si="9"/>
        <v>18746041.053699207</v>
      </c>
      <c r="AV31" s="76">
        <f t="shared" ca="1" si="10"/>
        <v>1532748.5312369722</v>
      </c>
      <c r="AW31" s="76">
        <f t="shared" ca="1" si="11"/>
        <v>488946.78146459418</v>
      </c>
      <c r="AX31" s="76">
        <f t="shared" ca="1" si="12"/>
        <v>488946.78146459413</v>
      </c>
      <c r="AY31" s="61">
        <v>0</v>
      </c>
      <c r="AZ31" s="61">
        <v>0</v>
      </c>
      <c r="BA31" s="61">
        <v>0</v>
      </c>
      <c r="BB31" s="61">
        <v>0</v>
      </c>
      <c r="BC31" s="62">
        <f t="shared" ca="1" si="13"/>
        <v>650059.14171599993</v>
      </c>
      <c r="BD31" s="63"/>
      <c r="BE31" s="82">
        <f t="shared" ca="1" si="14"/>
        <v>1532748.5312369722</v>
      </c>
      <c r="BF31" s="76">
        <f t="shared" ca="1" si="15"/>
        <v>18746041.053699207</v>
      </c>
      <c r="BG31" s="76">
        <f t="shared" ca="1" si="16"/>
        <v>488946.78146459418</v>
      </c>
      <c r="BH31" s="76">
        <f t="shared" ca="1" si="17"/>
        <v>488946.78146459418</v>
      </c>
      <c r="BI31" s="76">
        <f t="shared" ca="1" si="48"/>
        <v>-1.5701290259030949E-11</v>
      </c>
      <c r="BJ31" s="76">
        <f t="shared" ca="1" si="18"/>
        <v>-1.5701290259030949E-11</v>
      </c>
      <c r="BK31" s="76">
        <f t="shared" ca="1" si="19"/>
        <v>-1.0387406466302044E-9</v>
      </c>
      <c r="BL31" s="76">
        <f t="shared" ca="1" si="20"/>
        <v>-1.0387406466302044E-9</v>
      </c>
      <c r="BM31" s="83">
        <f t="shared" ca="1" si="49"/>
        <v>650059.14171599993</v>
      </c>
      <c r="BN31" s="84"/>
      <c r="BO31" s="82">
        <f t="shared" ca="1" si="21"/>
        <v>9504.2477822765013</v>
      </c>
      <c r="BP31" s="76">
        <f t="shared" ca="1" si="22"/>
        <v>116240.2151951821</v>
      </c>
      <c r="BQ31" s="76">
        <f t="shared" ca="1" si="23"/>
        <v>3031.8550425462045</v>
      </c>
      <c r="BR31" s="76">
        <f t="shared" ca="1" si="24"/>
        <v>3031.8550425462045</v>
      </c>
      <c r="BS31" s="76">
        <f t="shared" ca="1" si="25"/>
        <v>-9.7360362826668306E-14</v>
      </c>
      <c r="BT31" s="76">
        <f t="shared" ca="1" si="26"/>
        <v>-9.7360362826668306E-14</v>
      </c>
      <c r="BU31" s="76">
        <f t="shared" ca="1" si="27"/>
        <v>-6.4410099151282365E-12</v>
      </c>
      <c r="BV31" s="76">
        <f t="shared" ca="1" si="28"/>
        <v>-6.4410099151282365E-12</v>
      </c>
      <c r="BW31" s="83">
        <f t="shared" ca="1" si="29"/>
        <v>4030.8785362311023</v>
      </c>
      <c r="BX31" s="84"/>
      <c r="BY31" s="76">
        <f t="shared" ca="1" si="30"/>
        <v>324.13600950381959</v>
      </c>
      <c r="BZ31" s="76">
        <f t="shared" ca="1" si="31"/>
        <v>3964.2947406624594</v>
      </c>
      <c r="CA31" s="76">
        <f t="shared" ca="1" si="32"/>
        <v>103.39938703171848</v>
      </c>
      <c r="CB31" s="76">
        <f t="shared" ca="1" si="33"/>
        <v>103.39938703171848</v>
      </c>
      <c r="CC31" s="76">
        <f t="shared" ca="1" si="34"/>
        <v>-3.3204100117559604E-15</v>
      </c>
      <c r="CD31" s="76">
        <f t="shared" ca="1" si="35"/>
        <v>-3.3204100117559604E-15</v>
      </c>
      <c r="CE31" s="76">
        <f t="shared" ca="1" si="36"/>
        <v>-2.1966633224330055E-13</v>
      </c>
      <c r="CF31" s="76">
        <f t="shared" ca="1" si="37"/>
        <v>-2.1966633224330055E-13</v>
      </c>
      <c r="CG31" s="76">
        <f t="shared" ca="1" si="38"/>
        <v>137.47041464607054</v>
      </c>
      <c r="CH31" s="84"/>
      <c r="CI31" s="85">
        <f t="shared" ca="1" si="39"/>
        <v>11.084894670039356</v>
      </c>
      <c r="CJ31" s="86">
        <f t="shared" ca="1" si="40"/>
        <v>135.57206960282676</v>
      </c>
      <c r="CK31" s="86">
        <f t="shared" ca="1" si="41"/>
        <v>3.5360813997425544</v>
      </c>
      <c r="CL31" s="86">
        <f t="shared" ca="1" si="42"/>
        <v>3.5360813997425544</v>
      </c>
      <c r="CM31" s="86">
        <f t="shared" ca="1" si="43"/>
        <v>-1.135523180469871E-16</v>
      </c>
      <c r="CN31" s="86">
        <f t="shared" ca="1" si="44"/>
        <v>-1.135523180469871E-16</v>
      </c>
      <c r="CO31" s="86">
        <f t="shared" ca="1" si="45"/>
        <v>-7.5122111831951916E-15</v>
      </c>
      <c r="CP31" s="86">
        <f t="shared" ca="1" si="46"/>
        <v>-7.5122111831951916E-15</v>
      </c>
      <c r="CQ31" s="87">
        <f t="shared" ca="1" si="47"/>
        <v>4.7012520112498342</v>
      </c>
      <c r="CR31" s="61">
        <f ca="1">IF(D31="","",INDEX(INDIRECT(CW32),MATCH(CR14,Matl!$B$3:$B$29,0),MATCH(D31,Matl!$D$2:$K$2,0)))</f>
        <v>3000</v>
      </c>
      <c r="CS31" s="48">
        <f ca="1">IF(D31="","",INDEX(INDIRECT(CW32),MATCH(CS14,Matl!$B$3:$B$29,0),MATCH(D31,Matl!$D$2:$K$2,0)))</f>
        <v>4500</v>
      </c>
      <c r="CV31" s="51"/>
      <c r="CW31" s="51"/>
      <c r="CX31" s="51"/>
      <c r="CY31" s="51"/>
      <c r="CZ31" s="51"/>
      <c r="DA31" s="51"/>
      <c r="DB31" s="51"/>
      <c r="DC31" s="58"/>
      <c r="DD31" s="51"/>
      <c r="DE31" s="51"/>
      <c r="DF31" s="51"/>
      <c r="DG31" s="51"/>
      <c r="DH31" s="51"/>
      <c r="DI31" s="51"/>
      <c r="DJ31" s="89"/>
      <c r="DN31" s="88"/>
      <c r="DO31" s="108"/>
      <c r="DR31" s="88"/>
      <c r="DS31" s="108"/>
      <c r="DU31" s="76"/>
      <c r="DV31" s="76"/>
      <c r="DW31" s="76"/>
      <c r="DY31" s="110"/>
      <c r="DZ31" s="110"/>
      <c r="EA31" s="110"/>
      <c r="EC31" s="90"/>
      <c r="ED31" s="90"/>
      <c r="EE31" s="90"/>
      <c r="EF31" s="90"/>
      <c r="EG31" s="90"/>
      <c r="EH31" s="90"/>
      <c r="EI31" s="90"/>
      <c r="EJ31" s="90"/>
      <c r="EK31" s="90"/>
      <c r="EL31" s="90"/>
      <c r="EM31" s="90"/>
      <c r="EN31" s="90"/>
      <c r="EO31" s="90"/>
      <c r="EP31" s="90"/>
      <c r="EQ31" s="90"/>
      <c r="ER31" s="76"/>
      <c r="ES31" s="76"/>
      <c r="ET31" s="76"/>
      <c r="EU31" s="76"/>
      <c r="EV31" s="76"/>
      <c r="EW31" s="76"/>
      <c r="EX31" s="76"/>
      <c r="EY31" s="76"/>
      <c r="EZ31" s="137"/>
      <c r="FA31" s="137"/>
      <c r="FB31" s="61"/>
      <c r="FC31" s="138"/>
      <c r="FD31" s="61"/>
      <c r="FE31" s="61"/>
      <c r="FF31" s="91"/>
      <c r="FI31" s="91"/>
      <c r="FK31" s="92"/>
      <c r="FL31" s="92"/>
      <c r="FM31" s="92"/>
      <c r="FN31" s="92"/>
      <c r="FO31" s="92"/>
      <c r="FP31" s="92"/>
      <c r="FQ31" s="92"/>
      <c r="FS31" s="106"/>
      <c r="FT31" s="61"/>
      <c r="FU31" s="65"/>
      <c r="FV31" s="61"/>
      <c r="FW31" s="65"/>
      <c r="FX31" s="65"/>
      <c r="FY31" s="65"/>
      <c r="FZ31" s="106"/>
      <c r="GA31" s="61"/>
      <c r="GB31" s="65"/>
      <c r="GC31" s="61"/>
      <c r="GD31" s="94"/>
      <c r="GE31" s="61"/>
      <c r="GF31" s="94"/>
      <c r="GG31" s="106"/>
      <c r="GH31" s="90"/>
      <c r="GI31" s="65"/>
      <c r="GJ31" s="94"/>
      <c r="GK31" s="94"/>
      <c r="GL31" s="94"/>
      <c r="GM31" s="94"/>
      <c r="GO31" s="65"/>
      <c r="GP31" s="96"/>
      <c r="GQ31" s="96"/>
      <c r="GR31" s="96"/>
      <c r="GS31" s="96"/>
      <c r="GT31" s="96"/>
      <c r="GU31" s="96"/>
      <c r="GV31" s="96"/>
    </row>
    <row r="32" spans="1:204" ht="13.8" x14ac:dyDescent="0.3">
      <c r="A32" s="132">
        <v>17</v>
      </c>
      <c r="B32" s="182">
        <v>180</v>
      </c>
      <c r="C32" s="182"/>
      <c r="D32" s="222" t="s">
        <v>52</v>
      </c>
      <c r="E32" s="222"/>
      <c r="F32" s="146">
        <f>IF(C32="",INDEX(Matl!$C$15:$K$15,MATCH(D32,Matl!$C$2:$K$2,0)),C32)</f>
        <v>6.2007874015748039E-3</v>
      </c>
      <c r="G32" s="147"/>
      <c r="H32" s="207">
        <f t="shared" ca="1" si="51"/>
        <v>0</v>
      </c>
      <c r="I32" s="97">
        <f t="shared" ca="1" si="51"/>
        <v>6.8212102632969618E-13</v>
      </c>
      <c r="J32" s="98">
        <f t="shared" ca="1" si="51"/>
        <v>1.8189894035458565E-12</v>
      </c>
      <c r="K32" s="148"/>
      <c r="W32" s="48">
        <f t="shared" si="3"/>
        <v>6.2007874015748039E-3</v>
      </c>
      <c r="X32" s="48"/>
      <c r="Y32" s="48"/>
      <c r="Z32" s="48"/>
      <c r="AA32" s="48">
        <f t="shared" si="4"/>
        <v>0</v>
      </c>
      <c r="AB32" s="48">
        <f>IF(B32="","",IF(OR(D32=CV14,D32=CV16,D32=CV17,D32=CV18,D32=CV20)=TRUE,0.5,1))</f>
        <v>1</v>
      </c>
      <c r="AC32" s="51">
        <f t="shared" si="5"/>
        <v>0</v>
      </c>
      <c r="AD32" s="77">
        <f t="shared" si="6"/>
        <v>3.1415926535897931</v>
      </c>
      <c r="AE32" s="77">
        <f>IF(D32="",0,SUM(F15:F32))</f>
        <v>0.10541338582677164</v>
      </c>
      <c r="AF32" s="77">
        <f>IF(D32="",0,SUM(F16:F50)/2-AE32)</f>
        <v>-4.3405511811023617E-2</v>
      </c>
      <c r="AG32" s="77">
        <f t="shared" si="7"/>
        <v>-3.7204724409448817E-2</v>
      </c>
      <c r="AH32" s="77">
        <f>IF(D32="",0,(AE32+AE31)/2-SUM(F16:F50)/2)</f>
        <v>4.0305118110236224E-2</v>
      </c>
      <c r="AI32" s="58">
        <f ca="1">IF(D32="",0,INDEX(INDIRECT(CW32),MATCH(AI14,Matl!$B$3:$B$17,0),MATCH(D32,Matl!$D$2:$K$2,0)))</f>
        <v>18590067.030412</v>
      </c>
      <c r="AJ32" s="58">
        <f ca="1">IF(D32="",0,INDEX(INDIRECT(CW32),MATCH(AJ14,Matl!$B$3:$B$17,0),MATCH(D32,Matl!$D$2:$K$2,0)))</f>
        <v>1519995.4942399999</v>
      </c>
      <c r="AK32" s="58">
        <f ca="1">IF(D32="",0,INDEX(INDIRECT(CW32),MATCH(AK14,Matl!$B$3:$B$15,0),MATCH(D32,Matl!$D$2:$K$2,0)))</f>
        <v>0.31900000000000001</v>
      </c>
      <c r="AL32" s="80">
        <f t="shared" ca="1" si="8"/>
        <v>2.6082668872002123E-2</v>
      </c>
      <c r="AM32" s="58">
        <f ca="1">IF(D32="",0,INDEX(INDIRECT(CW32),MATCH(AM14,Matl!$B$3:$B$15,0),MATCH(D32,Matl!$D$2:$K$2,0)))</f>
        <v>650059.14171599993</v>
      </c>
      <c r="AN32" s="81">
        <f ca="1">IF(D32="",0,INDEX(INDIRECT(CW32),MATCH(AN14,Matl!$B$3:$B$15,0),MATCH(D32,Matl!$D$2:$K$2,0)))</f>
        <v>290365.55147599999</v>
      </c>
      <c r="AO32" s="81">
        <f ca="1">IF(D32="",0,INDEX(INDIRECT(CW32),MATCH(AO14,Matl!$B$3:$B$15,0),MATCH(D32,Matl!$D$2:$K$2,0)))</f>
        <v>1885.4905939999999</v>
      </c>
      <c r="AP32" s="81">
        <f ca="1">IF(D32="",0,INDEX(INDIRECT(CW32),MATCH(AP14,Matl!$B$3:$B$15,0),MATCH(D32,Matl!$D$2:$K$2,0)))</f>
        <v>90068.435297999997</v>
      </c>
      <c r="AQ32" s="81">
        <f ca="1">IF(D32="",0,INDEX(INDIRECT(CW32),MATCH(AQ14,Matl!$B$3:$B$15,0),MATCH(D32,Matl!$D$2:$K$2,0)))</f>
        <v>10877.83035</v>
      </c>
      <c r="AR32" s="81">
        <f ca="1">IF(D32="",0,INDEX(INDIRECT(CW32),MATCH(AR14,Matl!$B$3:$B$15,0),MATCH(D32,Matl!$D$2:$K$2,0)))</f>
        <v>9137.3774940000003</v>
      </c>
      <c r="AS32" s="58"/>
      <c r="AT32" s="58"/>
      <c r="AU32" s="82">
        <f t="shared" ca="1" si="9"/>
        <v>18746041.053699207</v>
      </c>
      <c r="AV32" s="76">
        <f t="shared" ca="1" si="10"/>
        <v>1532748.5312369722</v>
      </c>
      <c r="AW32" s="76">
        <f t="shared" ca="1" si="11"/>
        <v>488946.78146459418</v>
      </c>
      <c r="AX32" s="76">
        <f t="shared" ca="1" si="12"/>
        <v>488946.78146459413</v>
      </c>
      <c r="AY32" s="61">
        <v>0</v>
      </c>
      <c r="AZ32" s="61">
        <v>0</v>
      </c>
      <c r="BA32" s="61">
        <v>0</v>
      </c>
      <c r="BB32" s="61">
        <v>0</v>
      </c>
      <c r="BC32" s="62">
        <f t="shared" ca="1" si="13"/>
        <v>650059.14171599993</v>
      </c>
      <c r="BD32" s="63"/>
      <c r="BE32" s="82">
        <f t="shared" ca="1" si="14"/>
        <v>18746041.053699207</v>
      </c>
      <c r="BF32" s="76">
        <f t="shared" ca="1" si="15"/>
        <v>1532748.5312369722</v>
      </c>
      <c r="BG32" s="76">
        <f t="shared" ca="1" si="16"/>
        <v>488946.78146459418</v>
      </c>
      <c r="BH32" s="76">
        <f t="shared" ca="1" si="17"/>
        <v>488946.78146459418</v>
      </c>
      <c r="BI32" s="76">
        <f t="shared" ca="1" si="48"/>
        <v>-2.0774812932604088E-9</v>
      </c>
      <c r="BJ32" s="76">
        <f t="shared" ca="1" si="18"/>
        <v>-2.0774812932604088E-9</v>
      </c>
      <c r="BK32" s="76">
        <f t="shared" ca="1" si="19"/>
        <v>-3.1402580518061899E-11</v>
      </c>
      <c r="BL32" s="76">
        <f t="shared" ca="1" si="20"/>
        <v>-3.1402580518061899E-11</v>
      </c>
      <c r="BM32" s="83">
        <f t="shared" ca="1" si="49"/>
        <v>650059.14171599993</v>
      </c>
      <c r="BN32" s="84"/>
      <c r="BO32" s="82">
        <f t="shared" ca="1" si="21"/>
        <v>116240.2151951821</v>
      </c>
      <c r="BP32" s="76">
        <f t="shared" ca="1" si="22"/>
        <v>9504.2477822765013</v>
      </c>
      <c r="BQ32" s="76">
        <f t="shared" ca="1" si="23"/>
        <v>3031.8550425462045</v>
      </c>
      <c r="BR32" s="76">
        <f t="shared" ca="1" si="24"/>
        <v>3031.8550425462045</v>
      </c>
      <c r="BS32" s="76">
        <f t="shared" ca="1" si="25"/>
        <v>-1.2882019830256473E-11</v>
      </c>
      <c r="BT32" s="76">
        <f t="shared" ca="1" si="26"/>
        <v>-1.2882019830256473E-11</v>
      </c>
      <c r="BU32" s="76">
        <f t="shared" ca="1" si="27"/>
        <v>-1.9472072565333661E-13</v>
      </c>
      <c r="BV32" s="76">
        <f t="shared" ca="1" si="28"/>
        <v>-1.9472072565333661E-13</v>
      </c>
      <c r="BW32" s="83">
        <f t="shared" ca="1" si="29"/>
        <v>4030.8785362311023</v>
      </c>
      <c r="BX32" s="84"/>
      <c r="BY32" s="76">
        <f t="shared" ca="1" si="30"/>
        <v>4685.0756026010904</v>
      </c>
      <c r="BZ32" s="76">
        <f t="shared" ca="1" si="31"/>
        <v>383.06982941360508</v>
      </c>
      <c r="CA32" s="76">
        <f t="shared" ca="1" si="32"/>
        <v>122.19927558294005</v>
      </c>
      <c r="CB32" s="76">
        <f t="shared" ca="1" si="33"/>
        <v>122.19927558294005</v>
      </c>
      <c r="CC32" s="76">
        <f t="shared" ca="1" si="34"/>
        <v>-5.1921133075689244E-13</v>
      </c>
      <c r="CD32" s="76">
        <f t="shared" ca="1" si="35"/>
        <v>-5.1921133075689244E-13</v>
      </c>
      <c r="CE32" s="76">
        <f t="shared" ca="1" si="36"/>
        <v>-7.8482418459686371E-15</v>
      </c>
      <c r="CF32" s="76">
        <f t="shared" ca="1" si="37"/>
        <v>-7.8482418459686371E-15</v>
      </c>
      <c r="CG32" s="76">
        <f t="shared" ca="1" si="38"/>
        <v>162.46503549081069</v>
      </c>
      <c r="CH32" s="84"/>
      <c r="CI32" s="85">
        <f t="shared" ca="1" si="39"/>
        <v>189.20497625889021</v>
      </c>
      <c r="CJ32" s="86">
        <f t="shared" ca="1" si="40"/>
        <v>15.470127726318671</v>
      </c>
      <c r="CK32" s="86">
        <f t="shared" ca="1" si="41"/>
        <v>4.934970744695657</v>
      </c>
      <c r="CL32" s="86">
        <f t="shared" ca="1" si="42"/>
        <v>4.934970744695657</v>
      </c>
      <c r="CM32" s="86">
        <f t="shared" ca="1" si="43"/>
        <v>-2.0968149895951427E-14</v>
      </c>
      <c r="CN32" s="86">
        <f t="shared" ca="1" si="44"/>
        <v>-2.0968149895951427E-14</v>
      </c>
      <c r="CO32" s="86">
        <f t="shared" ca="1" si="45"/>
        <v>-3.1694822839488729E-16</v>
      </c>
      <c r="CP32" s="86">
        <f t="shared" ca="1" si="46"/>
        <v>-3.1694822839488729E-16</v>
      </c>
      <c r="CQ32" s="87">
        <f t="shared" ca="1" si="47"/>
        <v>6.5610879717442794</v>
      </c>
      <c r="CR32" s="61">
        <f ca="1">IF(D32="","",INDEX(INDIRECT(CW32),MATCH(CR14,Matl!$B$3:$B$29,0),MATCH(D32,Matl!$D$2:$K$2,0)))</f>
        <v>3000</v>
      </c>
      <c r="CS32" s="48">
        <f ca="1">IF(D32="","",INDEX(INDIRECT(CW32),MATCH(CS14,Matl!$B$3:$B$29,0),MATCH(D32,Matl!$D$2:$K$2,0)))</f>
        <v>4500</v>
      </c>
      <c r="CV32" s="51"/>
      <c r="CW32" s="51" t="str">
        <f>INDEX(CY25:CY30,MATCH(F52,CV25:CV30,0))</f>
        <v>Matl!D3:K29</v>
      </c>
      <c r="CX32" s="51"/>
      <c r="DA32" s="51"/>
      <c r="DB32" s="51"/>
      <c r="DC32" s="58"/>
      <c r="DD32" s="51"/>
      <c r="DE32" s="51"/>
      <c r="DF32" s="51"/>
      <c r="DG32" s="51"/>
      <c r="DH32" s="51"/>
      <c r="DI32" s="51"/>
      <c r="DJ32" s="89"/>
      <c r="DN32" s="88"/>
      <c r="DO32" s="108"/>
      <c r="DR32" s="88"/>
      <c r="DS32" s="108"/>
      <c r="DU32" s="76"/>
      <c r="DV32" s="76"/>
      <c r="DW32" s="76"/>
      <c r="DY32" s="110"/>
      <c r="DZ32" s="110"/>
      <c r="EA32" s="110"/>
      <c r="EC32" s="90"/>
      <c r="ED32" s="90"/>
      <c r="EE32" s="90"/>
      <c r="EF32" s="90"/>
      <c r="EG32" s="90"/>
      <c r="EH32" s="90"/>
      <c r="EI32" s="90"/>
      <c r="EJ32" s="90"/>
      <c r="EK32" s="90"/>
      <c r="EL32" s="90"/>
      <c r="EM32" s="90"/>
      <c r="EN32" s="90"/>
      <c r="EO32" s="90"/>
      <c r="EP32" s="90"/>
      <c r="EQ32" s="90"/>
      <c r="ER32" s="76"/>
      <c r="ES32" s="76"/>
      <c r="ET32" s="76"/>
      <c r="EU32" s="76"/>
      <c r="EV32" s="76"/>
      <c r="EW32" s="76"/>
      <c r="EX32" s="76"/>
      <c r="EY32" s="76"/>
      <c r="EZ32" s="137"/>
      <c r="FA32" s="137"/>
      <c r="FB32" s="61"/>
      <c r="FC32" s="138"/>
      <c r="FD32" s="61"/>
      <c r="FE32" s="61"/>
      <c r="FF32" s="91"/>
      <c r="FI32" s="91"/>
      <c r="FK32" s="92"/>
      <c r="FL32" s="92"/>
      <c r="FM32" s="92"/>
      <c r="FN32" s="92"/>
      <c r="FO32" s="92"/>
      <c r="FP32" s="92"/>
      <c r="FQ32" s="92"/>
      <c r="FS32" s="106"/>
      <c r="FT32" s="61"/>
      <c r="FU32" s="65"/>
      <c r="FV32" s="61"/>
      <c r="FW32" s="65"/>
      <c r="FX32" s="65"/>
      <c r="FY32" s="65"/>
      <c r="FZ32" s="106"/>
      <c r="GA32" s="61"/>
      <c r="GB32" s="65"/>
      <c r="GC32" s="93"/>
      <c r="GD32" s="94"/>
      <c r="GE32" s="61"/>
      <c r="GF32" s="94"/>
      <c r="GG32" s="106"/>
      <c r="GH32" s="90"/>
      <c r="GI32" s="65"/>
      <c r="GJ32" s="94"/>
      <c r="GK32" s="94"/>
      <c r="GL32" s="94"/>
      <c r="GM32" s="94"/>
      <c r="GN32" s="106"/>
      <c r="GO32" s="65"/>
      <c r="GP32" s="96"/>
      <c r="GQ32" s="96"/>
      <c r="GR32" s="96"/>
      <c r="GS32" s="96"/>
      <c r="GT32" s="96"/>
      <c r="GU32" s="96"/>
      <c r="GV32" s="96"/>
    </row>
    <row r="33" spans="1:204" ht="13.8" x14ac:dyDescent="0.3">
      <c r="A33" s="132">
        <v>18</v>
      </c>
      <c r="B33" s="182">
        <v>90</v>
      </c>
      <c r="C33" s="182"/>
      <c r="D33" s="222" t="s">
        <v>52</v>
      </c>
      <c r="E33" s="222"/>
      <c r="F33" s="146">
        <f>IF(C33="",INDEX(Matl!$C$15:$K$15,MATCH(D33,Matl!$C$2:$K$2,0)),C33)</f>
        <v>6.2007874015748039E-3</v>
      </c>
      <c r="G33" s="147"/>
      <c r="H33" s="149"/>
      <c r="I33" s="149"/>
      <c r="J33" s="149"/>
      <c r="K33" s="148"/>
      <c r="W33" s="48">
        <f t="shared" si="3"/>
        <v>6.2007874015748039E-3</v>
      </c>
      <c r="X33" s="48"/>
      <c r="Y33" s="48"/>
      <c r="Z33" s="48"/>
      <c r="AA33" s="48">
        <f t="shared" si="4"/>
        <v>0</v>
      </c>
      <c r="AB33" s="48">
        <f>IF(B33="","",IF(OR(D33=CV14,D33=CV16,D33=CV17,D33=CV18,D33=CV20)=TRUE,0.5,1))</f>
        <v>1</v>
      </c>
      <c r="AC33" s="51">
        <f t="shared" si="5"/>
        <v>0</v>
      </c>
      <c r="AD33" s="77">
        <f t="shared" si="6"/>
        <v>1.5707963267948966</v>
      </c>
      <c r="AE33" s="77">
        <f>IF(D33="",0,SUM(F15:F33))</f>
        <v>0.11161417322834644</v>
      </c>
      <c r="AF33" s="77">
        <f>IF(D33="",0,SUM(F16:F50)/2-AE33)</f>
        <v>-4.9606299212598418E-2</v>
      </c>
      <c r="AG33" s="77">
        <f t="shared" si="7"/>
        <v>-4.3405511811023617E-2</v>
      </c>
      <c r="AH33" s="77">
        <f>IF(D33="",0,(AE33+AE32)/2-SUM(F16:F50)/2)</f>
        <v>4.650590551181101E-2</v>
      </c>
      <c r="AI33" s="58">
        <f ca="1">IF(D33="",0,INDEX(INDIRECT(CW32),MATCH(AI14,Matl!$B$3:$B$17,0),MATCH(D33,Matl!$D$2:$K$2,0)))</f>
        <v>18590067.030412</v>
      </c>
      <c r="AJ33" s="58">
        <f ca="1">IF(D33="",0,INDEX(INDIRECT(CW32),MATCH(AJ14,Matl!$B$3:$B$17,0),MATCH(D33,Matl!$D$2:$K$2,0)))</f>
        <v>1519995.4942399999</v>
      </c>
      <c r="AK33" s="58">
        <f ca="1">IF(D33="",0,INDEX(INDIRECT(CW32),MATCH(AK14,Matl!$B$3:$B$15,0),MATCH(D33,Matl!$D$2:$K$2,0)))</f>
        <v>0.31900000000000001</v>
      </c>
      <c r="AL33" s="80">
        <f t="shared" ca="1" si="8"/>
        <v>2.6082668872002123E-2</v>
      </c>
      <c r="AM33" s="58">
        <f ca="1">IF(D33="",0,INDEX(INDIRECT(CW32),MATCH(AM14,Matl!$B$3:$B$15,0),MATCH(D33,Matl!$D$2:$K$2,0)))</f>
        <v>650059.14171599993</v>
      </c>
      <c r="AN33" s="81">
        <f ca="1">IF(D33="",0,INDEX(INDIRECT(CW32),MATCH(AN14,Matl!$B$3:$B$15,0),MATCH(D33,Matl!$D$2:$K$2,0)))</f>
        <v>290365.55147599999</v>
      </c>
      <c r="AO33" s="81">
        <f ca="1">IF(D33="",0,INDEX(INDIRECT(CW32),MATCH(AO14,Matl!$B$3:$B$15,0),MATCH(D33,Matl!$D$2:$K$2,0)))</f>
        <v>1885.4905939999999</v>
      </c>
      <c r="AP33" s="81">
        <f ca="1">IF(D33="",0,INDEX(INDIRECT(CW32),MATCH(AP14,Matl!$B$3:$B$15,0),MATCH(D33,Matl!$D$2:$K$2,0)))</f>
        <v>90068.435297999997</v>
      </c>
      <c r="AQ33" s="81">
        <f ca="1">IF(D33="",0,INDEX(INDIRECT(CW32),MATCH(AQ14,Matl!$B$3:$B$15,0),MATCH(D33,Matl!$D$2:$K$2,0)))</f>
        <v>10877.83035</v>
      </c>
      <c r="AR33" s="81">
        <f ca="1">IF(D33="",0,INDEX(INDIRECT(CW32),MATCH(AR14,Matl!$B$3:$B$15,0),MATCH(D33,Matl!$D$2:$K$2,0)))</f>
        <v>9137.3774940000003</v>
      </c>
      <c r="AS33" s="58"/>
      <c r="AT33" s="58"/>
      <c r="AU33" s="82">
        <f t="shared" ca="1" si="9"/>
        <v>18746041.053699207</v>
      </c>
      <c r="AV33" s="76">
        <f t="shared" ca="1" si="10"/>
        <v>1532748.5312369722</v>
      </c>
      <c r="AW33" s="76">
        <f t="shared" ca="1" si="11"/>
        <v>488946.78146459418</v>
      </c>
      <c r="AX33" s="76">
        <f t="shared" ca="1" si="12"/>
        <v>488946.78146459413</v>
      </c>
      <c r="AY33" s="61">
        <v>0</v>
      </c>
      <c r="AZ33" s="61">
        <v>0</v>
      </c>
      <c r="BA33" s="61">
        <v>0</v>
      </c>
      <c r="BB33" s="61">
        <v>0</v>
      </c>
      <c r="BC33" s="62">
        <f t="shared" ca="1" si="13"/>
        <v>650059.14171599993</v>
      </c>
      <c r="BD33" s="63"/>
      <c r="BE33" s="82">
        <f t="shared" ca="1" si="14"/>
        <v>1532748.5312369722</v>
      </c>
      <c r="BF33" s="76">
        <f t="shared" ca="1" si="15"/>
        <v>18746041.053699207</v>
      </c>
      <c r="BG33" s="76">
        <f t="shared" ca="1" si="16"/>
        <v>488946.78146459418</v>
      </c>
      <c r="BH33" s="76">
        <f t="shared" ca="1" si="17"/>
        <v>488946.78146459418</v>
      </c>
      <c r="BI33" s="76">
        <f t="shared" ca="1" si="48"/>
        <v>1.5701290259030949E-11</v>
      </c>
      <c r="BJ33" s="76">
        <f t="shared" ca="1" si="18"/>
        <v>1.5701290259030949E-11</v>
      </c>
      <c r="BK33" s="76">
        <f t="shared" ca="1" si="19"/>
        <v>1.0387406466302044E-9</v>
      </c>
      <c r="BL33" s="76">
        <f t="shared" ca="1" si="20"/>
        <v>1.0387406466302044E-9</v>
      </c>
      <c r="BM33" s="83">
        <f t="shared" ca="1" si="49"/>
        <v>650059.14171599993</v>
      </c>
      <c r="BN33" s="84"/>
      <c r="BO33" s="82">
        <f t="shared" ca="1" si="21"/>
        <v>9504.2477822765013</v>
      </c>
      <c r="BP33" s="76">
        <f t="shared" ca="1" si="22"/>
        <v>116240.2151951821</v>
      </c>
      <c r="BQ33" s="76">
        <f t="shared" ca="1" si="23"/>
        <v>3031.8550425462045</v>
      </c>
      <c r="BR33" s="76">
        <f t="shared" ca="1" si="24"/>
        <v>3031.8550425462045</v>
      </c>
      <c r="BS33" s="76">
        <f t="shared" ca="1" si="25"/>
        <v>9.7360362826668306E-14</v>
      </c>
      <c r="BT33" s="76">
        <f t="shared" ca="1" si="26"/>
        <v>9.7360362826668306E-14</v>
      </c>
      <c r="BU33" s="76">
        <f t="shared" ca="1" si="27"/>
        <v>6.4410099151282365E-12</v>
      </c>
      <c r="BV33" s="76">
        <f t="shared" ca="1" si="28"/>
        <v>6.4410099151282365E-12</v>
      </c>
      <c r="BW33" s="83">
        <f t="shared" ca="1" si="29"/>
        <v>4030.8785362311023</v>
      </c>
      <c r="BX33" s="84"/>
      <c r="BY33" s="76">
        <f t="shared" ca="1" si="30"/>
        <v>442.00364932339039</v>
      </c>
      <c r="BZ33" s="76">
        <f t="shared" ca="1" si="31"/>
        <v>5405.8564645397173</v>
      </c>
      <c r="CA33" s="76">
        <f t="shared" ca="1" si="32"/>
        <v>140.99916413416153</v>
      </c>
      <c r="CB33" s="76">
        <f t="shared" ca="1" si="33"/>
        <v>140.99916413416153</v>
      </c>
      <c r="CC33" s="76">
        <f t="shared" ca="1" si="34"/>
        <v>4.5278318342126732E-15</v>
      </c>
      <c r="CD33" s="76">
        <f t="shared" ca="1" si="35"/>
        <v>4.5278318342126732E-15</v>
      </c>
      <c r="CE33" s="76">
        <f t="shared" ca="1" si="36"/>
        <v>2.9954499851359164E-13</v>
      </c>
      <c r="CF33" s="76">
        <f t="shared" ca="1" si="37"/>
        <v>2.9954499851359164E-13</v>
      </c>
      <c r="CG33" s="76">
        <f t="shared" ca="1" si="38"/>
        <v>187.45965633555073</v>
      </c>
      <c r="CH33" s="84"/>
      <c r="CI33" s="85">
        <f t="shared" ca="1" si="39"/>
        <v>20.586232958644516</v>
      </c>
      <c r="CJ33" s="86">
        <f t="shared" ca="1" si="40"/>
        <v>251.77670069096396</v>
      </c>
      <c r="CK33" s="86">
        <f t="shared" ca="1" si="41"/>
        <v>6.5670083138076008</v>
      </c>
      <c r="CL33" s="86">
        <f t="shared" ca="1" si="42"/>
        <v>6.5670083138076008</v>
      </c>
      <c r="CM33" s="86">
        <f t="shared" ca="1" si="43"/>
        <v>2.1088287637297603E-16</v>
      </c>
      <c r="CN33" s="86">
        <f t="shared" ca="1" si="44"/>
        <v>2.1088287637297603E-16</v>
      </c>
      <c r="CO33" s="86">
        <f t="shared" ca="1" si="45"/>
        <v>1.395124934021964E-14</v>
      </c>
      <c r="CP33" s="86">
        <f t="shared" ca="1" si="46"/>
        <v>1.395124934021964E-14</v>
      </c>
      <c r="CQ33" s="87">
        <f t="shared" ca="1" si="47"/>
        <v>8.7308965923211215</v>
      </c>
      <c r="CR33" s="61">
        <f ca="1">IF(D33="","",INDEX(INDIRECT(CW32),MATCH(CR14,Matl!$B$3:$B$29,0),MATCH(D33,Matl!$D$2:$K$2,0)))</f>
        <v>3000</v>
      </c>
      <c r="CS33" s="48">
        <f ca="1">IF(D33="","",INDEX(INDIRECT(CW32),MATCH(CS14,Matl!$B$3:$B$29,0),MATCH(D33,Matl!$D$2:$K$2,0)))</f>
        <v>4500</v>
      </c>
      <c r="DA33" s="51"/>
      <c r="DB33" s="51"/>
      <c r="DC33" s="58"/>
      <c r="DD33" s="51"/>
      <c r="DE33" s="51"/>
      <c r="DF33" s="51"/>
      <c r="DG33" s="51"/>
      <c r="DH33" s="51"/>
      <c r="DI33" s="51"/>
      <c r="DJ33" s="89"/>
      <c r="DN33" s="88"/>
      <c r="DO33" s="108"/>
      <c r="DR33" s="88"/>
      <c r="DS33" s="108"/>
      <c r="DU33" s="76"/>
      <c r="DV33" s="76"/>
      <c r="DW33" s="76"/>
      <c r="DY33" s="110"/>
      <c r="DZ33" s="110"/>
      <c r="EA33" s="110"/>
      <c r="EC33" s="90"/>
      <c r="ED33" s="90"/>
      <c r="EE33" s="90"/>
      <c r="EF33" s="90"/>
      <c r="EG33" s="90"/>
      <c r="EH33" s="90"/>
      <c r="EI33" s="90"/>
      <c r="EJ33" s="90"/>
      <c r="EK33" s="90"/>
      <c r="EL33" s="90"/>
      <c r="EM33" s="90"/>
      <c r="EN33" s="90"/>
      <c r="EO33" s="90"/>
      <c r="EP33" s="90"/>
      <c r="EQ33" s="90"/>
      <c r="ER33" s="76"/>
      <c r="ES33" s="76"/>
      <c r="ET33" s="76"/>
      <c r="EU33" s="76"/>
      <c r="EV33" s="76"/>
      <c r="EW33" s="76"/>
      <c r="EX33" s="76"/>
      <c r="EY33" s="76"/>
      <c r="EZ33" s="137"/>
      <c r="FA33" s="137"/>
      <c r="FB33" s="61"/>
      <c r="FC33" s="138"/>
      <c r="FD33" s="61"/>
      <c r="FE33" s="61"/>
      <c r="FF33" s="91"/>
      <c r="FI33" s="91"/>
      <c r="FK33" s="92"/>
      <c r="FL33" s="92"/>
      <c r="FM33" s="92"/>
      <c r="FN33" s="92"/>
      <c r="FO33" s="92"/>
      <c r="FP33" s="92"/>
      <c r="FQ33" s="92"/>
      <c r="FS33" s="106"/>
      <c r="FT33" s="65"/>
      <c r="FU33" s="65"/>
      <c r="FV33" s="65"/>
      <c r="FW33" s="65"/>
      <c r="FX33" s="65"/>
      <c r="FY33" s="65"/>
      <c r="FZ33" s="106"/>
      <c r="GA33" s="90"/>
      <c r="GB33" s="65"/>
      <c r="GC33" s="61"/>
      <c r="GD33" s="94"/>
      <c r="GE33" s="65"/>
      <c r="GF33" s="94"/>
      <c r="GG33" s="106"/>
      <c r="GH33" s="90"/>
      <c r="GI33" s="65"/>
      <c r="GJ33" s="90"/>
      <c r="GK33" s="94"/>
      <c r="GL33" s="90"/>
      <c r="GM33" s="94"/>
      <c r="GO33" s="65"/>
      <c r="GP33" s="96"/>
      <c r="GQ33" s="96"/>
      <c r="GR33" s="96"/>
      <c r="GS33" s="96"/>
      <c r="GT33" s="96"/>
      <c r="GU33" s="96"/>
      <c r="GV33" s="96"/>
    </row>
    <row r="34" spans="1:204" ht="13.8" x14ac:dyDescent="0.3">
      <c r="A34" s="132">
        <v>19</v>
      </c>
      <c r="B34" s="182">
        <v>0</v>
      </c>
      <c r="C34" s="182"/>
      <c r="D34" s="222" t="s">
        <v>52</v>
      </c>
      <c r="E34" s="222"/>
      <c r="F34" s="146">
        <f>IF(C34="",INDEX(Matl!$C$15:$K$15,MATCH(D34,Matl!$C$2:$K$2,0)),C34)</f>
        <v>6.2007874015748039E-3</v>
      </c>
      <c r="G34" s="147"/>
      <c r="H34" s="208" t="s">
        <v>151</v>
      </c>
      <c r="I34" s="149"/>
      <c r="J34" s="149"/>
      <c r="K34" s="148"/>
      <c r="W34" s="48">
        <f t="shared" si="3"/>
        <v>0</v>
      </c>
      <c r="X34" s="48"/>
      <c r="Y34" s="48"/>
      <c r="Z34" s="48"/>
      <c r="AA34" s="48">
        <f t="shared" si="4"/>
        <v>1</v>
      </c>
      <c r="AB34" s="48">
        <f>IF(B34="","",IF(OR(D34=CV14,D34=CV16,D34=CV17,D34=CV18,D34=CV20)=TRUE,0.5,1))</f>
        <v>1</v>
      </c>
      <c r="AC34" s="51">
        <f t="shared" si="5"/>
        <v>6.2007874015748039E-3</v>
      </c>
      <c r="AD34" s="77">
        <f t="shared" si="6"/>
        <v>0</v>
      </c>
      <c r="AE34" s="77">
        <f>IF(D34="",0,SUM(F15:F34))</f>
        <v>0.11781496062992124</v>
      </c>
      <c r="AF34" s="77">
        <f>IF(D34="",0,SUM(F16:F50)/2-AE34)</f>
        <v>-5.5807086614173218E-2</v>
      </c>
      <c r="AG34" s="77">
        <f t="shared" si="7"/>
        <v>-4.9606299212598418E-2</v>
      </c>
      <c r="AH34" s="77">
        <f>IF(D34="",0,(AE34+AE33)/2-SUM(F16:F50)/2)</f>
        <v>5.2706692913385825E-2</v>
      </c>
      <c r="AI34" s="58">
        <f ca="1">IF(D34="",0,INDEX(INDIRECT(CW32),MATCH(AI14,Matl!$B$3:$B$17,0),MATCH(D34,Matl!$D$2:$K$2,0)))</f>
        <v>18590067.030412</v>
      </c>
      <c r="AJ34" s="58">
        <f ca="1">IF(D34="",0,INDEX(INDIRECT(CW32),MATCH(AJ14,Matl!$B$3:$B$17,0),MATCH(D34,Matl!$D$2:$K$2,0)))</f>
        <v>1519995.4942399999</v>
      </c>
      <c r="AK34" s="58">
        <f ca="1">IF(D34="",0,INDEX(INDIRECT(CW32),MATCH(AK14,Matl!$B$3:$B$15,0),MATCH(D34,Matl!$D$2:$K$2,0)))</f>
        <v>0.31900000000000001</v>
      </c>
      <c r="AL34" s="80">
        <f t="shared" ca="1" si="8"/>
        <v>2.6082668872002123E-2</v>
      </c>
      <c r="AM34" s="58">
        <f ca="1">IF(D34="",0,INDEX(INDIRECT(CW32),MATCH(AM14,Matl!$B$3:$B$15,0),MATCH(D34,Matl!$D$2:$K$2,0)))</f>
        <v>650059.14171599993</v>
      </c>
      <c r="AN34" s="81">
        <f ca="1">IF(D34="",0,INDEX(INDIRECT(CW32),MATCH(AN14,Matl!$B$3:$B$15,0),MATCH(D34,Matl!$D$2:$K$2,0)))</f>
        <v>290365.55147599999</v>
      </c>
      <c r="AO34" s="81">
        <f ca="1">IF(D34="",0,INDEX(INDIRECT(CW32),MATCH(AO14,Matl!$B$3:$B$15,0),MATCH(D34,Matl!$D$2:$K$2,0)))</f>
        <v>1885.4905939999999</v>
      </c>
      <c r="AP34" s="81">
        <f ca="1">IF(D34="",0,INDEX(INDIRECT(CW32),MATCH(AP14,Matl!$B$3:$B$15,0),MATCH(D34,Matl!$D$2:$K$2,0)))</f>
        <v>90068.435297999997</v>
      </c>
      <c r="AQ34" s="81">
        <f ca="1">IF(D34="",0,INDEX(INDIRECT(CW32),MATCH(AQ14,Matl!$B$3:$B$15,0),MATCH(D34,Matl!$D$2:$K$2,0)))</f>
        <v>10877.83035</v>
      </c>
      <c r="AR34" s="81">
        <f ca="1">IF(D34="",0,INDEX(INDIRECT(CW32),MATCH(AR14,Matl!$B$3:$B$15,0),MATCH(D34,Matl!$D$2:$K$2,0)))</f>
        <v>9137.3774940000003</v>
      </c>
      <c r="AS34" s="58"/>
      <c r="AT34" s="58"/>
      <c r="AU34" s="82">
        <f t="shared" ca="1" si="9"/>
        <v>18746041.053699207</v>
      </c>
      <c r="AV34" s="76">
        <f t="shared" ca="1" si="10"/>
        <v>1532748.5312369722</v>
      </c>
      <c r="AW34" s="76">
        <f t="shared" ca="1" si="11"/>
        <v>488946.78146459418</v>
      </c>
      <c r="AX34" s="76">
        <f t="shared" ca="1" si="12"/>
        <v>488946.78146459413</v>
      </c>
      <c r="AY34" s="61">
        <v>0</v>
      </c>
      <c r="AZ34" s="61">
        <v>0</v>
      </c>
      <c r="BA34" s="61">
        <v>0</v>
      </c>
      <c r="BB34" s="61">
        <v>0</v>
      </c>
      <c r="BC34" s="62">
        <f t="shared" ca="1" si="13"/>
        <v>650059.14171599993</v>
      </c>
      <c r="BD34" s="63"/>
      <c r="BE34" s="82">
        <f t="shared" ca="1" si="14"/>
        <v>18746041.053699207</v>
      </c>
      <c r="BF34" s="76">
        <f t="shared" ca="1" si="15"/>
        <v>1532748.5312369722</v>
      </c>
      <c r="BG34" s="76">
        <f t="shared" ca="1" si="16"/>
        <v>488946.78146459418</v>
      </c>
      <c r="BH34" s="76">
        <f t="shared" ca="1" si="17"/>
        <v>488946.78146459418</v>
      </c>
      <c r="BI34" s="76">
        <f t="shared" ca="1" si="48"/>
        <v>0</v>
      </c>
      <c r="BJ34" s="76">
        <f t="shared" ca="1" si="18"/>
        <v>0</v>
      </c>
      <c r="BK34" s="76">
        <f t="shared" ca="1" si="19"/>
        <v>0</v>
      </c>
      <c r="BL34" s="76">
        <f t="shared" ca="1" si="20"/>
        <v>0</v>
      </c>
      <c r="BM34" s="83">
        <f t="shared" ca="1" si="49"/>
        <v>650059.14171599993</v>
      </c>
      <c r="BN34" s="84"/>
      <c r="BO34" s="82">
        <f t="shared" ca="1" si="21"/>
        <v>116240.2151951821</v>
      </c>
      <c r="BP34" s="76">
        <f t="shared" ca="1" si="22"/>
        <v>9504.2477822765013</v>
      </c>
      <c r="BQ34" s="76">
        <f t="shared" ca="1" si="23"/>
        <v>3031.8550425462045</v>
      </c>
      <c r="BR34" s="76">
        <f t="shared" ca="1" si="24"/>
        <v>3031.8550425462045</v>
      </c>
      <c r="BS34" s="76">
        <f t="shared" ca="1" si="25"/>
        <v>0</v>
      </c>
      <c r="BT34" s="76">
        <f t="shared" ca="1" si="26"/>
        <v>0</v>
      </c>
      <c r="BU34" s="76">
        <f t="shared" ca="1" si="27"/>
        <v>0</v>
      </c>
      <c r="BV34" s="76">
        <f t="shared" ca="1" si="28"/>
        <v>0</v>
      </c>
      <c r="BW34" s="83">
        <f t="shared" ca="1" si="29"/>
        <v>4030.8785362311023</v>
      </c>
      <c r="BX34" s="84"/>
      <c r="BY34" s="76">
        <f t="shared" ca="1" si="30"/>
        <v>6126.6373264783479</v>
      </c>
      <c r="BZ34" s="76">
        <f t="shared" ca="1" si="31"/>
        <v>500.93746923317582</v>
      </c>
      <c r="CA34" s="76">
        <f t="shared" ca="1" si="32"/>
        <v>159.79905268538312</v>
      </c>
      <c r="CB34" s="76">
        <f t="shared" ca="1" si="33"/>
        <v>159.79905268538312</v>
      </c>
      <c r="CC34" s="76">
        <f t="shared" ca="1" si="34"/>
        <v>0</v>
      </c>
      <c r="CD34" s="76">
        <f t="shared" ca="1" si="35"/>
        <v>0</v>
      </c>
      <c r="CE34" s="76">
        <f t="shared" ca="1" si="36"/>
        <v>0</v>
      </c>
      <c r="CF34" s="76">
        <f t="shared" ca="1" si="37"/>
        <v>0</v>
      </c>
      <c r="CG34" s="76">
        <f t="shared" ca="1" si="38"/>
        <v>212.45427718029089</v>
      </c>
      <c r="CH34" s="84"/>
      <c r="CI34" s="85">
        <f t="shared" ca="1" si="39"/>
        <v>323.28724289904852</v>
      </c>
      <c r="CJ34" s="86">
        <f t="shared" ca="1" si="40"/>
        <v>26.433210367016933</v>
      </c>
      <c r="CK34" s="86">
        <f t="shared" ca="1" si="41"/>
        <v>8.4321941070784021</v>
      </c>
      <c r="CL34" s="86">
        <f t="shared" ca="1" si="42"/>
        <v>8.4321941070784021</v>
      </c>
      <c r="CM34" s="86">
        <f t="shared" ca="1" si="43"/>
        <v>0</v>
      </c>
      <c r="CN34" s="86">
        <f t="shared" ca="1" si="44"/>
        <v>0</v>
      </c>
      <c r="CO34" s="86">
        <f t="shared" ca="1" si="45"/>
        <v>0</v>
      </c>
      <c r="CP34" s="86">
        <f t="shared" ca="1" si="46"/>
        <v>0</v>
      </c>
      <c r="CQ34" s="87">
        <f t="shared" ca="1" si="47"/>
        <v>11.210677872980378</v>
      </c>
      <c r="CR34" s="61">
        <f ca="1">IF(D34="","",INDEX(INDIRECT(CW32),MATCH(CR14,Matl!$B$3:$B$29,0),MATCH(D34,Matl!$D$2:$K$2,0)))</f>
        <v>3000</v>
      </c>
      <c r="CS34" s="48">
        <f ca="1">IF(D34="","",INDEX(INDIRECT(CW32),MATCH(CS14,Matl!$B$3:$B$29,0),MATCH(D34,Matl!$D$2:$K$2,0)))</f>
        <v>4500</v>
      </c>
      <c r="DA34" s="51"/>
      <c r="DB34" s="51"/>
      <c r="DC34" s="51"/>
      <c r="DD34" s="51"/>
      <c r="DE34" s="51"/>
      <c r="DF34" s="51"/>
      <c r="DG34" s="51"/>
      <c r="DH34" s="51"/>
      <c r="DI34" s="51"/>
      <c r="DJ34" s="89"/>
      <c r="DN34" s="88"/>
      <c r="DO34" s="108"/>
      <c r="DR34" s="88"/>
      <c r="DS34" s="108"/>
      <c r="DU34" s="76"/>
      <c r="DV34" s="76"/>
      <c r="DW34" s="76"/>
      <c r="DY34" s="110"/>
      <c r="DZ34" s="110"/>
      <c r="EA34" s="110"/>
      <c r="EC34" s="90"/>
      <c r="ED34" s="90"/>
      <c r="EE34" s="90"/>
      <c r="EF34" s="90"/>
      <c r="EG34" s="90"/>
      <c r="EH34" s="90"/>
      <c r="EI34" s="90"/>
      <c r="EJ34" s="90"/>
      <c r="EK34" s="90"/>
      <c r="EL34" s="90"/>
      <c r="EM34" s="90"/>
      <c r="EN34" s="90"/>
      <c r="EO34" s="90"/>
      <c r="EP34" s="90"/>
      <c r="EQ34" s="90"/>
      <c r="ER34" s="76"/>
      <c r="ES34" s="76"/>
      <c r="ET34" s="76"/>
      <c r="EU34" s="76"/>
      <c r="EV34" s="76"/>
      <c r="EW34" s="76"/>
      <c r="EX34" s="76"/>
      <c r="EY34" s="76"/>
      <c r="EZ34" s="137"/>
      <c r="FA34" s="137"/>
      <c r="FB34" s="61"/>
      <c r="FC34" s="138"/>
      <c r="FD34" s="61"/>
      <c r="FE34" s="61"/>
      <c r="FF34" s="91"/>
      <c r="FI34" s="91"/>
      <c r="FK34" s="92"/>
      <c r="FL34" s="92"/>
      <c r="FM34" s="92"/>
      <c r="FN34" s="92"/>
      <c r="FO34" s="92"/>
      <c r="FP34" s="92"/>
      <c r="FQ34" s="92"/>
      <c r="FS34" s="106"/>
      <c r="FT34" s="65"/>
      <c r="FU34" s="65"/>
      <c r="FV34" s="65"/>
      <c r="FW34" s="65"/>
      <c r="FX34" s="65"/>
      <c r="FY34" s="65"/>
      <c r="FZ34" s="106"/>
      <c r="GA34" s="90"/>
      <c r="GB34" s="65"/>
      <c r="GC34" s="61"/>
      <c r="GD34" s="94"/>
      <c r="GE34" s="65"/>
      <c r="GF34" s="94"/>
      <c r="GG34" s="106"/>
      <c r="GH34" s="90"/>
      <c r="GI34" s="65"/>
      <c r="GJ34" s="90"/>
      <c r="GK34" s="94"/>
      <c r="GL34" s="90"/>
      <c r="GM34" s="94"/>
      <c r="GO34" s="65"/>
      <c r="GP34" s="96"/>
      <c r="GQ34" s="96"/>
      <c r="GR34" s="96"/>
      <c r="GS34" s="96"/>
      <c r="GT34" s="96"/>
      <c r="GU34" s="96"/>
      <c r="GV34" s="96"/>
    </row>
    <row r="35" spans="1:204" ht="13.8" x14ac:dyDescent="0.3">
      <c r="A35" s="132">
        <v>20</v>
      </c>
      <c r="B35" s="182">
        <v>45</v>
      </c>
      <c r="C35" s="182"/>
      <c r="D35" s="222" t="s">
        <v>52</v>
      </c>
      <c r="E35" s="222"/>
      <c r="F35" s="146">
        <f>IF(C35="",INDEX(Matl!$C$15:$K$15,MATCH(D35,Matl!$C$2:$K$2,0)),C35)</f>
        <v>6.2007874015748039E-3</v>
      </c>
      <c r="G35" s="147"/>
      <c r="H35" s="204">
        <f t="shared" ref="H35:J37" ca="1" si="52">CY40</f>
        <v>1621.3293698091077</v>
      </c>
      <c r="I35" s="205">
        <f t="shared" ca="1" si="52"/>
        <v>282.77627345241842</v>
      </c>
      <c r="J35" s="206">
        <f t="shared" ca="1" si="52"/>
        <v>160.73893466596172</v>
      </c>
      <c r="K35" s="148"/>
      <c r="W35" s="48">
        <f t="shared" si="3"/>
        <v>6.2007874015748039E-3</v>
      </c>
      <c r="X35" s="48"/>
      <c r="Y35" s="48"/>
      <c r="Z35" s="48"/>
      <c r="AA35" s="48">
        <f t="shared" si="4"/>
        <v>0</v>
      </c>
      <c r="AB35" s="48">
        <f>IF(B35="","",IF(OR(D35=CV14,D35=CV16,D35=CV17,D35=CV18,D35=CV20)=TRUE,0.5,1))</f>
        <v>1</v>
      </c>
      <c r="AC35" s="51">
        <f t="shared" si="5"/>
        <v>0</v>
      </c>
      <c r="AD35" s="77">
        <f t="shared" si="6"/>
        <v>0.78539816339744828</v>
      </c>
      <c r="AE35" s="77">
        <f>IF(D35="",0,SUM(F15:F35))</f>
        <v>0.12401574803149604</v>
      </c>
      <c r="AF35" s="77">
        <f>IF(D35="",0,SUM(F16:F50)/2-AE35)</f>
        <v>-6.2007874015748018E-2</v>
      </c>
      <c r="AG35" s="77">
        <f t="shared" si="7"/>
        <v>-5.5807086614173218E-2</v>
      </c>
      <c r="AH35" s="77">
        <f>IF(D35="",0,(AE35+AE34)/2-SUM(F16:F50)/2)</f>
        <v>5.8907480314960611E-2</v>
      </c>
      <c r="AI35" s="58">
        <f ca="1">IF(D35="",0,INDEX(INDIRECT(CW32),MATCH(AI14,Matl!$B$3:$B$17,0),MATCH(D35,Matl!$D$2:$K$2,0)))</f>
        <v>18590067.030412</v>
      </c>
      <c r="AJ35" s="58">
        <f ca="1">IF(D35="",0,INDEX(INDIRECT(CW32),MATCH(AJ14,Matl!$B$3:$B$17,0),MATCH(D35,Matl!$D$2:$K$2,0)))</f>
        <v>1519995.4942399999</v>
      </c>
      <c r="AK35" s="58">
        <f ca="1">IF(D35="",0,INDEX(INDIRECT(CW32),MATCH(AK14,Matl!$B$3:$B$15,0),MATCH(D35,Matl!$D$2:$K$2,0)))</f>
        <v>0.31900000000000001</v>
      </c>
      <c r="AL35" s="80">
        <f t="shared" ca="1" si="8"/>
        <v>2.6082668872002123E-2</v>
      </c>
      <c r="AM35" s="58">
        <f ca="1">IF(D35="",0,INDEX(INDIRECT(CW32),MATCH(AM14,Matl!$B$3:$B$15,0),MATCH(D35,Matl!$D$2:$K$2,0)))</f>
        <v>650059.14171599993</v>
      </c>
      <c r="AN35" s="81">
        <f ca="1">IF(D35="",0,INDEX(INDIRECT(CW32),MATCH(AN14,Matl!$B$3:$B$15,0),MATCH(D35,Matl!$D$2:$K$2,0)))</f>
        <v>290365.55147599999</v>
      </c>
      <c r="AO35" s="81">
        <f ca="1">IF(D35="",0,INDEX(INDIRECT(CW32),MATCH(AO14,Matl!$B$3:$B$15,0),MATCH(D35,Matl!$D$2:$K$2,0)))</f>
        <v>1885.4905939999999</v>
      </c>
      <c r="AP35" s="81">
        <f ca="1">IF(D35="",0,INDEX(INDIRECT(CW32),MATCH(AP14,Matl!$B$3:$B$15,0),MATCH(D35,Matl!$D$2:$K$2,0)))</f>
        <v>90068.435297999997</v>
      </c>
      <c r="AQ35" s="81">
        <f ca="1">IF(D35="",0,INDEX(INDIRECT(CW32),MATCH(AQ14,Matl!$B$3:$B$15,0),MATCH(D35,Matl!$D$2:$K$2,0)))</f>
        <v>10877.83035</v>
      </c>
      <c r="AR35" s="81">
        <f ca="1">IF(D35="",0,INDEX(INDIRECT(CW32),MATCH(AR14,Matl!$B$3:$B$15,0),MATCH(D35,Matl!$D$2:$K$2,0)))</f>
        <v>9137.3774940000003</v>
      </c>
      <c r="AS35" s="58"/>
      <c r="AT35" s="58"/>
      <c r="AU35" s="82">
        <f t="shared" ca="1" si="9"/>
        <v>18746041.053699207</v>
      </c>
      <c r="AV35" s="76">
        <f t="shared" ca="1" si="10"/>
        <v>1532748.5312369722</v>
      </c>
      <c r="AW35" s="76">
        <f t="shared" ca="1" si="11"/>
        <v>488946.78146459418</v>
      </c>
      <c r="AX35" s="76">
        <f t="shared" ca="1" si="12"/>
        <v>488946.78146459413</v>
      </c>
      <c r="AY35" s="61">
        <v>0</v>
      </c>
      <c r="AZ35" s="61">
        <v>0</v>
      </c>
      <c r="BA35" s="61">
        <v>0</v>
      </c>
      <c r="BB35" s="61">
        <v>0</v>
      </c>
      <c r="BC35" s="62">
        <f t="shared" ca="1" si="13"/>
        <v>650059.14171599993</v>
      </c>
      <c r="BD35" s="63"/>
      <c r="BE35" s="82">
        <f t="shared" ca="1" si="14"/>
        <v>5964229.928682344</v>
      </c>
      <c r="BF35" s="76">
        <f t="shared" ca="1" si="15"/>
        <v>5964229.9286823403</v>
      </c>
      <c r="BG35" s="76">
        <f t="shared" ca="1" si="16"/>
        <v>4664111.6452503419</v>
      </c>
      <c r="BH35" s="76">
        <f t="shared" ca="1" si="17"/>
        <v>4664111.6452503419</v>
      </c>
      <c r="BI35" s="76">
        <f t="shared" ca="1" si="48"/>
        <v>4303323.1306155594</v>
      </c>
      <c r="BJ35" s="76">
        <f t="shared" ca="1" si="18"/>
        <v>4303323.1306155594</v>
      </c>
      <c r="BK35" s="76">
        <f t="shared" ca="1" si="19"/>
        <v>4303323.1306155575</v>
      </c>
      <c r="BL35" s="76">
        <f t="shared" ca="1" si="20"/>
        <v>4303323.1306155575</v>
      </c>
      <c r="BM35" s="83">
        <f t="shared" ca="1" si="49"/>
        <v>4825224.0055017481</v>
      </c>
      <c r="BN35" s="84"/>
      <c r="BO35" s="82">
        <f t="shared" ca="1" si="21"/>
        <v>36982.92180186887</v>
      </c>
      <c r="BP35" s="76">
        <f t="shared" ca="1" si="22"/>
        <v>36982.921801868848</v>
      </c>
      <c r="BQ35" s="76">
        <f t="shared" ca="1" si="23"/>
        <v>28921.16472940665</v>
      </c>
      <c r="BR35" s="76">
        <f t="shared" ca="1" si="24"/>
        <v>28921.16472940665</v>
      </c>
      <c r="BS35" s="76">
        <f t="shared" ca="1" si="25"/>
        <v>26683.991853226406</v>
      </c>
      <c r="BT35" s="76">
        <f t="shared" ca="1" si="26"/>
        <v>26683.991853226406</v>
      </c>
      <c r="BU35" s="76">
        <f t="shared" ca="1" si="27"/>
        <v>26683.991853226395</v>
      </c>
      <c r="BV35" s="76">
        <f t="shared" ca="1" si="28"/>
        <v>26683.991853226395</v>
      </c>
      <c r="BW35" s="83">
        <f t="shared" ca="1" si="29"/>
        <v>29920.188223091551</v>
      </c>
      <c r="BX35" s="84"/>
      <c r="BY35" s="76">
        <f t="shared" ca="1" si="30"/>
        <v>2178.5707380333183</v>
      </c>
      <c r="BZ35" s="76">
        <f t="shared" ca="1" si="31"/>
        <v>2178.570738033317</v>
      </c>
      <c r="CA35" s="76">
        <f t="shared" ca="1" si="32"/>
        <v>1703.6729419832557</v>
      </c>
      <c r="CB35" s="76">
        <f t="shared" ca="1" si="33"/>
        <v>1703.6729419832557</v>
      </c>
      <c r="CC35" s="76">
        <f t="shared" ca="1" si="34"/>
        <v>1571.8867248185038</v>
      </c>
      <c r="CD35" s="76">
        <f t="shared" ca="1" si="35"/>
        <v>1571.8867248185038</v>
      </c>
      <c r="CE35" s="76">
        <f t="shared" ca="1" si="36"/>
        <v>1571.8867248185031</v>
      </c>
      <c r="CF35" s="76">
        <f t="shared" ca="1" si="37"/>
        <v>1571.8867248185031</v>
      </c>
      <c r="CG35" s="76">
        <f t="shared" ca="1" si="38"/>
        <v>1762.5228987716819</v>
      </c>
      <c r="CH35" s="84"/>
      <c r="CI35" s="85">
        <f t="shared" ca="1" si="39"/>
        <v>128.45261158462091</v>
      </c>
      <c r="CJ35" s="86">
        <f t="shared" ca="1" si="40"/>
        <v>128.45261158462083</v>
      </c>
      <c r="CK35" s="86">
        <f t="shared" ca="1" si="41"/>
        <v>100.45174795717679</v>
      </c>
      <c r="CL35" s="86">
        <f t="shared" ca="1" si="42"/>
        <v>100.45174795717679</v>
      </c>
      <c r="CM35" s="86">
        <f t="shared" ca="1" si="43"/>
        <v>92.68138573292687</v>
      </c>
      <c r="CN35" s="86">
        <f t="shared" ca="1" si="44"/>
        <v>92.68138573292687</v>
      </c>
      <c r="CO35" s="86">
        <f t="shared" ca="1" si="45"/>
        <v>92.681385732926842</v>
      </c>
      <c r="CP35" s="86">
        <f t="shared" ca="1" si="46"/>
        <v>92.681385732926842</v>
      </c>
      <c r="CQ35" s="87">
        <f t="shared" ca="1" si="47"/>
        <v>103.92165164639079</v>
      </c>
      <c r="CR35" s="61">
        <f ca="1">IF(D35="","",INDEX(INDIRECT(CW32),MATCH(CR14,Matl!$B$3:$B$29,0),MATCH(D35,Matl!$D$2:$K$2,0)))</f>
        <v>3000</v>
      </c>
      <c r="CS35" s="48">
        <f ca="1">IF(D35="","",INDEX(INDIRECT(CW32),MATCH(CS14,Matl!$B$3:$B$29,0),MATCH(D35,Matl!$D$2:$K$2,0)))</f>
        <v>4500</v>
      </c>
      <c r="CV35" s="61"/>
      <c r="CW35" s="61"/>
      <c r="CX35" s="61"/>
      <c r="CY35" s="61"/>
      <c r="CZ35" s="61"/>
      <c r="DA35" s="51"/>
      <c r="DB35" s="51"/>
      <c r="DC35" s="51"/>
      <c r="DD35" s="51"/>
      <c r="DE35" s="51"/>
      <c r="DF35" s="51"/>
      <c r="DG35" s="51"/>
      <c r="DH35" s="51"/>
      <c r="DI35" s="51"/>
      <c r="DJ35" s="89"/>
      <c r="DN35" s="88"/>
      <c r="DO35" s="108"/>
      <c r="DR35" s="88"/>
      <c r="DS35" s="108"/>
      <c r="DU35" s="76"/>
      <c r="DV35" s="76"/>
      <c r="DW35" s="76"/>
      <c r="DY35" s="110"/>
      <c r="DZ35" s="110"/>
      <c r="EA35" s="110"/>
      <c r="EC35" s="90"/>
      <c r="ED35" s="90"/>
      <c r="EE35" s="90"/>
      <c r="EF35" s="90"/>
      <c r="EG35" s="90"/>
      <c r="EH35" s="90"/>
      <c r="EI35" s="90"/>
      <c r="EJ35" s="90"/>
      <c r="EK35" s="90"/>
      <c r="EL35" s="90"/>
      <c r="EM35" s="90"/>
      <c r="EN35" s="90"/>
      <c r="EO35" s="90"/>
      <c r="EP35" s="90"/>
      <c r="EQ35" s="90"/>
      <c r="ER35" s="76"/>
      <c r="ES35" s="76"/>
      <c r="ET35" s="76"/>
      <c r="EU35" s="76"/>
      <c r="EV35" s="76"/>
      <c r="EW35" s="76"/>
      <c r="EX35" s="76"/>
      <c r="EY35" s="76"/>
      <c r="EZ35" s="137"/>
      <c r="FA35" s="137"/>
      <c r="FB35" s="61"/>
      <c r="FC35" s="138"/>
      <c r="FD35" s="61"/>
      <c r="FE35" s="61"/>
      <c r="FF35" s="91"/>
      <c r="FI35" s="91"/>
      <c r="FK35" s="92"/>
      <c r="FL35" s="92"/>
      <c r="FM35" s="92"/>
      <c r="FN35" s="92"/>
      <c r="FO35" s="92"/>
      <c r="FP35" s="92"/>
      <c r="FQ35" s="92"/>
      <c r="FS35" s="106"/>
      <c r="FT35" s="61"/>
      <c r="FU35" s="65"/>
      <c r="FV35" s="61"/>
      <c r="FW35" s="65"/>
      <c r="FX35" s="65"/>
      <c r="FY35" s="65"/>
      <c r="FZ35" s="106"/>
      <c r="GA35" s="61"/>
      <c r="GB35" s="65"/>
      <c r="GC35" s="61"/>
      <c r="GD35" s="94"/>
      <c r="GE35" s="61"/>
      <c r="GF35" s="94"/>
      <c r="GG35" s="106"/>
      <c r="GH35" s="90"/>
      <c r="GI35" s="65"/>
      <c r="GJ35" s="94"/>
      <c r="GK35" s="94"/>
      <c r="GL35" s="94"/>
      <c r="GM35" s="94"/>
      <c r="GO35" s="65"/>
      <c r="GP35" s="96"/>
      <c r="GQ35" s="96"/>
      <c r="GR35" s="96"/>
      <c r="GS35" s="96"/>
      <c r="GT35" s="96"/>
      <c r="GU35" s="96"/>
      <c r="GV35" s="96"/>
    </row>
    <row r="36" spans="1:204" ht="13.8" x14ac:dyDescent="0.3">
      <c r="A36" s="132">
        <v>21</v>
      </c>
      <c r="B36" s="182"/>
      <c r="C36" s="182"/>
      <c r="D36" s="222"/>
      <c r="E36" s="222"/>
      <c r="F36" s="146">
        <f>IF(C36="",INDEX(Matl!$C$15:$K$15,MATCH(D36,Matl!$C$2:$K$2,0)),C36)</f>
        <v>0</v>
      </c>
      <c r="G36" s="147"/>
      <c r="H36" s="82">
        <f t="shared" ca="1" si="52"/>
        <v>282.77627345241842</v>
      </c>
      <c r="I36" s="76">
        <f t="shared" ca="1" si="52"/>
        <v>1191.7802167443244</v>
      </c>
      <c r="J36" s="83">
        <f t="shared" ca="1" si="52"/>
        <v>160.73893466596172</v>
      </c>
      <c r="K36" s="148"/>
      <c r="W36" s="48">
        <f t="shared" si="3"/>
        <v>0</v>
      </c>
      <c r="X36" s="48"/>
      <c r="Y36" s="48"/>
      <c r="Z36" s="48"/>
      <c r="AA36" s="48" t="str">
        <f t="shared" si="4"/>
        <v/>
      </c>
      <c r="AB36" s="48" t="str">
        <f>IF(B36="","",IF(OR(D36=CV14,D36=CV16,D36=CV17,D36=CV18,D36=CV20)=TRUE,0.5,1))</f>
        <v/>
      </c>
      <c r="AC36" s="51" t="str">
        <f t="shared" si="5"/>
        <v/>
      </c>
      <c r="AD36" s="77">
        <f t="shared" si="6"/>
        <v>0</v>
      </c>
      <c r="AE36" s="77">
        <f>IF(D36="",0,SUM(F15:F36))</f>
        <v>0</v>
      </c>
      <c r="AF36" s="77">
        <f>IF(D36="",0,SUM(F16:F50)/2-AE36)</f>
        <v>0</v>
      </c>
      <c r="AG36" s="77">
        <f t="shared" si="7"/>
        <v>0</v>
      </c>
      <c r="AH36" s="77">
        <f>IF(D36="",0,(AE36+AE35)/2-SUM(F16:F50)/2)</f>
        <v>0</v>
      </c>
      <c r="AI36" s="58">
        <f ca="1">IF(D36="",0,INDEX(INDIRECT(CW32),MATCH(AI14,Matl!$B$3:$B$17,0),MATCH(D36,Matl!$D$2:$K$2,0)))</f>
        <v>0</v>
      </c>
      <c r="AJ36" s="58">
        <f ca="1">IF(D36="",0,INDEX(INDIRECT(CW32),MATCH(AJ14,Matl!$B$3:$B$17,0),MATCH(D36,Matl!$D$2:$K$2,0)))</f>
        <v>0</v>
      </c>
      <c r="AK36" s="58">
        <f ca="1">IF(D36="",0,INDEX(INDIRECT(CW32),MATCH(AK14,Matl!$B$3:$B$15,0),MATCH(D36,Matl!$D$2:$K$2,0)))</f>
        <v>0</v>
      </c>
      <c r="AL36" s="80">
        <f t="shared" si="8"/>
        <v>0</v>
      </c>
      <c r="AM36" s="58">
        <f ca="1">IF(D36="",0,INDEX(INDIRECT(CW32),MATCH(AM14,Matl!$B$3:$B$15,0),MATCH(D36,Matl!$D$2:$K$2,0)))</f>
        <v>0</v>
      </c>
      <c r="AN36" s="81">
        <f ca="1">IF(D36="",0,INDEX(INDIRECT(CW32),MATCH(AN14,Matl!$B$3:$B$15,0),MATCH(D36,Matl!$D$2:$K$2,0)))</f>
        <v>0</v>
      </c>
      <c r="AO36" s="81">
        <f ca="1">IF(D36="",0,INDEX(INDIRECT(CW32),MATCH(AO14,Matl!$B$3:$B$15,0),MATCH(D36,Matl!$D$2:$K$2,0)))</f>
        <v>0</v>
      </c>
      <c r="AP36" s="81">
        <f ca="1">IF(D36="",0,INDEX(INDIRECT(CW32),MATCH(AP14,Matl!$B$3:$B$15,0),MATCH(D36,Matl!$D$2:$K$2,0)))</f>
        <v>0</v>
      </c>
      <c r="AQ36" s="81">
        <f ca="1">IF(D36="",0,INDEX(INDIRECT(CW32),MATCH(AQ14,Matl!$B$3:$B$15,0),MATCH(D36,Matl!$D$2:$K$2,0)))</f>
        <v>0</v>
      </c>
      <c r="AR36" s="81">
        <f ca="1">IF(D36="",0,INDEX(INDIRECT(CW32),MATCH(AR14,Matl!$B$3:$B$15,0),MATCH(D36,Matl!$D$2:$K$2,0)))</f>
        <v>0</v>
      </c>
      <c r="AS36" s="58"/>
      <c r="AT36" s="58"/>
      <c r="AU36" s="82">
        <f t="shared" ca="1" si="9"/>
        <v>0</v>
      </c>
      <c r="AV36" s="76">
        <f t="shared" ca="1" si="10"/>
        <v>0</v>
      </c>
      <c r="AW36" s="76">
        <f t="shared" ca="1" si="11"/>
        <v>0</v>
      </c>
      <c r="AX36" s="76">
        <f t="shared" ca="1" si="12"/>
        <v>0</v>
      </c>
      <c r="AY36" s="61">
        <v>0</v>
      </c>
      <c r="AZ36" s="61">
        <v>0</v>
      </c>
      <c r="BA36" s="61">
        <v>0</v>
      </c>
      <c r="BB36" s="61">
        <v>0</v>
      </c>
      <c r="BC36" s="62">
        <f t="shared" ca="1" si="13"/>
        <v>0</v>
      </c>
      <c r="BD36" s="63"/>
      <c r="BE36" s="82">
        <f t="shared" ca="1" si="14"/>
        <v>0</v>
      </c>
      <c r="BF36" s="76">
        <f t="shared" ca="1" si="15"/>
        <v>0</v>
      </c>
      <c r="BG36" s="76">
        <f t="shared" ca="1" si="16"/>
        <v>0</v>
      </c>
      <c r="BH36" s="76">
        <f t="shared" ca="1" si="17"/>
        <v>0</v>
      </c>
      <c r="BI36" s="76">
        <f t="shared" ca="1" si="48"/>
        <v>0</v>
      </c>
      <c r="BJ36" s="76">
        <f t="shared" ca="1" si="18"/>
        <v>0</v>
      </c>
      <c r="BK36" s="76">
        <f t="shared" ca="1" si="19"/>
        <v>0</v>
      </c>
      <c r="BL36" s="76">
        <f t="shared" ca="1" si="20"/>
        <v>0</v>
      </c>
      <c r="BM36" s="83">
        <f t="shared" ca="1" si="49"/>
        <v>0</v>
      </c>
      <c r="BN36" s="84"/>
      <c r="BO36" s="82">
        <f t="shared" ca="1" si="21"/>
        <v>0</v>
      </c>
      <c r="BP36" s="76">
        <f t="shared" ca="1" si="22"/>
        <v>0</v>
      </c>
      <c r="BQ36" s="76">
        <f t="shared" ca="1" si="23"/>
        <v>0</v>
      </c>
      <c r="BR36" s="76">
        <f t="shared" ca="1" si="24"/>
        <v>0</v>
      </c>
      <c r="BS36" s="76">
        <f t="shared" ca="1" si="25"/>
        <v>0</v>
      </c>
      <c r="BT36" s="76">
        <f t="shared" ca="1" si="26"/>
        <v>0</v>
      </c>
      <c r="BU36" s="76">
        <f t="shared" ca="1" si="27"/>
        <v>0</v>
      </c>
      <c r="BV36" s="76">
        <f t="shared" ca="1" si="28"/>
        <v>0</v>
      </c>
      <c r="BW36" s="83">
        <f t="shared" ca="1" si="29"/>
        <v>0</v>
      </c>
      <c r="BX36" s="84"/>
      <c r="BY36" s="76">
        <f t="shared" ca="1" si="30"/>
        <v>0</v>
      </c>
      <c r="BZ36" s="76">
        <f t="shared" ca="1" si="31"/>
        <v>0</v>
      </c>
      <c r="CA36" s="76">
        <f t="shared" ca="1" si="32"/>
        <v>0</v>
      </c>
      <c r="CB36" s="76">
        <f t="shared" ca="1" si="33"/>
        <v>0</v>
      </c>
      <c r="CC36" s="76">
        <f t="shared" ca="1" si="34"/>
        <v>0</v>
      </c>
      <c r="CD36" s="76">
        <f t="shared" ca="1" si="35"/>
        <v>0</v>
      </c>
      <c r="CE36" s="76">
        <f t="shared" ca="1" si="36"/>
        <v>0</v>
      </c>
      <c r="CF36" s="76">
        <f t="shared" ca="1" si="37"/>
        <v>0</v>
      </c>
      <c r="CG36" s="76">
        <f t="shared" ca="1" si="38"/>
        <v>0</v>
      </c>
      <c r="CH36" s="84"/>
      <c r="CI36" s="85">
        <f t="shared" ca="1" si="39"/>
        <v>0</v>
      </c>
      <c r="CJ36" s="86">
        <f t="shared" ca="1" si="40"/>
        <v>0</v>
      </c>
      <c r="CK36" s="86">
        <f t="shared" ca="1" si="41"/>
        <v>0</v>
      </c>
      <c r="CL36" s="86">
        <f t="shared" ca="1" si="42"/>
        <v>0</v>
      </c>
      <c r="CM36" s="86">
        <f t="shared" ca="1" si="43"/>
        <v>0</v>
      </c>
      <c r="CN36" s="86">
        <f t="shared" ca="1" si="44"/>
        <v>0</v>
      </c>
      <c r="CO36" s="86">
        <f t="shared" ca="1" si="45"/>
        <v>0</v>
      </c>
      <c r="CP36" s="86">
        <f t="shared" ca="1" si="46"/>
        <v>0</v>
      </c>
      <c r="CQ36" s="87">
        <f t="shared" ca="1" si="47"/>
        <v>0</v>
      </c>
      <c r="CR36" s="61" t="str">
        <f ca="1">IF(D36="","",INDEX(INDIRECT(CW32),MATCH(CR14,Matl!$B$3:$B$29,0),MATCH(D36,Matl!$D$2:$K$2,0)))</f>
        <v/>
      </c>
      <c r="CS36" s="48" t="str">
        <f ca="1">IF(D36="","",INDEX(INDIRECT(CW32),MATCH(CS14,Matl!$B$3:$B$29,0),MATCH(D36,Matl!$D$2:$K$2,0)))</f>
        <v/>
      </c>
      <c r="CV36" s="61"/>
      <c r="CW36" s="61"/>
      <c r="CX36" s="61"/>
      <c r="CY36" s="61"/>
      <c r="CZ36" s="61"/>
      <c r="DB36" s="51"/>
      <c r="DC36" s="51"/>
      <c r="DD36" s="51"/>
      <c r="DE36" s="51"/>
      <c r="DF36" s="51"/>
      <c r="DG36" s="51"/>
      <c r="DH36" s="51"/>
      <c r="DI36" s="51"/>
      <c r="DJ36" s="89"/>
      <c r="DN36" s="88"/>
      <c r="DO36" s="108"/>
      <c r="DR36" s="88"/>
      <c r="DS36" s="108"/>
      <c r="DU36" s="76"/>
      <c r="DV36" s="76"/>
      <c r="DW36" s="76"/>
      <c r="DY36" s="110"/>
      <c r="DZ36" s="110"/>
      <c r="EA36" s="110"/>
      <c r="EC36" s="90"/>
      <c r="ED36" s="90"/>
      <c r="EE36" s="90"/>
      <c r="EF36" s="90"/>
      <c r="EG36" s="90"/>
      <c r="EH36" s="90"/>
      <c r="EI36" s="90"/>
      <c r="EJ36" s="90"/>
      <c r="EK36" s="90"/>
      <c r="EL36" s="90"/>
      <c r="EM36" s="90"/>
      <c r="EN36" s="90"/>
      <c r="EO36" s="90"/>
      <c r="EP36" s="90"/>
      <c r="EQ36" s="90"/>
      <c r="ER36" s="76"/>
      <c r="ES36" s="76"/>
      <c r="ET36" s="76"/>
      <c r="EU36" s="76"/>
      <c r="EV36" s="76"/>
      <c r="EW36" s="76"/>
      <c r="EX36" s="76"/>
      <c r="EY36" s="76"/>
      <c r="EZ36" s="137"/>
      <c r="FA36" s="137"/>
      <c r="FB36" s="61"/>
      <c r="FC36" s="138"/>
      <c r="FD36" s="61"/>
      <c r="FE36" s="61"/>
      <c r="FF36" s="91"/>
      <c r="FI36" s="91"/>
      <c r="FK36" s="92"/>
      <c r="FL36" s="92"/>
      <c r="FM36" s="92"/>
      <c r="FN36" s="92"/>
      <c r="FO36" s="92"/>
      <c r="FP36" s="92"/>
      <c r="FQ36" s="92"/>
      <c r="FS36" s="106"/>
      <c r="FT36" s="61"/>
      <c r="FU36" s="65"/>
      <c r="FV36" s="61"/>
      <c r="FW36" s="65"/>
      <c r="FX36" s="65"/>
      <c r="FY36" s="65"/>
      <c r="FZ36" s="106"/>
      <c r="GA36" s="61"/>
      <c r="GB36" s="65"/>
      <c r="GC36" s="93"/>
      <c r="GD36" s="94"/>
      <c r="GE36" s="61"/>
      <c r="GF36" s="94"/>
      <c r="GG36" s="106"/>
      <c r="GH36" s="90"/>
      <c r="GI36" s="65"/>
      <c r="GJ36" s="94"/>
      <c r="GK36" s="94"/>
      <c r="GL36" s="94"/>
      <c r="GM36" s="94"/>
      <c r="GN36" s="106"/>
      <c r="GO36" s="65"/>
      <c r="GP36" s="96"/>
      <c r="GQ36" s="96"/>
      <c r="GR36" s="96"/>
      <c r="GS36" s="96"/>
      <c r="GT36" s="96"/>
      <c r="GU36" s="96"/>
      <c r="GV36" s="96"/>
    </row>
    <row r="37" spans="1:204" ht="13.8" x14ac:dyDescent="0.3">
      <c r="A37" s="132">
        <v>22</v>
      </c>
      <c r="B37" s="182"/>
      <c r="C37" s="182"/>
      <c r="D37" s="222"/>
      <c r="E37" s="222"/>
      <c r="F37" s="146">
        <f>IF(C37="",INDEX(Matl!$C$15:$K$15,MATCH(D37,Matl!$C$2:$K$2,0)),C37)</f>
        <v>0</v>
      </c>
      <c r="G37" s="147"/>
      <c r="H37" s="207">
        <f t="shared" ca="1" si="52"/>
        <v>160.73893466596172</v>
      </c>
      <c r="I37" s="97">
        <f t="shared" ca="1" si="52"/>
        <v>160.73893466596172</v>
      </c>
      <c r="J37" s="98">
        <f t="shared" ca="1" si="52"/>
        <v>308.38441876027071</v>
      </c>
      <c r="K37" s="148"/>
      <c r="W37" s="48">
        <f t="shared" si="3"/>
        <v>0</v>
      </c>
      <c r="X37" s="48"/>
      <c r="Y37" s="48"/>
      <c r="Z37" s="48"/>
      <c r="AA37" s="48" t="str">
        <f t="shared" si="4"/>
        <v/>
      </c>
      <c r="AB37" s="48" t="str">
        <f>IF(B37="","",IF(OR(D37=CV14,D37=CV16,D37=CV17,D37=CV18,D37=CV20)=TRUE,0.5,1))</f>
        <v/>
      </c>
      <c r="AC37" s="51" t="str">
        <f t="shared" si="5"/>
        <v/>
      </c>
      <c r="AD37" s="77">
        <f t="shared" si="6"/>
        <v>0</v>
      </c>
      <c r="AE37" s="77">
        <f>IF(D37="",0,SUM(F15:F37))</f>
        <v>0</v>
      </c>
      <c r="AF37" s="77">
        <f>IF(D37="",0,SUM(F16:F50)/2-AE37)</f>
        <v>0</v>
      </c>
      <c r="AG37" s="77">
        <f t="shared" si="7"/>
        <v>0</v>
      </c>
      <c r="AH37" s="77">
        <f>IF(D37="",0,(AE37+AE36)/2-SUM(F16:F50)/2)</f>
        <v>0</v>
      </c>
      <c r="AI37" s="58">
        <f ca="1">IF(D37="",0,INDEX(INDIRECT(CW32),MATCH(AI14,Matl!$B$3:$B$17,0),MATCH(D37,Matl!$D$2:$K$2,0)))</f>
        <v>0</v>
      </c>
      <c r="AJ37" s="58">
        <f ca="1">IF(D37="",0,INDEX(INDIRECT(CW32),MATCH(AJ14,Matl!$B$3:$B$17,0),MATCH(D37,Matl!$D$2:$K$2,0)))</f>
        <v>0</v>
      </c>
      <c r="AK37" s="58">
        <f ca="1">IF(D37="",0,INDEX(INDIRECT(CW32),MATCH(AK14,Matl!$B$3:$B$15,0),MATCH(D37,Matl!$D$2:$K$2,0)))</f>
        <v>0</v>
      </c>
      <c r="AL37" s="80">
        <f t="shared" si="8"/>
        <v>0</v>
      </c>
      <c r="AM37" s="58">
        <f ca="1">IF(D37="",0,INDEX(INDIRECT(CW32),MATCH(AM14,Matl!$B$3:$B$15,0),MATCH(D37,Matl!$D$2:$K$2,0)))</f>
        <v>0</v>
      </c>
      <c r="AN37" s="81">
        <f ca="1">IF(D37="",0,INDEX(INDIRECT(CW32),MATCH(AN14,Matl!$B$3:$B$15,0),MATCH(D37,Matl!$D$2:$K$2,0)))</f>
        <v>0</v>
      </c>
      <c r="AO37" s="81">
        <f ca="1">IF(D37="",0,INDEX(INDIRECT(CW32),MATCH(AO14,Matl!$B$3:$B$15,0),MATCH(D37,Matl!$D$2:$K$2,0)))</f>
        <v>0</v>
      </c>
      <c r="AP37" s="81">
        <f ca="1">IF(D37="",0,INDEX(INDIRECT(CW32),MATCH(AP14,Matl!$B$3:$B$15,0),MATCH(D37,Matl!$D$2:$K$2,0)))</f>
        <v>0</v>
      </c>
      <c r="AQ37" s="81">
        <f ca="1">IF(D37="",0,INDEX(INDIRECT(CW32),MATCH(AQ14,Matl!$B$3:$B$15,0),MATCH(D37,Matl!$D$2:$K$2,0)))</f>
        <v>0</v>
      </c>
      <c r="AR37" s="81">
        <f ca="1">IF(D37="",0,INDEX(INDIRECT(CW32),MATCH(AR14,Matl!$B$3:$B$15,0),MATCH(D37,Matl!$D$2:$K$2,0)))</f>
        <v>0</v>
      </c>
      <c r="AS37" s="58"/>
      <c r="AT37" s="58"/>
      <c r="AU37" s="82">
        <f t="shared" ca="1" si="9"/>
        <v>0</v>
      </c>
      <c r="AV37" s="76">
        <f t="shared" ca="1" si="10"/>
        <v>0</v>
      </c>
      <c r="AW37" s="76">
        <f t="shared" ca="1" si="11"/>
        <v>0</v>
      </c>
      <c r="AX37" s="76">
        <f t="shared" ca="1" si="12"/>
        <v>0</v>
      </c>
      <c r="AY37" s="61">
        <v>0</v>
      </c>
      <c r="AZ37" s="61">
        <v>0</v>
      </c>
      <c r="BA37" s="61">
        <v>0</v>
      </c>
      <c r="BB37" s="61">
        <v>0</v>
      </c>
      <c r="BC37" s="62">
        <f t="shared" ca="1" si="13"/>
        <v>0</v>
      </c>
      <c r="BD37" s="63"/>
      <c r="BE37" s="82">
        <f t="shared" ca="1" si="14"/>
        <v>0</v>
      </c>
      <c r="BF37" s="76">
        <f t="shared" ca="1" si="15"/>
        <v>0</v>
      </c>
      <c r="BG37" s="76">
        <f t="shared" ca="1" si="16"/>
        <v>0</v>
      </c>
      <c r="BH37" s="76">
        <f t="shared" ca="1" si="17"/>
        <v>0</v>
      </c>
      <c r="BI37" s="76">
        <f t="shared" ca="1" si="48"/>
        <v>0</v>
      </c>
      <c r="BJ37" s="76">
        <f t="shared" ca="1" si="18"/>
        <v>0</v>
      </c>
      <c r="BK37" s="76">
        <f t="shared" ca="1" si="19"/>
        <v>0</v>
      </c>
      <c r="BL37" s="76">
        <f t="shared" ca="1" si="20"/>
        <v>0</v>
      </c>
      <c r="BM37" s="83">
        <f t="shared" ca="1" si="49"/>
        <v>0</v>
      </c>
      <c r="BN37" s="84"/>
      <c r="BO37" s="82">
        <f t="shared" ca="1" si="21"/>
        <v>0</v>
      </c>
      <c r="BP37" s="76">
        <f t="shared" ca="1" si="22"/>
        <v>0</v>
      </c>
      <c r="BQ37" s="76">
        <f t="shared" ca="1" si="23"/>
        <v>0</v>
      </c>
      <c r="BR37" s="76">
        <f t="shared" ca="1" si="24"/>
        <v>0</v>
      </c>
      <c r="BS37" s="76">
        <f t="shared" ca="1" si="25"/>
        <v>0</v>
      </c>
      <c r="BT37" s="76">
        <f t="shared" ca="1" si="26"/>
        <v>0</v>
      </c>
      <c r="BU37" s="76">
        <f t="shared" ca="1" si="27"/>
        <v>0</v>
      </c>
      <c r="BV37" s="76">
        <f t="shared" ca="1" si="28"/>
        <v>0</v>
      </c>
      <c r="BW37" s="83">
        <f t="shared" ca="1" si="29"/>
        <v>0</v>
      </c>
      <c r="BX37" s="84"/>
      <c r="BY37" s="76">
        <f t="shared" ca="1" si="30"/>
        <v>0</v>
      </c>
      <c r="BZ37" s="76">
        <f t="shared" ca="1" si="31"/>
        <v>0</v>
      </c>
      <c r="CA37" s="76">
        <f t="shared" ca="1" si="32"/>
        <v>0</v>
      </c>
      <c r="CB37" s="76">
        <f t="shared" ca="1" si="33"/>
        <v>0</v>
      </c>
      <c r="CC37" s="76">
        <f t="shared" ca="1" si="34"/>
        <v>0</v>
      </c>
      <c r="CD37" s="76">
        <f t="shared" ca="1" si="35"/>
        <v>0</v>
      </c>
      <c r="CE37" s="76">
        <f t="shared" ca="1" si="36"/>
        <v>0</v>
      </c>
      <c r="CF37" s="76">
        <f t="shared" ca="1" si="37"/>
        <v>0</v>
      </c>
      <c r="CG37" s="76">
        <f t="shared" ca="1" si="38"/>
        <v>0</v>
      </c>
      <c r="CH37" s="84"/>
      <c r="CI37" s="85">
        <f t="shared" ca="1" si="39"/>
        <v>0</v>
      </c>
      <c r="CJ37" s="86">
        <f t="shared" ca="1" si="40"/>
        <v>0</v>
      </c>
      <c r="CK37" s="86">
        <f t="shared" ca="1" si="41"/>
        <v>0</v>
      </c>
      <c r="CL37" s="86">
        <f t="shared" ca="1" si="42"/>
        <v>0</v>
      </c>
      <c r="CM37" s="86">
        <f t="shared" ca="1" si="43"/>
        <v>0</v>
      </c>
      <c r="CN37" s="86">
        <f t="shared" ca="1" si="44"/>
        <v>0</v>
      </c>
      <c r="CO37" s="86">
        <f t="shared" ca="1" si="45"/>
        <v>0</v>
      </c>
      <c r="CP37" s="86">
        <f t="shared" ca="1" si="46"/>
        <v>0</v>
      </c>
      <c r="CQ37" s="87">
        <f t="shared" ca="1" si="47"/>
        <v>0</v>
      </c>
      <c r="CR37" s="61" t="str">
        <f ca="1">IF(D37="","",INDEX(INDIRECT(CW32),MATCH(CR14,Matl!$B$3:$B$29,0),MATCH(D37,Matl!$D$2:$K$2,0)))</f>
        <v/>
      </c>
      <c r="CS37" s="48" t="str">
        <f ca="1">IF(D37="","",INDEX(INDIRECT(CW32),MATCH(CS14,Matl!$B$3:$B$29,0),MATCH(D37,Matl!$D$2:$K$2,0)))</f>
        <v/>
      </c>
      <c r="CV37" s="76">
        <f ca="1">BO14</f>
        <v>1208844.7390663289</v>
      </c>
      <c r="CW37" s="76">
        <f ca="1">BQ14</f>
        <v>215972.95897208672</v>
      </c>
      <c r="CX37" s="76">
        <f ca="1">BS14</f>
        <v>53367.983706452782</v>
      </c>
      <c r="CY37" s="117">
        <f ca="1">BY14</f>
        <v>1.6825651982799172E-11</v>
      </c>
      <c r="CZ37" s="118">
        <f ca="1">CA14</f>
        <v>2.0463630789890885E-12</v>
      </c>
      <c r="DA37" s="119">
        <f ca="1">CC14</f>
        <v>0</v>
      </c>
      <c r="DB37" s="51"/>
      <c r="DC37" s="102"/>
      <c r="DD37" s="102"/>
      <c r="DE37" s="102"/>
      <c r="DF37" s="102"/>
      <c r="DG37" s="102"/>
      <c r="DH37" s="102"/>
      <c r="DI37" s="51"/>
      <c r="DJ37" s="89"/>
      <c r="DN37" s="88"/>
      <c r="DO37" s="108"/>
      <c r="DR37" s="88"/>
      <c r="DS37" s="108"/>
      <c r="DU37" s="76"/>
      <c r="DV37" s="76"/>
      <c r="DW37" s="76"/>
      <c r="DY37" s="110"/>
      <c r="DZ37" s="110"/>
      <c r="EA37" s="110"/>
      <c r="EC37" s="90"/>
      <c r="ED37" s="90"/>
      <c r="EE37" s="90"/>
      <c r="EF37" s="90"/>
      <c r="EG37" s="90"/>
      <c r="EH37" s="90"/>
      <c r="EI37" s="90"/>
      <c r="EJ37" s="90"/>
      <c r="EK37" s="90"/>
      <c r="EL37" s="90"/>
      <c r="EM37" s="90"/>
      <c r="EN37" s="90"/>
      <c r="EO37" s="90"/>
      <c r="EP37" s="90"/>
      <c r="EQ37" s="90"/>
      <c r="ER37" s="76"/>
      <c r="ES37" s="76"/>
      <c r="ET37" s="76"/>
      <c r="EU37" s="76"/>
      <c r="EV37" s="76"/>
      <c r="EW37" s="76"/>
      <c r="EX37" s="76"/>
      <c r="EY37" s="76"/>
      <c r="EZ37" s="137"/>
      <c r="FA37" s="137"/>
      <c r="FB37" s="61"/>
      <c r="FC37" s="138"/>
      <c r="FD37" s="61"/>
      <c r="FE37" s="61"/>
      <c r="FF37" s="91"/>
      <c r="FI37" s="91"/>
      <c r="FK37" s="92"/>
      <c r="FL37" s="92"/>
      <c r="FM37" s="92"/>
      <c r="FN37" s="92"/>
      <c r="FO37" s="92"/>
      <c r="FP37" s="92"/>
      <c r="FQ37" s="92"/>
      <c r="FS37" s="106"/>
      <c r="FT37" s="65"/>
      <c r="FU37" s="65"/>
      <c r="FV37" s="65"/>
      <c r="FW37" s="65"/>
      <c r="FX37" s="65"/>
      <c r="FY37" s="65"/>
      <c r="FZ37" s="106"/>
      <c r="GA37" s="90"/>
      <c r="GB37" s="65"/>
      <c r="GC37" s="61"/>
      <c r="GD37" s="94"/>
      <c r="GE37" s="65"/>
      <c r="GF37" s="94"/>
      <c r="GG37" s="106"/>
      <c r="GH37" s="90"/>
      <c r="GI37" s="65"/>
      <c r="GJ37" s="90"/>
      <c r="GK37" s="94"/>
      <c r="GL37" s="90"/>
      <c r="GM37" s="94"/>
      <c r="GO37" s="65"/>
      <c r="GP37" s="96"/>
      <c r="GQ37" s="96"/>
      <c r="GR37" s="96"/>
      <c r="GS37" s="96"/>
      <c r="GT37" s="96"/>
      <c r="GU37" s="96"/>
      <c r="GV37" s="96"/>
    </row>
    <row r="38" spans="1:204" ht="13.8" x14ac:dyDescent="0.3">
      <c r="A38" s="132">
        <v>23</v>
      </c>
      <c r="B38" s="182"/>
      <c r="C38" s="182"/>
      <c r="D38" s="222"/>
      <c r="E38" s="222"/>
      <c r="F38" s="146">
        <f>IF(C38="",INDEX(Matl!$C$15:$K$15,MATCH(D38,Matl!$C$2:$K$2,0)),C38)</f>
        <v>0</v>
      </c>
      <c r="G38" s="147"/>
      <c r="H38" s="149"/>
      <c r="I38" s="149"/>
      <c r="J38" s="149"/>
      <c r="K38" s="148"/>
      <c r="W38" s="48">
        <f t="shared" si="3"/>
        <v>0</v>
      </c>
      <c r="X38" s="48"/>
      <c r="Y38" s="48"/>
      <c r="Z38" s="48"/>
      <c r="AA38" s="48" t="str">
        <f t="shared" si="4"/>
        <v/>
      </c>
      <c r="AB38" s="48" t="str">
        <f>IF(B38="","",IF(OR(D38=CV14,D38=CV16,D38=CV17,D38=CV18,D38=CV20)=TRUE,0.5,1))</f>
        <v/>
      </c>
      <c r="AC38" s="51" t="str">
        <f t="shared" si="5"/>
        <v/>
      </c>
      <c r="AD38" s="77">
        <f t="shared" si="6"/>
        <v>0</v>
      </c>
      <c r="AE38" s="77">
        <f>IF(D38="",0,SUM(F15:F38))</f>
        <v>0</v>
      </c>
      <c r="AF38" s="77">
        <f>IF(D38="",0,SUM(F16:F50)/2-AE38)</f>
        <v>0</v>
      </c>
      <c r="AG38" s="77">
        <f t="shared" si="7"/>
        <v>0</v>
      </c>
      <c r="AH38" s="77">
        <f>IF(D38="",0,(AE38+AE37)/2-SUM(F16:F50)/2)</f>
        <v>0</v>
      </c>
      <c r="AI38" s="58">
        <f ca="1">IF(D38="",0,INDEX(INDIRECT(CW32),MATCH(AI14,Matl!$B$3:$B$17,0),MATCH(D38,Matl!$D$2:$K$2,0)))</f>
        <v>0</v>
      </c>
      <c r="AJ38" s="58">
        <f ca="1">IF(D38="",0,INDEX(INDIRECT(CW32),MATCH(AJ14,Matl!$B$3:$B$17,0),MATCH(D38,Matl!$D$2:$K$2,0)))</f>
        <v>0</v>
      </c>
      <c r="AK38" s="58">
        <f ca="1">IF(D38="",0,INDEX(INDIRECT(CW32),MATCH(AK14,Matl!$B$3:$B$15,0),MATCH(D38,Matl!$D$2:$K$2,0)))</f>
        <v>0</v>
      </c>
      <c r="AL38" s="80">
        <f t="shared" si="8"/>
        <v>0</v>
      </c>
      <c r="AM38" s="58">
        <f ca="1">IF(D38="",0,INDEX(INDIRECT(CW32),MATCH(AM14,Matl!$B$3:$B$15,0),MATCH(D38,Matl!$D$2:$K$2,0)))</f>
        <v>0</v>
      </c>
      <c r="AN38" s="81">
        <f ca="1">IF(D38="",0,INDEX(INDIRECT(CW32),MATCH(AN14,Matl!$B$3:$B$15,0),MATCH(D38,Matl!$D$2:$K$2,0)))</f>
        <v>0</v>
      </c>
      <c r="AO38" s="81">
        <f ca="1">IF(D38="",0,INDEX(INDIRECT(CW32),MATCH(AO14,Matl!$B$3:$B$15,0),MATCH(D38,Matl!$D$2:$K$2,0)))</f>
        <v>0</v>
      </c>
      <c r="AP38" s="81">
        <f ca="1">IF(D38="",0,INDEX(INDIRECT(CW32),MATCH(AP14,Matl!$B$3:$B$15,0),MATCH(D38,Matl!$D$2:$K$2,0)))</f>
        <v>0</v>
      </c>
      <c r="AQ38" s="81">
        <f ca="1">IF(D38="",0,INDEX(INDIRECT(CW32),MATCH(AQ14,Matl!$B$3:$B$15,0),MATCH(D38,Matl!$D$2:$K$2,0)))</f>
        <v>0</v>
      </c>
      <c r="AR38" s="81">
        <f ca="1">IF(D38="",0,INDEX(INDIRECT(CW32),MATCH(AR14,Matl!$B$3:$B$15,0),MATCH(D38,Matl!$D$2:$K$2,0)))</f>
        <v>0</v>
      </c>
      <c r="AS38" s="58"/>
      <c r="AT38" s="58"/>
      <c r="AU38" s="82">
        <f t="shared" ca="1" si="9"/>
        <v>0</v>
      </c>
      <c r="AV38" s="76">
        <f t="shared" ca="1" si="10"/>
        <v>0</v>
      </c>
      <c r="AW38" s="76">
        <f t="shared" ca="1" si="11"/>
        <v>0</v>
      </c>
      <c r="AX38" s="76">
        <f t="shared" ca="1" si="12"/>
        <v>0</v>
      </c>
      <c r="AY38" s="61">
        <v>0</v>
      </c>
      <c r="AZ38" s="61">
        <v>0</v>
      </c>
      <c r="BA38" s="61">
        <v>0</v>
      </c>
      <c r="BB38" s="61">
        <v>0</v>
      </c>
      <c r="BC38" s="62">
        <f t="shared" ca="1" si="13"/>
        <v>0</v>
      </c>
      <c r="BD38" s="63"/>
      <c r="BE38" s="82">
        <f t="shared" ca="1" si="14"/>
        <v>0</v>
      </c>
      <c r="BF38" s="76">
        <f t="shared" ca="1" si="15"/>
        <v>0</v>
      </c>
      <c r="BG38" s="76">
        <f t="shared" ca="1" si="16"/>
        <v>0</v>
      </c>
      <c r="BH38" s="76">
        <f t="shared" ca="1" si="17"/>
        <v>0</v>
      </c>
      <c r="BI38" s="76">
        <f t="shared" ca="1" si="48"/>
        <v>0</v>
      </c>
      <c r="BJ38" s="76">
        <f t="shared" ca="1" si="18"/>
        <v>0</v>
      </c>
      <c r="BK38" s="76">
        <f t="shared" ca="1" si="19"/>
        <v>0</v>
      </c>
      <c r="BL38" s="76">
        <f t="shared" ca="1" si="20"/>
        <v>0</v>
      </c>
      <c r="BM38" s="83">
        <f t="shared" ca="1" si="49"/>
        <v>0</v>
      </c>
      <c r="BN38" s="84"/>
      <c r="BO38" s="82">
        <f t="shared" ca="1" si="21"/>
        <v>0</v>
      </c>
      <c r="BP38" s="76">
        <f t="shared" ca="1" si="22"/>
        <v>0</v>
      </c>
      <c r="BQ38" s="76">
        <f t="shared" ca="1" si="23"/>
        <v>0</v>
      </c>
      <c r="BR38" s="76">
        <f t="shared" ca="1" si="24"/>
        <v>0</v>
      </c>
      <c r="BS38" s="76">
        <f t="shared" ca="1" si="25"/>
        <v>0</v>
      </c>
      <c r="BT38" s="76">
        <f t="shared" ca="1" si="26"/>
        <v>0</v>
      </c>
      <c r="BU38" s="76">
        <f t="shared" ca="1" si="27"/>
        <v>0</v>
      </c>
      <c r="BV38" s="76">
        <f t="shared" ca="1" si="28"/>
        <v>0</v>
      </c>
      <c r="BW38" s="83">
        <f t="shared" ca="1" si="29"/>
        <v>0</v>
      </c>
      <c r="BX38" s="84"/>
      <c r="BY38" s="76">
        <f t="shared" ca="1" si="30"/>
        <v>0</v>
      </c>
      <c r="BZ38" s="76">
        <f t="shared" ca="1" si="31"/>
        <v>0</v>
      </c>
      <c r="CA38" s="76">
        <f t="shared" ca="1" si="32"/>
        <v>0</v>
      </c>
      <c r="CB38" s="76">
        <f t="shared" ca="1" si="33"/>
        <v>0</v>
      </c>
      <c r="CC38" s="76">
        <f t="shared" ca="1" si="34"/>
        <v>0</v>
      </c>
      <c r="CD38" s="76">
        <f t="shared" ca="1" si="35"/>
        <v>0</v>
      </c>
      <c r="CE38" s="76">
        <f t="shared" ca="1" si="36"/>
        <v>0</v>
      </c>
      <c r="CF38" s="76">
        <f t="shared" ca="1" si="37"/>
        <v>0</v>
      </c>
      <c r="CG38" s="76">
        <f t="shared" ca="1" si="38"/>
        <v>0</v>
      </c>
      <c r="CH38" s="84"/>
      <c r="CI38" s="85">
        <f t="shared" ca="1" si="39"/>
        <v>0</v>
      </c>
      <c r="CJ38" s="86">
        <f t="shared" ca="1" si="40"/>
        <v>0</v>
      </c>
      <c r="CK38" s="86">
        <f t="shared" ca="1" si="41"/>
        <v>0</v>
      </c>
      <c r="CL38" s="86">
        <f t="shared" ca="1" si="42"/>
        <v>0</v>
      </c>
      <c r="CM38" s="86">
        <f t="shared" ca="1" si="43"/>
        <v>0</v>
      </c>
      <c r="CN38" s="86">
        <f t="shared" ca="1" si="44"/>
        <v>0</v>
      </c>
      <c r="CO38" s="86">
        <f t="shared" ca="1" si="45"/>
        <v>0</v>
      </c>
      <c r="CP38" s="86">
        <f t="shared" ca="1" si="46"/>
        <v>0</v>
      </c>
      <c r="CQ38" s="87">
        <f t="shared" ca="1" si="47"/>
        <v>0</v>
      </c>
      <c r="CR38" s="61" t="str">
        <f ca="1">IF(D38="","",INDEX(INDIRECT(CW32),MATCH(CR14,Matl!$B$3:$B$29,0),MATCH(D38,Matl!$D$2:$K$2,0)))</f>
        <v/>
      </c>
      <c r="CS38" s="48" t="str">
        <f ca="1">IF(D38="","",INDEX(INDIRECT(CW32),MATCH(CS14,Matl!$B$3:$B$29,0),MATCH(D38,Matl!$D$2:$K$2,0)))</f>
        <v/>
      </c>
      <c r="CV38" s="76">
        <f ca="1">BR14</f>
        <v>215972.95897208672</v>
      </c>
      <c r="CW38" s="76">
        <f ca="1">BP14</f>
        <v>995372.80424051755</v>
      </c>
      <c r="CX38" s="76">
        <f ca="1">BV14</f>
        <v>53367.983706452804</v>
      </c>
      <c r="CY38" s="120">
        <f ca="1">CB14</f>
        <v>2.0463630789890885E-12</v>
      </c>
      <c r="CZ38" s="121">
        <f ca="1">BZ14</f>
        <v>1.8189894035458565E-12</v>
      </c>
      <c r="DA38" s="122">
        <f ca="1">CF14</f>
        <v>6.8212102632969618E-13</v>
      </c>
      <c r="DB38" s="51"/>
      <c r="DC38" s="102"/>
      <c r="DD38" s="102"/>
      <c r="DE38" s="102"/>
      <c r="DF38" s="102"/>
      <c r="DG38" s="102"/>
      <c r="DH38" s="102"/>
      <c r="DI38" s="51"/>
      <c r="DJ38" s="89"/>
      <c r="DN38" s="88"/>
      <c r="DO38" s="108"/>
      <c r="DR38" s="88"/>
      <c r="DS38" s="108"/>
      <c r="DU38" s="76"/>
      <c r="DV38" s="76"/>
      <c r="DW38" s="76"/>
      <c r="DY38" s="110"/>
      <c r="DZ38" s="110"/>
      <c r="EA38" s="110"/>
      <c r="EC38" s="90"/>
      <c r="ED38" s="90"/>
      <c r="EE38" s="90"/>
      <c r="EF38" s="90"/>
      <c r="EG38" s="90"/>
      <c r="EH38" s="90"/>
      <c r="EI38" s="90"/>
      <c r="EJ38" s="90"/>
      <c r="EK38" s="90"/>
      <c r="EL38" s="90"/>
      <c r="EM38" s="90"/>
      <c r="EN38" s="90"/>
      <c r="EO38" s="90"/>
      <c r="EP38" s="90"/>
      <c r="EQ38" s="90"/>
      <c r="ER38" s="76"/>
      <c r="ES38" s="76"/>
      <c r="ET38" s="76"/>
      <c r="EU38" s="76"/>
      <c r="EV38" s="76"/>
      <c r="EW38" s="76"/>
      <c r="EX38" s="76"/>
      <c r="EY38" s="76"/>
      <c r="EZ38" s="137"/>
      <c r="FA38" s="137"/>
      <c r="FB38" s="61"/>
      <c r="FC38" s="138"/>
      <c r="FD38" s="61"/>
      <c r="FE38" s="61"/>
      <c r="FF38" s="91"/>
      <c r="FI38" s="91"/>
      <c r="FK38" s="92"/>
      <c r="FL38" s="92"/>
      <c r="FM38" s="92"/>
      <c r="FN38" s="92"/>
      <c r="FO38" s="92"/>
      <c r="FP38" s="92"/>
      <c r="FQ38" s="92"/>
      <c r="FS38" s="106"/>
      <c r="FT38" s="65"/>
      <c r="FU38" s="65"/>
      <c r="FV38" s="65"/>
      <c r="FW38" s="65"/>
      <c r="FX38" s="65"/>
      <c r="FY38" s="65"/>
      <c r="FZ38" s="106"/>
      <c r="GA38" s="90"/>
      <c r="GB38" s="65"/>
      <c r="GC38" s="61"/>
      <c r="GD38" s="94"/>
      <c r="GE38" s="65"/>
      <c r="GF38" s="94"/>
      <c r="GG38" s="106"/>
      <c r="GH38" s="90"/>
      <c r="GI38" s="65"/>
      <c r="GJ38" s="90"/>
      <c r="GK38" s="94"/>
      <c r="GL38" s="90"/>
      <c r="GM38" s="94"/>
      <c r="GO38" s="65"/>
      <c r="GP38" s="96"/>
      <c r="GQ38" s="96"/>
      <c r="GR38" s="96"/>
      <c r="GS38" s="96"/>
      <c r="GT38" s="96"/>
      <c r="GU38" s="96"/>
      <c r="GV38" s="96"/>
    </row>
    <row r="39" spans="1:204" ht="13.8" x14ac:dyDescent="0.3">
      <c r="A39" s="132">
        <v>24</v>
      </c>
      <c r="B39" s="182"/>
      <c r="C39" s="182"/>
      <c r="D39" s="222"/>
      <c r="E39" s="222"/>
      <c r="F39" s="146">
        <f>IF(C39="",INDEX(Matl!$C$15:$K$15,MATCH(D39,Matl!$C$2:$K$2,0)),C39)</f>
        <v>0</v>
      </c>
      <c r="G39" s="147"/>
      <c r="H39" s="149"/>
      <c r="I39" s="149"/>
      <c r="J39" s="149"/>
      <c r="K39" s="148"/>
      <c r="W39" s="48">
        <f t="shared" si="3"/>
        <v>0</v>
      </c>
      <c r="X39" s="48"/>
      <c r="Y39" s="48"/>
      <c r="Z39" s="48"/>
      <c r="AA39" s="48" t="str">
        <f t="shared" si="4"/>
        <v/>
      </c>
      <c r="AB39" s="48" t="str">
        <f>IF(B39="","",IF(OR(D39=CV14,D39=CV16,D39=CV17,D39=CV18,D39=CV20)=TRUE,0.5,1))</f>
        <v/>
      </c>
      <c r="AC39" s="51" t="str">
        <f t="shared" si="5"/>
        <v/>
      </c>
      <c r="AD39" s="77">
        <f t="shared" si="6"/>
        <v>0</v>
      </c>
      <c r="AE39" s="77">
        <f>IF(D39="",0,SUM(F15:F39))</f>
        <v>0</v>
      </c>
      <c r="AF39" s="77">
        <f>IF(D39="",0,SUM(F16:F50)/2-AE39)</f>
        <v>0</v>
      </c>
      <c r="AG39" s="77">
        <f t="shared" si="7"/>
        <v>0</v>
      </c>
      <c r="AH39" s="77">
        <f>IF(D39="",0,(AE39+AE38)/2-SUM(F16:F50)/2)</f>
        <v>0</v>
      </c>
      <c r="AI39" s="58">
        <f ca="1">IF(D39="",0,INDEX(INDIRECT(CW32),MATCH(AI14,Matl!$B$3:$B$17,0),MATCH(D39,Matl!$D$2:$K$2,0)))</f>
        <v>0</v>
      </c>
      <c r="AJ39" s="58">
        <f ca="1">IF(D39="",0,INDEX(INDIRECT(CW32),MATCH(AJ14,Matl!$B$3:$B$17,0),MATCH(D39,Matl!$D$2:$K$2,0)))</f>
        <v>0</v>
      </c>
      <c r="AK39" s="58">
        <f ca="1">IF(D39="",0,INDEX(INDIRECT(CW32),MATCH(AK14,Matl!$B$3:$B$15,0),MATCH(D39,Matl!$D$2:$K$2,0)))</f>
        <v>0</v>
      </c>
      <c r="AL39" s="80">
        <f t="shared" si="8"/>
        <v>0</v>
      </c>
      <c r="AM39" s="58">
        <f ca="1">IF(D39="",0,INDEX(INDIRECT(CW32),MATCH(AM14,Matl!$B$3:$B$15,0),MATCH(D39,Matl!$D$2:$K$2,0)))</f>
        <v>0</v>
      </c>
      <c r="AN39" s="81">
        <f ca="1">IF(D39="",0,INDEX(INDIRECT(CW32),MATCH(AN14,Matl!$B$3:$B$15,0),MATCH(D39,Matl!$D$2:$K$2,0)))</f>
        <v>0</v>
      </c>
      <c r="AO39" s="81">
        <f ca="1">IF(D39="",0,INDEX(INDIRECT(CW32),MATCH(AO14,Matl!$B$3:$B$15,0),MATCH(D39,Matl!$D$2:$K$2,0)))</f>
        <v>0</v>
      </c>
      <c r="AP39" s="81">
        <f ca="1">IF(D39="",0,INDEX(INDIRECT(CW32),MATCH(AP14,Matl!$B$3:$B$15,0),MATCH(D39,Matl!$D$2:$K$2,0)))</f>
        <v>0</v>
      </c>
      <c r="AQ39" s="81">
        <f ca="1">IF(D39="",0,INDEX(INDIRECT(CW32),MATCH(AQ14,Matl!$B$3:$B$15,0),MATCH(D39,Matl!$D$2:$K$2,0)))</f>
        <v>0</v>
      </c>
      <c r="AR39" s="81">
        <f ca="1">IF(D39="",0,INDEX(INDIRECT(CW32),MATCH(AR14,Matl!$B$3:$B$15,0),MATCH(D39,Matl!$D$2:$K$2,0)))</f>
        <v>0</v>
      </c>
      <c r="AS39" s="58"/>
      <c r="AT39" s="58"/>
      <c r="AU39" s="82">
        <f t="shared" ca="1" si="9"/>
        <v>0</v>
      </c>
      <c r="AV39" s="76">
        <f t="shared" ca="1" si="10"/>
        <v>0</v>
      </c>
      <c r="AW39" s="76">
        <f t="shared" ca="1" si="11"/>
        <v>0</v>
      </c>
      <c r="AX39" s="76">
        <f t="shared" ca="1" si="12"/>
        <v>0</v>
      </c>
      <c r="AY39" s="61">
        <v>0</v>
      </c>
      <c r="AZ39" s="61">
        <v>0</v>
      </c>
      <c r="BA39" s="61">
        <v>0</v>
      </c>
      <c r="BB39" s="61">
        <v>0</v>
      </c>
      <c r="BC39" s="62">
        <f t="shared" ca="1" si="13"/>
        <v>0</v>
      </c>
      <c r="BD39" s="63"/>
      <c r="BE39" s="82">
        <f t="shared" ca="1" si="14"/>
        <v>0</v>
      </c>
      <c r="BF39" s="76">
        <f t="shared" ca="1" si="15"/>
        <v>0</v>
      </c>
      <c r="BG39" s="76">
        <f t="shared" ca="1" si="16"/>
        <v>0</v>
      </c>
      <c r="BH39" s="76">
        <f t="shared" ca="1" si="17"/>
        <v>0</v>
      </c>
      <c r="BI39" s="76">
        <f t="shared" ca="1" si="48"/>
        <v>0</v>
      </c>
      <c r="BJ39" s="76">
        <f t="shared" ca="1" si="18"/>
        <v>0</v>
      </c>
      <c r="BK39" s="76">
        <f t="shared" ca="1" si="19"/>
        <v>0</v>
      </c>
      <c r="BL39" s="76">
        <f t="shared" ca="1" si="20"/>
        <v>0</v>
      </c>
      <c r="BM39" s="83">
        <f t="shared" ca="1" si="49"/>
        <v>0</v>
      </c>
      <c r="BN39" s="84"/>
      <c r="BO39" s="82">
        <f t="shared" ca="1" si="21"/>
        <v>0</v>
      </c>
      <c r="BP39" s="76">
        <f t="shared" ca="1" si="22"/>
        <v>0</v>
      </c>
      <c r="BQ39" s="76">
        <f t="shared" ca="1" si="23"/>
        <v>0</v>
      </c>
      <c r="BR39" s="76">
        <f t="shared" ca="1" si="24"/>
        <v>0</v>
      </c>
      <c r="BS39" s="76">
        <f t="shared" ca="1" si="25"/>
        <v>0</v>
      </c>
      <c r="BT39" s="76">
        <f t="shared" ca="1" si="26"/>
        <v>0</v>
      </c>
      <c r="BU39" s="76">
        <f t="shared" ca="1" si="27"/>
        <v>0</v>
      </c>
      <c r="BV39" s="76">
        <f t="shared" ca="1" si="28"/>
        <v>0</v>
      </c>
      <c r="BW39" s="83">
        <f t="shared" ca="1" si="29"/>
        <v>0</v>
      </c>
      <c r="BX39" s="84"/>
      <c r="BY39" s="76">
        <f t="shared" ca="1" si="30"/>
        <v>0</v>
      </c>
      <c r="BZ39" s="76">
        <f t="shared" ca="1" si="31"/>
        <v>0</v>
      </c>
      <c r="CA39" s="76">
        <f t="shared" ca="1" si="32"/>
        <v>0</v>
      </c>
      <c r="CB39" s="76">
        <f t="shared" ca="1" si="33"/>
        <v>0</v>
      </c>
      <c r="CC39" s="76">
        <f t="shared" ca="1" si="34"/>
        <v>0</v>
      </c>
      <c r="CD39" s="76">
        <f t="shared" ca="1" si="35"/>
        <v>0</v>
      </c>
      <c r="CE39" s="76">
        <f t="shared" ca="1" si="36"/>
        <v>0</v>
      </c>
      <c r="CF39" s="76">
        <f t="shared" ca="1" si="37"/>
        <v>0</v>
      </c>
      <c r="CG39" s="76">
        <f t="shared" ca="1" si="38"/>
        <v>0</v>
      </c>
      <c r="CH39" s="84"/>
      <c r="CI39" s="85">
        <f t="shared" ca="1" si="39"/>
        <v>0</v>
      </c>
      <c r="CJ39" s="86">
        <f t="shared" ca="1" si="40"/>
        <v>0</v>
      </c>
      <c r="CK39" s="86">
        <f t="shared" ca="1" si="41"/>
        <v>0</v>
      </c>
      <c r="CL39" s="86">
        <f t="shared" ca="1" si="42"/>
        <v>0</v>
      </c>
      <c r="CM39" s="86">
        <f t="shared" ca="1" si="43"/>
        <v>0</v>
      </c>
      <c r="CN39" s="86">
        <f t="shared" ca="1" si="44"/>
        <v>0</v>
      </c>
      <c r="CO39" s="86">
        <f t="shared" ca="1" si="45"/>
        <v>0</v>
      </c>
      <c r="CP39" s="86">
        <f t="shared" ca="1" si="46"/>
        <v>0</v>
      </c>
      <c r="CQ39" s="87">
        <f t="shared" ca="1" si="47"/>
        <v>0</v>
      </c>
      <c r="CR39" s="61" t="str">
        <f ca="1">IF(D39="","",INDEX(INDIRECT(CW32),MATCH(CR14,Matl!$B$3:$B$29,0),MATCH(D39,Matl!$D$2:$K$2,0)))</f>
        <v/>
      </c>
      <c r="CS39" s="48" t="str">
        <f ca="1">IF(D39="","",INDEX(INDIRECT(CW32),MATCH(CS14,Matl!$B$3:$B$29,0),MATCH(D39,Matl!$D$2:$K$2,0)))</f>
        <v/>
      </c>
      <c r="CV39" s="76">
        <f ca="1">BT14</f>
        <v>53367.983706452782</v>
      </c>
      <c r="CW39" s="76">
        <f ca="1">BU14</f>
        <v>53367.983706452804</v>
      </c>
      <c r="CX39" s="76">
        <f ca="1">BW14</f>
        <v>235953.42884578463</v>
      </c>
      <c r="CY39" s="123">
        <f ca="1">CD14</f>
        <v>0</v>
      </c>
      <c r="CZ39" s="124">
        <f ca="1">CE14</f>
        <v>6.8212102632969618E-13</v>
      </c>
      <c r="DA39" s="125">
        <f ca="1">CG14</f>
        <v>1.8189894035458565E-12</v>
      </c>
      <c r="DB39" s="51"/>
      <c r="DC39" s="102"/>
      <c r="DD39" s="102"/>
      <c r="DE39" s="102"/>
      <c r="DF39" s="102"/>
      <c r="DG39" s="102"/>
      <c r="DH39" s="102"/>
      <c r="DI39" s="51"/>
      <c r="DJ39" s="89"/>
      <c r="DN39" s="88"/>
      <c r="DO39" s="108"/>
      <c r="DR39" s="88"/>
      <c r="DS39" s="108"/>
      <c r="DU39" s="76"/>
      <c r="DV39" s="76"/>
      <c r="DW39" s="76"/>
      <c r="DY39" s="110"/>
      <c r="DZ39" s="110"/>
      <c r="EA39" s="110"/>
      <c r="EC39" s="90"/>
      <c r="ED39" s="90"/>
      <c r="EE39" s="90"/>
      <c r="EF39" s="90"/>
      <c r="EG39" s="90"/>
      <c r="EH39" s="90"/>
      <c r="EI39" s="90"/>
      <c r="EJ39" s="90"/>
      <c r="EK39" s="90"/>
      <c r="EL39" s="90"/>
      <c r="EM39" s="90"/>
      <c r="EN39" s="90"/>
      <c r="EO39" s="90"/>
      <c r="EP39" s="90"/>
      <c r="EQ39" s="90"/>
      <c r="ER39" s="76"/>
      <c r="ES39" s="76"/>
      <c r="ET39" s="76"/>
      <c r="EU39" s="76"/>
      <c r="EV39" s="76"/>
      <c r="EW39" s="76"/>
      <c r="EX39" s="76"/>
      <c r="EY39" s="76"/>
      <c r="EZ39" s="137"/>
      <c r="FA39" s="137"/>
      <c r="FB39" s="61"/>
      <c r="FC39" s="138"/>
      <c r="FD39" s="61"/>
      <c r="FE39" s="61"/>
      <c r="FF39" s="91"/>
      <c r="FI39" s="91"/>
      <c r="FK39" s="92"/>
      <c r="FL39" s="92"/>
      <c r="FM39" s="92"/>
      <c r="FN39" s="92"/>
      <c r="FO39" s="92"/>
      <c r="FP39" s="92"/>
      <c r="FQ39" s="92"/>
      <c r="FS39" s="106"/>
      <c r="FT39" s="61"/>
      <c r="FU39" s="65"/>
      <c r="FV39" s="61"/>
      <c r="FW39" s="65"/>
      <c r="FX39" s="65"/>
      <c r="FY39" s="65"/>
      <c r="FZ39" s="106"/>
      <c r="GA39" s="61"/>
      <c r="GB39" s="65"/>
      <c r="GC39" s="61"/>
      <c r="GD39" s="94"/>
      <c r="GE39" s="61"/>
      <c r="GF39" s="94"/>
      <c r="GG39" s="106"/>
      <c r="GH39" s="90"/>
      <c r="GI39" s="65"/>
      <c r="GJ39" s="94"/>
      <c r="GK39" s="94"/>
      <c r="GL39" s="94"/>
      <c r="GM39" s="94"/>
      <c r="GO39" s="65"/>
      <c r="GP39" s="96"/>
      <c r="GQ39" s="96"/>
      <c r="GR39" s="96"/>
      <c r="GS39" s="96"/>
      <c r="GT39" s="96"/>
      <c r="GU39" s="96"/>
      <c r="GV39" s="96"/>
    </row>
    <row r="40" spans="1:204" ht="13.8" x14ac:dyDescent="0.3">
      <c r="A40" s="132">
        <v>25</v>
      </c>
      <c r="B40" s="182"/>
      <c r="C40" s="182"/>
      <c r="D40" s="222"/>
      <c r="E40" s="222"/>
      <c r="F40" s="146">
        <f>IF(C40="",INDEX(Matl!$C$15:$K$15,MATCH(D40,Matl!$C$2:$K$2,0)),C40)</f>
        <v>0</v>
      </c>
      <c r="G40" s="147"/>
      <c r="H40" s="127" t="s">
        <v>28</v>
      </c>
      <c r="I40" s="51"/>
      <c r="J40" s="51"/>
      <c r="K40" s="148"/>
      <c r="W40" s="48">
        <f t="shared" si="3"/>
        <v>0</v>
      </c>
      <c r="X40" s="48"/>
      <c r="Y40" s="48"/>
      <c r="Z40" s="48"/>
      <c r="AA40" s="48" t="str">
        <f t="shared" si="4"/>
        <v/>
      </c>
      <c r="AB40" s="48" t="str">
        <f>IF(B40="","",IF(OR(D40=CV14,D40=CV16,D40=CV17,D40=CV18,D40=CV20)=TRUE,0.5,1))</f>
        <v/>
      </c>
      <c r="AC40" s="51" t="str">
        <f t="shared" si="5"/>
        <v/>
      </c>
      <c r="AD40" s="77">
        <f t="shared" si="6"/>
        <v>0</v>
      </c>
      <c r="AE40" s="77">
        <f>IF(D40="",0,SUM(F15:F40))</f>
        <v>0</v>
      </c>
      <c r="AF40" s="77">
        <f>IF(D40="",0,SUM(F16:F50)/2-AE40)</f>
        <v>0</v>
      </c>
      <c r="AG40" s="77">
        <f t="shared" si="7"/>
        <v>0</v>
      </c>
      <c r="AH40" s="77">
        <f>IF(D40="",0,(AE40+AE39)/2-SUM(F16:F50)/2)</f>
        <v>0</v>
      </c>
      <c r="AI40" s="58">
        <f ca="1">IF(D40="",0,INDEX(INDIRECT(CW32),MATCH(AI14,Matl!$B$3:$B$17,0),MATCH(D40,Matl!$D$2:$K$2,0)))</f>
        <v>0</v>
      </c>
      <c r="AJ40" s="58">
        <f ca="1">IF(D40="",0,INDEX(INDIRECT(CW32),MATCH(AJ14,Matl!$B$3:$B$17,0),MATCH(D40,Matl!$D$2:$K$2,0)))</f>
        <v>0</v>
      </c>
      <c r="AK40" s="58">
        <f ca="1">IF(D40="",0,INDEX(INDIRECT(CW32),MATCH(AK14,Matl!$B$3:$B$15,0),MATCH(D40,Matl!$D$2:$K$2,0)))</f>
        <v>0</v>
      </c>
      <c r="AL40" s="80">
        <f t="shared" si="8"/>
        <v>0</v>
      </c>
      <c r="AM40" s="58">
        <f ca="1">IF(D40="",0,INDEX(INDIRECT(CW32),MATCH(AM14,Matl!$B$3:$B$15,0),MATCH(D40,Matl!$D$2:$K$2,0)))</f>
        <v>0</v>
      </c>
      <c r="AN40" s="81">
        <f ca="1">IF(D40="",0,INDEX(INDIRECT(CW32),MATCH(AN14,Matl!$B$3:$B$15,0),MATCH(D40,Matl!$D$2:$K$2,0)))</f>
        <v>0</v>
      </c>
      <c r="AO40" s="81">
        <f ca="1">IF(D40="",0,INDEX(INDIRECT(CW32),MATCH(AO14,Matl!$B$3:$B$15,0),MATCH(D40,Matl!$D$2:$K$2,0)))</f>
        <v>0</v>
      </c>
      <c r="AP40" s="81">
        <f ca="1">IF(D40="",0,INDEX(INDIRECT(CW32),MATCH(AP14,Matl!$B$3:$B$15,0),MATCH(D40,Matl!$D$2:$K$2,0)))</f>
        <v>0</v>
      </c>
      <c r="AQ40" s="81">
        <f ca="1">IF(D40="",0,INDEX(INDIRECT(CW32),MATCH(AQ14,Matl!$B$3:$B$15,0),MATCH(D40,Matl!$D$2:$K$2,0)))</f>
        <v>0</v>
      </c>
      <c r="AR40" s="81">
        <f ca="1">IF(D40="",0,INDEX(INDIRECT(CW32),MATCH(AR14,Matl!$B$3:$B$15,0),MATCH(D40,Matl!$D$2:$K$2,0)))</f>
        <v>0</v>
      </c>
      <c r="AS40" s="58"/>
      <c r="AT40" s="58"/>
      <c r="AU40" s="82">
        <f t="shared" ca="1" si="9"/>
        <v>0</v>
      </c>
      <c r="AV40" s="76">
        <f t="shared" ca="1" si="10"/>
        <v>0</v>
      </c>
      <c r="AW40" s="76">
        <f t="shared" ca="1" si="11"/>
        <v>0</v>
      </c>
      <c r="AX40" s="76">
        <f t="shared" ca="1" si="12"/>
        <v>0</v>
      </c>
      <c r="AY40" s="61">
        <v>0</v>
      </c>
      <c r="AZ40" s="61">
        <v>0</v>
      </c>
      <c r="BA40" s="61">
        <v>0</v>
      </c>
      <c r="BB40" s="61">
        <v>0</v>
      </c>
      <c r="BC40" s="62">
        <f t="shared" ca="1" si="13"/>
        <v>0</v>
      </c>
      <c r="BD40" s="63"/>
      <c r="BE40" s="82">
        <f t="shared" ca="1" si="14"/>
        <v>0</v>
      </c>
      <c r="BF40" s="76">
        <f t="shared" ca="1" si="15"/>
        <v>0</v>
      </c>
      <c r="BG40" s="76">
        <f t="shared" ca="1" si="16"/>
        <v>0</v>
      </c>
      <c r="BH40" s="76">
        <f t="shared" ca="1" si="17"/>
        <v>0</v>
      </c>
      <c r="BI40" s="76">
        <f t="shared" ca="1" si="48"/>
        <v>0</v>
      </c>
      <c r="BJ40" s="76">
        <f t="shared" ca="1" si="18"/>
        <v>0</v>
      </c>
      <c r="BK40" s="76">
        <f t="shared" ca="1" si="19"/>
        <v>0</v>
      </c>
      <c r="BL40" s="76">
        <f t="shared" ca="1" si="20"/>
        <v>0</v>
      </c>
      <c r="BM40" s="83">
        <f t="shared" ca="1" si="49"/>
        <v>0</v>
      </c>
      <c r="BN40" s="84"/>
      <c r="BO40" s="82">
        <f t="shared" ca="1" si="21"/>
        <v>0</v>
      </c>
      <c r="BP40" s="76">
        <f t="shared" ca="1" si="22"/>
        <v>0</v>
      </c>
      <c r="BQ40" s="76">
        <f t="shared" ca="1" si="23"/>
        <v>0</v>
      </c>
      <c r="BR40" s="76">
        <f t="shared" ca="1" si="24"/>
        <v>0</v>
      </c>
      <c r="BS40" s="76">
        <f t="shared" ca="1" si="25"/>
        <v>0</v>
      </c>
      <c r="BT40" s="76">
        <f t="shared" ca="1" si="26"/>
        <v>0</v>
      </c>
      <c r="BU40" s="76">
        <f t="shared" ca="1" si="27"/>
        <v>0</v>
      </c>
      <c r="BV40" s="76">
        <f t="shared" ca="1" si="28"/>
        <v>0</v>
      </c>
      <c r="BW40" s="83">
        <f t="shared" ca="1" si="29"/>
        <v>0</v>
      </c>
      <c r="BX40" s="84"/>
      <c r="BY40" s="76">
        <f t="shared" ca="1" si="30"/>
        <v>0</v>
      </c>
      <c r="BZ40" s="76">
        <f t="shared" ca="1" si="31"/>
        <v>0</v>
      </c>
      <c r="CA40" s="76">
        <f t="shared" ca="1" si="32"/>
        <v>0</v>
      </c>
      <c r="CB40" s="76">
        <f t="shared" ca="1" si="33"/>
        <v>0</v>
      </c>
      <c r="CC40" s="76">
        <f t="shared" ca="1" si="34"/>
        <v>0</v>
      </c>
      <c r="CD40" s="76">
        <f t="shared" ca="1" si="35"/>
        <v>0</v>
      </c>
      <c r="CE40" s="76">
        <f t="shared" ca="1" si="36"/>
        <v>0</v>
      </c>
      <c r="CF40" s="76">
        <f t="shared" ca="1" si="37"/>
        <v>0</v>
      </c>
      <c r="CG40" s="76">
        <f t="shared" ca="1" si="38"/>
        <v>0</v>
      </c>
      <c r="CH40" s="84"/>
      <c r="CI40" s="85">
        <f t="shared" ca="1" si="39"/>
        <v>0</v>
      </c>
      <c r="CJ40" s="86">
        <f t="shared" ca="1" si="40"/>
        <v>0</v>
      </c>
      <c r="CK40" s="86">
        <f t="shared" ca="1" si="41"/>
        <v>0</v>
      </c>
      <c r="CL40" s="86">
        <f t="shared" ca="1" si="42"/>
        <v>0</v>
      </c>
      <c r="CM40" s="86">
        <f t="shared" ca="1" si="43"/>
        <v>0</v>
      </c>
      <c r="CN40" s="86">
        <f t="shared" ca="1" si="44"/>
        <v>0</v>
      </c>
      <c r="CO40" s="86">
        <f t="shared" ca="1" si="45"/>
        <v>0</v>
      </c>
      <c r="CP40" s="86">
        <f t="shared" ca="1" si="46"/>
        <v>0</v>
      </c>
      <c r="CQ40" s="87">
        <f t="shared" ca="1" si="47"/>
        <v>0</v>
      </c>
      <c r="CR40" s="61" t="str">
        <f ca="1">IF(D40="","",INDEX(INDIRECT(CW32),MATCH(CR14,Matl!$B$3:$B$29,0),MATCH(D40,Matl!$D$2:$K$2,0)))</f>
        <v/>
      </c>
      <c r="CS40" s="48" t="str">
        <f ca="1">IF(D40="","",INDEX(INDIRECT(CW32),MATCH(CS14,Matl!$B$3:$B$29,0),MATCH(D40,Matl!$D$2:$K$2,0)))</f>
        <v/>
      </c>
      <c r="CV40" s="117">
        <f ca="1">BY14</f>
        <v>1.6825651982799172E-11</v>
      </c>
      <c r="CW40" s="118">
        <f ca="1">CA14</f>
        <v>2.0463630789890885E-12</v>
      </c>
      <c r="CX40" s="119">
        <f ca="1">CC14</f>
        <v>0</v>
      </c>
      <c r="CY40" s="117">
        <f ca="1">CI14</f>
        <v>1621.3293698091077</v>
      </c>
      <c r="CZ40" s="118">
        <f ca="1">CK14</f>
        <v>282.77627345241842</v>
      </c>
      <c r="DA40" s="119">
        <f ca="1">CM14</f>
        <v>160.73893466596172</v>
      </c>
      <c r="DB40" s="51"/>
      <c r="DC40" s="102"/>
      <c r="DD40" s="102"/>
      <c r="DE40" s="102"/>
      <c r="DF40" s="102"/>
      <c r="DG40" s="102"/>
      <c r="DH40" s="102"/>
      <c r="DI40" s="51"/>
      <c r="DJ40" s="89"/>
      <c r="DN40" s="88"/>
      <c r="DO40" s="108"/>
      <c r="DR40" s="88"/>
      <c r="DS40" s="108"/>
      <c r="DU40" s="76"/>
      <c r="DV40" s="76"/>
      <c r="DW40" s="76"/>
      <c r="DY40" s="110"/>
      <c r="DZ40" s="110"/>
      <c r="EA40" s="110"/>
      <c r="EC40" s="90"/>
      <c r="ED40" s="90"/>
      <c r="EE40" s="90"/>
      <c r="EF40" s="90"/>
      <c r="EG40" s="90"/>
      <c r="EH40" s="90"/>
      <c r="EI40" s="90"/>
      <c r="EJ40" s="90"/>
      <c r="EK40" s="90"/>
      <c r="EL40" s="90"/>
      <c r="EM40" s="90"/>
      <c r="EN40" s="90"/>
      <c r="EO40" s="90"/>
      <c r="EP40" s="90"/>
      <c r="EQ40" s="90"/>
      <c r="ER40" s="76"/>
      <c r="ES40" s="76"/>
      <c r="ET40" s="76"/>
      <c r="EU40" s="76"/>
      <c r="EV40" s="76"/>
      <c r="EW40" s="76"/>
      <c r="EX40" s="76"/>
      <c r="EY40" s="76"/>
      <c r="EZ40" s="137"/>
      <c r="FA40" s="137"/>
      <c r="FB40" s="61"/>
      <c r="FC40" s="138"/>
      <c r="FD40" s="61"/>
      <c r="FE40" s="61"/>
      <c r="FF40" s="91"/>
      <c r="FI40" s="91"/>
      <c r="FK40" s="92"/>
      <c r="FL40" s="92"/>
      <c r="FM40" s="92"/>
      <c r="FN40" s="92"/>
      <c r="FO40" s="92"/>
      <c r="FP40" s="92"/>
      <c r="FQ40" s="92"/>
      <c r="FS40" s="106"/>
      <c r="FT40" s="61"/>
      <c r="FU40" s="65"/>
      <c r="FV40" s="61"/>
      <c r="FW40" s="65"/>
      <c r="FX40" s="65"/>
      <c r="FY40" s="65"/>
      <c r="FZ40" s="106"/>
      <c r="GA40" s="61"/>
      <c r="GB40" s="65"/>
      <c r="GC40" s="93"/>
      <c r="GD40" s="94"/>
      <c r="GE40" s="61"/>
      <c r="GF40" s="94"/>
      <c r="GG40" s="106"/>
      <c r="GH40" s="90"/>
      <c r="GI40" s="65"/>
      <c r="GJ40" s="94"/>
      <c r="GK40" s="94"/>
      <c r="GL40" s="94"/>
      <c r="GM40" s="94"/>
      <c r="GN40" s="106"/>
      <c r="GO40" s="65"/>
      <c r="GP40" s="96"/>
      <c r="GQ40" s="96"/>
      <c r="GR40" s="96"/>
      <c r="GS40" s="96"/>
      <c r="GT40" s="96"/>
      <c r="GU40" s="96"/>
      <c r="GV40" s="96"/>
    </row>
    <row r="41" spans="1:204" ht="13.8" x14ac:dyDescent="0.3">
      <c r="A41" s="132">
        <v>26</v>
      </c>
      <c r="B41" s="182"/>
      <c r="C41" s="182"/>
      <c r="D41" s="222"/>
      <c r="E41" s="222"/>
      <c r="F41" s="146">
        <f>IF(C41="",INDEX(Matl!$C$15:$K$15,MATCH(D41,Matl!$C$2:$K$2,0)),C41)</f>
        <v>0</v>
      </c>
      <c r="G41" s="147"/>
      <c r="H41" s="107" t="s">
        <v>0</v>
      </c>
      <c r="I41" s="107"/>
      <c r="J41" s="107"/>
      <c r="K41" s="148"/>
      <c r="W41" s="48">
        <f t="shared" si="3"/>
        <v>0</v>
      </c>
      <c r="X41" s="48"/>
      <c r="Y41" s="48"/>
      <c r="Z41" s="48"/>
      <c r="AA41" s="48" t="str">
        <f t="shared" si="4"/>
        <v/>
      </c>
      <c r="AB41" s="48" t="str">
        <f>IF(B41="","",IF(OR(D41=CV14,D41=CV16,D41=CV17,D41=CV18,D41=CV20)=TRUE,0.5,1))</f>
        <v/>
      </c>
      <c r="AC41" s="51" t="str">
        <f t="shared" si="5"/>
        <v/>
      </c>
      <c r="AD41" s="77">
        <f t="shared" si="6"/>
        <v>0</v>
      </c>
      <c r="AE41" s="77">
        <f>IF(D41="",0,SUM(F15:F41))</f>
        <v>0</v>
      </c>
      <c r="AF41" s="77">
        <f>IF(D41="",0,SUM(F16:F50)/2-AE41)</f>
        <v>0</v>
      </c>
      <c r="AG41" s="77">
        <f t="shared" si="7"/>
        <v>0</v>
      </c>
      <c r="AH41" s="77">
        <f>IF(D41="",0,(AE41+AE40)/2-SUM(F16:F50)/2)</f>
        <v>0</v>
      </c>
      <c r="AI41" s="58">
        <f ca="1">IF(D41="",0,INDEX(INDIRECT(CW32),MATCH(AI14,Matl!$B$3:$B$17,0),MATCH(D41,Matl!$D$2:$K$2,0)))</f>
        <v>0</v>
      </c>
      <c r="AJ41" s="58">
        <f ca="1">IF(D41="",0,INDEX(INDIRECT(CW32),MATCH(AJ14,Matl!$B$3:$B$17,0),MATCH(D41,Matl!$D$2:$K$2,0)))</f>
        <v>0</v>
      </c>
      <c r="AK41" s="58">
        <f ca="1">IF(D41="",0,INDEX(INDIRECT(CW32),MATCH(AK14,Matl!$B$3:$B$15,0),MATCH(D41,Matl!$D$2:$K$2,0)))</f>
        <v>0</v>
      </c>
      <c r="AL41" s="80">
        <f t="shared" si="8"/>
        <v>0</v>
      </c>
      <c r="AM41" s="58">
        <f ca="1">IF(D41="",0,INDEX(INDIRECT(CW32),MATCH(AM14,Matl!$B$3:$B$15,0),MATCH(D41,Matl!$D$2:$K$2,0)))</f>
        <v>0</v>
      </c>
      <c r="AN41" s="81">
        <f ca="1">IF(D41="",0,INDEX(INDIRECT(CW32),MATCH(AN14,Matl!$B$3:$B$15,0),MATCH(D41,Matl!$D$2:$K$2,0)))</f>
        <v>0</v>
      </c>
      <c r="AO41" s="81">
        <f ca="1">IF(D41="",0,INDEX(INDIRECT(CW32),MATCH(AO14,Matl!$B$3:$B$15,0),MATCH(D41,Matl!$D$2:$K$2,0)))</f>
        <v>0</v>
      </c>
      <c r="AP41" s="81">
        <f ca="1">IF(D41="",0,INDEX(INDIRECT(CW32),MATCH(AP14,Matl!$B$3:$B$15,0),MATCH(D41,Matl!$D$2:$K$2,0)))</f>
        <v>0</v>
      </c>
      <c r="AQ41" s="81">
        <f ca="1">IF(D41="",0,INDEX(INDIRECT(CW32),MATCH(AQ14,Matl!$B$3:$B$15,0),MATCH(D41,Matl!$D$2:$K$2,0)))</f>
        <v>0</v>
      </c>
      <c r="AR41" s="81">
        <f ca="1">IF(D41="",0,INDEX(INDIRECT(CW32),MATCH(AR14,Matl!$B$3:$B$15,0),MATCH(D41,Matl!$D$2:$K$2,0)))</f>
        <v>0</v>
      </c>
      <c r="AS41" s="58"/>
      <c r="AT41" s="58"/>
      <c r="AU41" s="82">
        <f t="shared" ca="1" si="9"/>
        <v>0</v>
      </c>
      <c r="AV41" s="76">
        <f t="shared" ca="1" si="10"/>
        <v>0</v>
      </c>
      <c r="AW41" s="76">
        <f t="shared" ca="1" si="11"/>
        <v>0</v>
      </c>
      <c r="AX41" s="76">
        <f t="shared" ca="1" si="12"/>
        <v>0</v>
      </c>
      <c r="AY41" s="61">
        <v>0</v>
      </c>
      <c r="AZ41" s="61">
        <v>0</v>
      </c>
      <c r="BA41" s="61">
        <v>0</v>
      </c>
      <c r="BB41" s="61">
        <v>0</v>
      </c>
      <c r="BC41" s="62">
        <f t="shared" ca="1" si="13"/>
        <v>0</v>
      </c>
      <c r="BD41" s="63"/>
      <c r="BE41" s="82">
        <f t="shared" ca="1" si="14"/>
        <v>0</v>
      </c>
      <c r="BF41" s="76">
        <f t="shared" ca="1" si="15"/>
        <v>0</v>
      </c>
      <c r="BG41" s="76">
        <f t="shared" ca="1" si="16"/>
        <v>0</v>
      </c>
      <c r="BH41" s="76">
        <f t="shared" ca="1" si="17"/>
        <v>0</v>
      </c>
      <c r="BI41" s="76">
        <f t="shared" ca="1" si="48"/>
        <v>0</v>
      </c>
      <c r="BJ41" s="76">
        <f t="shared" ca="1" si="18"/>
        <v>0</v>
      </c>
      <c r="BK41" s="76">
        <f t="shared" ca="1" si="19"/>
        <v>0</v>
      </c>
      <c r="BL41" s="76">
        <f t="shared" ca="1" si="20"/>
        <v>0</v>
      </c>
      <c r="BM41" s="83">
        <f t="shared" ca="1" si="49"/>
        <v>0</v>
      </c>
      <c r="BN41" s="84"/>
      <c r="BO41" s="82">
        <f t="shared" ca="1" si="21"/>
        <v>0</v>
      </c>
      <c r="BP41" s="76">
        <f t="shared" ca="1" si="22"/>
        <v>0</v>
      </c>
      <c r="BQ41" s="76">
        <f t="shared" ca="1" si="23"/>
        <v>0</v>
      </c>
      <c r="BR41" s="76">
        <f t="shared" ca="1" si="24"/>
        <v>0</v>
      </c>
      <c r="BS41" s="76">
        <f t="shared" ca="1" si="25"/>
        <v>0</v>
      </c>
      <c r="BT41" s="76">
        <f t="shared" ca="1" si="26"/>
        <v>0</v>
      </c>
      <c r="BU41" s="76">
        <f t="shared" ca="1" si="27"/>
        <v>0</v>
      </c>
      <c r="BV41" s="76">
        <f t="shared" ca="1" si="28"/>
        <v>0</v>
      </c>
      <c r="BW41" s="83">
        <f t="shared" ca="1" si="29"/>
        <v>0</v>
      </c>
      <c r="BX41" s="84"/>
      <c r="BY41" s="76">
        <f t="shared" ca="1" si="30"/>
        <v>0</v>
      </c>
      <c r="BZ41" s="76">
        <f t="shared" ca="1" si="31"/>
        <v>0</v>
      </c>
      <c r="CA41" s="76">
        <f t="shared" ca="1" si="32"/>
        <v>0</v>
      </c>
      <c r="CB41" s="76">
        <f t="shared" ca="1" si="33"/>
        <v>0</v>
      </c>
      <c r="CC41" s="76">
        <f t="shared" ca="1" si="34"/>
        <v>0</v>
      </c>
      <c r="CD41" s="76">
        <f t="shared" ca="1" si="35"/>
        <v>0</v>
      </c>
      <c r="CE41" s="76">
        <f t="shared" ca="1" si="36"/>
        <v>0</v>
      </c>
      <c r="CF41" s="76">
        <f t="shared" ca="1" si="37"/>
        <v>0</v>
      </c>
      <c r="CG41" s="76">
        <f t="shared" ca="1" si="38"/>
        <v>0</v>
      </c>
      <c r="CH41" s="84"/>
      <c r="CI41" s="85">
        <f t="shared" ca="1" si="39"/>
        <v>0</v>
      </c>
      <c r="CJ41" s="86">
        <f t="shared" ca="1" si="40"/>
        <v>0</v>
      </c>
      <c r="CK41" s="86">
        <f t="shared" ca="1" si="41"/>
        <v>0</v>
      </c>
      <c r="CL41" s="86">
        <f t="shared" ca="1" si="42"/>
        <v>0</v>
      </c>
      <c r="CM41" s="86">
        <f t="shared" ca="1" si="43"/>
        <v>0</v>
      </c>
      <c r="CN41" s="86">
        <f t="shared" ca="1" si="44"/>
        <v>0</v>
      </c>
      <c r="CO41" s="86">
        <f t="shared" ca="1" si="45"/>
        <v>0</v>
      </c>
      <c r="CP41" s="86">
        <f t="shared" ca="1" si="46"/>
        <v>0</v>
      </c>
      <c r="CQ41" s="87">
        <f t="shared" ca="1" si="47"/>
        <v>0</v>
      </c>
      <c r="CR41" s="61" t="str">
        <f ca="1">IF(D41="","",INDEX(INDIRECT(CW32),MATCH(CR14,Matl!$B$3:$B$29,0),MATCH(D41,Matl!$D$2:$K$2,0)))</f>
        <v/>
      </c>
      <c r="CS41" s="48" t="str">
        <f ca="1">IF(D41="","",INDEX(INDIRECT(CW32),MATCH(CS14,Matl!$B$3:$B$29,0),MATCH(D41,Matl!$D$2:$K$2,0)))</f>
        <v/>
      </c>
      <c r="CV41" s="120">
        <f ca="1">CB14</f>
        <v>2.0463630789890885E-12</v>
      </c>
      <c r="CW41" s="121">
        <f ca="1">BZ14</f>
        <v>1.8189894035458565E-12</v>
      </c>
      <c r="CX41" s="122">
        <f ca="1">CF14</f>
        <v>6.8212102632969618E-13</v>
      </c>
      <c r="CY41" s="120">
        <f ca="1">CL14</f>
        <v>282.77627345241842</v>
      </c>
      <c r="CZ41" s="121">
        <f ca="1">CJ14</f>
        <v>1191.7802167443244</v>
      </c>
      <c r="DA41" s="122">
        <f ca="1">CO14</f>
        <v>160.73893466596172</v>
      </c>
      <c r="DB41" s="51"/>
      <c r="DC41" s="102"/>
      <c r="DD41" s="102"/>
      <c r="DE41" s="102"/>
      <c r="DF41" s="102"/>
      <c r="DG41" s="102"/>
      <c r="DH41" s="102"/>
      <c r="DI41" s="51"/>
      <c r="DJ41" s="89"/>
      <c r="DN41" s="88"/>
      <c r="DO41" s="108"/>
      <c r="DR41" s="88"/>
      <c r="DS41" s="108"/>
      <c r="DU41" s="76"/>
      <c r="DV41" s="76"/>
      <c r="DW41" s="76"/>
      <c r="DY41" s="110"/>
      <c r="DZ41" s="110"/>
      <c r="EA41" s="110"/>
      <c r="EC41" s="90"/>
      <c r="ED41" s="90"/>
      <c r="EE41" s="90"/>
      <c r="EF41" s="90"/>
      <c r="EG41" s="90"/>
      <c r="EH41" s="90"/>
      <c r="EI41" s="90"/>
      <c r="EJ41" s="90"/>
      <c r="EK41" s="90"/>
      <c r="EL41" s="90"/>
      <c r="EM41" s="90"/>
      <c r="EN41" s="90"/>
      <c r="EO41" s="90"/>
      <c r="EP41" s="90"/>
      <c r="EQ41" s="90"/>
      <c r="ER41" s="76"/>
      <c r="ES41" s="76"/>
      <c r="ET41" s="76"/>
      <c r="EU41" s="76"/>
      <c r="EV41" s="76"/>
      <c r="EW41" s="76"/>
      <c r="EX41" s="76"/>
      <c r="EY41" s="76"/>
      <c r="EZ41" s="137"/>
      <c r="FA41" s="137"/>
      <c r="FB41" s="61"/>
      <c r="FC41" s="138"/>
      <c r="FD41" s="61"/>
      <c r="FE41" s="61"/>
      <c r="FF41" s="91"/>
      <c r="FI41" s="91"/>
      <c r="FK41" s="92"/>
      <c r="FL41" s="92"/>
      <c r="FM41" s="92"/>
      <c r="FN41" s="92"/>
      <c r="FO41" s="92"/>
      <c r="FP41" s="92"/>
      <c r="FQ41" s="92"/>
      <c r="FS41" s="106"/>
      <c r="FT41" s="65"/>
      <c r="FU41" s="65"/>
      <c r="FV41" s="65"/>
      <c r="FW41" s="65"/>
      <c r="FX41" s="65"/>
      <c r="FY41" s="65"/>
      <c r="FZ41" s="106"/>
      <c r="GA41" s="90"/>
      <c r="GB41" s="65"/>
      <c r="GC41" s="61"/>
      <c r="GD41" s="94"/>
      <c r="GE41" s="65"/>
      <c r="GF41" s="94"/>
      <c r="GG41" s="106"/>
      <c r="GH41" s="90"/>
      <c r="GI41" s="65"/>
      <c r="GJ41" s="90"/>
      <c r="GK41" s="94"/>
      <c r="GL41" s="90"/>
      <c r="GM41" s="94"/>
      <c r="GO41" s="65"/>
      <c r="GP41" s="96"/>
      <c r="GQ41" s="96"/>
      <c r="GR41" s="96"/>
      <c r="GS41" s="96"/>
      <c r="GT41" s="96"/>
      <c r="GU41" s="96"/>
      <c r="GV41" s="96"/>
    </row>
    <row r="42" spans="1:204" ht="13.8" x14ac:dyDescent="0.3">
      <c r="A42" s="132">
        <v>27</v>
      </c>
      <c r="B42" s="182"/>
      <c r="C42" s="182"/>
      <c r="D42" s="222"/>
      <c r="E42" s="222"/>
      <c r="F42" s="146">
        <f>IF(C42="",INDEX(Matl!$C$15:$K$15,MATCH(D42,Matl!$C$2:$K$2,0)),C42)</f>
        <v>0</v>
      </c>
      <c r="G42" s="147"/>
      <c r="H42" s="111" t="s">
        <v>152</v>
      </c>
      <c r="I42" s="115">
        <f ca="1">(H25*I26-I25^2)/(F51*I26)</f>
        <v>9369645.4100937974</v>
      </c>
      <c r="J42" s="107" t="s">
        <v>57</v>
      </c>
      <c r="K42" s="148"/>
      <c r="W42" s="48">
        <f t="shared" si="3"/>
        <v>0</v>
      </c>
      <c r="X42" s="48"/>
      <c r="Y42" s="48"/>
      <c r="Z42" s="48"/>
      <c r="AA42" s="48" t="str">
        <f t="shared" si="4"/>
        <v/>
      </c>
      <c r="AB42" s="48" t="str">
        <f>IF(B42="","",IF(OR(D42=CV14,D42=CV16,D42=CV17,D42=CV18,D42=CV20)=TRUE,0.5,1))</f>
        <v/>
      </c>
      <c r="AC42" s="51" t="str">
        <f t="shared" si="5"/>
        <v/>
      </c>
      <c r="AD42" s="77">
        <f t="shared" si="6"/>
        <v>0</v>
      </c>
      <c r="AE42" s="77">
        <f>IF(D42="",0,SUM(F15:F42))</f>
        <v>0</v>
      </c>
      <c r="AF42" s="77">
        <f>IF(D42="",0,SUM(F16:F50)/2-AE42)</f>
        <v>0</v>
      </c>
      <c r="AG42" s="77">
        <f t="shared" si="7"/>
        <v>0</v>
      </c>
      <c r="AH42" s="77">
        <f>IF(D42="",0,(AE42+AE41)/2-SUM(F16:F50)/2)</f>
        <v>0</v>
      </c>
      <c r="AI42" s="58">
        <f ca="1">IF(D42="",0,INDEX(INDIRECT(CW32),MATCH(AI14,Matl!$B$3:$B$17,0),MATCH(D42,Matl!$D$2:$K$2,0)))</f>
        <v>0</v>
      </c>
      <c r="AJ42" s="58">
        <f ca="1">IF(D42="",0,INDEX(INDIRECT(CW32),MATCH(AJ14,Matl!$B$3:$B$17,0),MATCH(D42,Matl!$D$2:$K$2,0)))</f>
        <v>0</v>
      </c>
      <c r="AK42" s="58">
        <f ca="1">IF(D42="",0,INDEX(INDIRECT(CW32),MATCH(AK14,Matl!$B$3:$B$15,0),MATCH(D42,Matl!$D$2:$K$2,0)))</f>
        <v>0</v>
      </c>
      <c r="AL42" s="80">
        <f t="shared" si="8"/>
        <v>0</v>
      </c>
      <c r="AM42" s="58">
        <f ca="1">IF(D42="",0,INDEX(INDIRECT(CW32),MATCH(AM14,Matl!$B$3:$B$15,0),MATCH(D42,Matl!$D$2:$K$2,0)))</f>
        <v>0</v>
      </c>
      <c r="AN42" s="81">
        <f ca="1">IF(D42="",0,INDEX(INDIRECT(CW32),MATCH(AN14,Matl!$B$3:$B$15,0),MATCH(D42,Matl!$D$2:$K$2,0)))</f>
        <v>0</v>
      </c>
      <c r="AO42" s="81">
        <f ca="1">IF(D42="",0,INDEX(INDIRECT(CW32),MATCH(AO14,Matl!$B$3:$B$15,0),MATCH(D42,Matl!$D$2:$K$2,0)))</f>
        <v>0</v>
      </c>
      <c r="AP42" s="81">
        <f ca="1">IF(D42="",0,INDEX(INDIRECT(CW32),MATCH(AP14,Matl!$B$3:$B$15,0),MATCH(D42,Matl!$D$2:$K$2,0)))</f>
        <v>0</v>
      </c>
      <c r="AQ42" s="81">
        <f ca="1">IF(D42="",0,INDEX(INDIRECT(CW32),MATCH(AQ14,Matl!$B$3:$B$15,0),MATCH(D42,Matl!$D$2:$K$2,0)))</f>
        <v>0</v>
      </c>
      <c r="AR42" s="81">
        <f ca="1">IF(D42="",0,INDEX(INDIRECT(CW32),MATCH(AR14,Matl!$B$3:$B$15,0),MATCH(D42,Matl!$D$2:$K$2,0)))</f>
        <v>0</v>
      </c>
      <c r="AS42" s="58"/>
      <c r="AT42" s="58"/>
      <c r="AU42" s="82">
        <f t="shared" ca="1" si="9"/>
        <v>0</v>
      </c>
      <c r="AV42" s="76">
        <f t="shared" ca="1" si="10"/>
        <v>0</v>
      </c>
      <c r="AW42" s="76">
        <f t="shared" ca="1" si="11"/>
        <v>0</v>
      </c>
      <c r="AX42" s="76">
        <f t="shared" ca="1" si="12"/>
        <v>0</v>
      </c>
      <c r="AY42" s="61">
        <v>0</v>
      </c>
      <c r="AZ42" s="61">
        <v>0</v>
      </c>
      <c r="BA42" s="61">
        <v>0</v>
      </c>
      <c r="BB42" s="61">
        <v>0</v>
      </c>
      <c r="BC42" s="62">
        <f t="shared" ca="1" si="13"/>
        <v>0</v>
      </c>
      <c r="BD42" s="63"/>
      <c r="BE42" s="82">
        <f t="shared" ca="1" si="14"/>
        <v>0</v>
      </c>
      <c r="BF42" s="76">
        <f t="shared" ca="1" si="15"/>
        <v>0</v>
      </c>
      <c r="BG42" s="76">
        <f t="shared" ca="1" si="16"/>
        <v>0</v>
      </c>
      <c r="BH42" s="76">
        <f t="shared" ca="1" si="17"/>
        <v>0</v>
      </c>
      <c r="BI42" s="76">
        <f t="shared" ca="1" si="48"/>
        <v>0</v>
      </c>
      <c r="BJ42" s="76">
        <f t="shared" ca="1" si="18"/>
        <v>0</v>
      </c>
      <c r="BK42" s="76">
        <f t="shared" ca="1" si="19"/>
        <v>0</v>
      </c>
      <c r="BL42" s="76">
        <f t="shared" ca="1" si="20"/>
        <v>0</v>
      </c>
      <c r="BM42" s="83">
        <f t="shared" ca="1" si="49"/>
        <v>0</v>
      </c>
      <c r="BN42" s="84"/>
      <c r="BO42" s="82">
        <f t="shared" ca="1" si="21"/>
        <v>0</v>
      </c>
      <c r="BP42" s="76">
        <f t="shared" ca="1" si="22"/>
        <v>0</v>
      </c>
      <c r="BQ42" s="76">
        <f t="shared" ca="1" si="23"/>
        <v>0</v>
      </c>
      <c r="BR42" s="76">
        <f t="shared" ca="1" si="24"/>
        <v>0</v>
      </c>
      <c r="BS42" s="76">
        <f t="shared" ca="1" si="25"/>
        <v>0</v>
      </c>
      <c r="BT42" s="76">
        <f t="shared" ca="1" si="26"/>
        <v>0</v>
      </c>
      <c r="BU42" s="76">
        <f t="shared" ca="1" si="27"/>
        <v>0</v>
      </c>
      <c r="BV42" s="76">
        <f t="shared" ca="1" si="28"/>
        <v>0</v>
      </c>
      <c r="BW42" s="83">
        <f t="shared" ca="1" si="29"/>
        <v>0</v>
      </c>
      <c r="BX42" s="84"/>
      <c r="BY42" s="76">
        <f t="shared" ca="1" si="30"/>
        <v>0</v>
      </c>
      <c r="BZ42" s="76">
        <f t="shared" ca="1" si="31"/>
        <v>0</v>
      </c>
      <c r="CA42" s="76">
        <f t="shared" ca="1" si="32"/>
        <v>0</v>
      </c>
      <c r="CB42" s="76">
        <f t="shared" ca="1" si="33"/>
        <v>0</v>
      </c>
      <c r="CC42" s="76">
        <f t="shared" ca="1" si="34"/>
        <v>0</v>
      </c>
      <c r="CD42" s="76">
        <f t="shared" ca="1" si="35"/>
        <v>0</v>
      </c>
      <c r="CE42" s="76">
        <f t="shared" ca="1" si="36"/>
        <v>0</v>
      </c>
      <c r="CF42" s="76">
        <f t="shared" ca="1" si="37"/>
        <v>0</v>
      </c>
      <c r="CG42" s="76">
        <f t="shared" ca="1" si="38"/>
        <v>0</v>
      </c>
      <c r="CH42" s="84"/>
      <c r="CI42" s="85">
        <f t="shared" ca="1" si="39"/>
        <v>0</v>
      </c>
      <c r="CJ42" s="86">
        <f t="shared" ca="1" si="40"/>
        <v>0</v>
      </c>
      <c r="CK42" s="86">
        <f t="shared" ca="1" si="41"/>
        <v>0</v>
      </c>
      <c r="CL42" s="86">
        <f t="shared" ca="1" si="42"/>
        <v>0</v>
      </c>
      <c r="CM42" s="86">
        <f t="shared" ca="1" si="43"/>
        <v>0</v>
      </c>
      <c r="CN42" s="86">
        <f t="shared" ca="1" si="44"/>
        <v>0</v>
      </c>
      <c r="CO42" s="86">
        <f t="shared" ca="1" si="45"/>
        <v>0</v>
      </c>
      <c r="CP42" s="86">
        <f t="shared" ca="1" si="46"/>
        <v>0</v>
      </c>
      <c r="CQ42" s="87">
        <f t="shared" ca="1" si="47"/>
        <v>0</v>
      </c>
      <c r="CR42" s="61" t="str">
        <f ca="1">IF(D42="","",INDEX(INDIRECT(CW32),MATCH(CR14,Matl!$B$3:$B$29,0),MATCH(D42,Matl!$D$2:$K$2,0)))</f>
        <v/>
      </c>
      <c r="CS42" s="48" t="str">
        <f ca="1">IF(D42="","",INDEX(INDIRECT(CW32),MATCH(CS14,Matl!$B$3:$B$29,0),MATCH(D42,Matl!$D$2:$K$2,0)))</f>
        <v/>
      </c>
      <c r="CV42" s="123">
        <f ca="1">CD14</f>
        <v>0</v>
      </c>
      <c r="CW42" s="124">
        <f ca="1">CE14</f>
        <v>6.8212102632969618E-13</v>
      </c>
      <c r="CX42" s="125">
        <f ca="1">CG14</f>
        <v>1.8189894035458565E-12</v>
      </c>
      <c r="CY42" s="123">
        <f ca="1">CN14</f>
        <v>160.73893466596172</v>
      </c>
      <c r="CZ42" s="124">
        <f ca="1">CO14</f>
        <v>160.73893466596172</v>
      </c>
      <c r="DA42" s="125">
        <f ca="1">CQ14</f>
        <v>308.38441876027071</v>
      </c>
      <c r="DB42" s="51"/>
      <c r="DC42" s="102"/>
      <c r="DD42" s="102"/>
      <c r="DE42" s="102"/>
      <c r="DF42" s="102"/>
      <c r="DG42" s="102"/>
      <c r="DH42" s="102"/>
      <c r="DI42" s="51"/>
      <c r="DJ42" s="89"/>
      <c r="DN42" s="88"/>
      <c r="DO42" s="108"/>
      <c r="DR42" s="88"/>
      <c r="DS42" s="108"/>
      <c r="DU42" s="76"/>
      <c r="DV42" s="76"/>
      <c r="DW42" s="76"/>
      <c r="DY42" s="110"/>
      <c r="DZ42" s="110"/>
      <c r="EA42" s="110"/>
      <c r="EC42" s="90"/>
      <c r="ED42" s="90"/>
      <c r="EE42" s="90"/>
      <c r="EF42" s="90"/>
      <c r="EG42" s="90"/>
      <c r="EH42" s="90"/>
      <c r="EI42" s="90"/>
      <c r="EJ42" s="90"/>
      <c r="EK42" s="90"/>
      <c r="EL42" s="90"/>
      <c r="EM42" s="90"/>
      <c r="EN42" s="90"/>
      <c r="EO42" s="90"/>
      <c r="EP42" s="90"/>
      <c r="EQ42" s="90"/>
      <c r="ER42" s="76"/>
      <c r="ES42" s="76"/>
      <c r="ET42" s="76"/>
      <c r="EU42" s="76"/>
      <c r="EV42" s="76"/>
      <c r="EW42" s="76"/>
      <c r="EX42" s="76"/>
      <c r="EY42" s="76"/>
      <c r="EZ42" s="137"/>
      <c r="FA42" s="137"/>
      <c r="FB42" s="61"/>
      <c r="FC42" s="138"/>
      <c r="FD42" s="61"/>
      <c r="FE42" s="61"/>
      <c r="FF42" s="91"/>
      <c r="FI42" s="91"/>
      <c r="FK42" s="92"/>
      <c r="FL42" s="92"/>
      <c r="FM42" s="92"/>
      <c r="FN42" s="92"/>
      <c r="FO42" s="92"/>
      <c r="FP42" s="92"/>
      <c r="FQ42" s="92"/>
      <c r="FS42" s="106"/>
      <c r="FT42" s="65"/>
      <c r="FU42" s="65"/>
      <c r="FV42" s="65"/>
      <c r="FW42" s="65"/>
      <c r="FX42" s="65"/>
      <c r="FY42" s="65"/>
      <c r="FZ42" s="106"/>
      <c r="GA42" s="90"/>
      <c r="GB42" s="65"/>
      <c r="GC42" s="61"/>
      <c r="GD42" s="94"/>
      <c r="GE42" s="65"/>
      <c r="GF42" s="94"/>
      <c r="GG42" s="106"/>
      <c r="GH42" s="90"/>
      <c r="GI42" s="65"/>
      <c r="GJ42" s="90"/>
      <c r="GK42" s="94"/>
      <c r="GL42" s="90"/>
      <c r="GM42" s="94"/>
      <c r="GO42" s="65"/>
      <c r="GP42" s="96"/>
      <c r="GQ42" s="96"/>
      <c r="GR42" s="96"/>
      <c r="GS42" s="96"/>
      <c r="GT42" s="96"/>
      <c r="GU42" s="96"/>
      <c r="GV42" s="96"/>
    </row>
    <row r="43" spans="1:204" ht="13.8" x14ac:dyDescent="0.3">
      <c r="A43" s="132">
        <v>28</v>
      </c>
      <c r="B43" s="182"/>
      <c r="C43" s="182"/>
      <c r="D43" s="222"/>
      <c r="E43" s="222"/>
      <c r="F43" s="146">
        <f>IF(C43="",INDEX(Matl!$C$15:$K$15,MATCH(D43,Matl!$C$2:$K$2,0)),C43)</f>
        <v>0</v>
      </c>
      <c r="G43" s="147"/>
      <c r="H43" s="111" t="s">
        <v>153</v>
      </c>
      <c r="I43" s="115">
        <f ca="1">(H25*I26-I25^2)/(F51*H25)</f>
        <v>7715043.8970249165</v>
      </c>
      <c r="J43" s="107" t="s">
        <v>57</v>
      </c>
      <c r="K43" s="148"/>
      <c r="W43" s="48">
        <f t="shared" si="3"/>
        <v>0</v>
      </c>
      <c r="X43" s="48"/>
      <c r="Y43" s="48"/>
      <c r="Z43" s="48"/>
      <c r="AA43" s="48" t="str">
        <f t="shared" si="4"/>
        <v/>
      </c>
      <c r="AB43" s="48" t="str">
        <f>IF(B43="","",IF(OR(D43=CV14,D43=CV16,D43=CV17,D43=CV18,D43=CV20)=TRUE,0.5,1))</f>
        <v/>
      </c>
      <c r="AC43" s="51" t="str">
        <f t="shared" si="5"/>
        <v/>
      </c>
      <c r="AD43" s="77">
        <f t="shared" si="6"/>
        <v>0</v>
      </c>
      <c r="AE43" s="77">
        <f>IF(D43="",0,SUM(F15:F43))</f>
        <v>0</v>
      </c>
      <c r="AF43" s="77">
        <f>IF(D43="",0,SUM(F16:F50)/2-AE43)</f>
        <v>0</v>
      </c>
      <c r="AG43" s="77">
        <f t="shared" si="7"/>
        <v>0</v>
      </c>
      <c r="AH43" s="77">
        <f>IF(D43="",0,(AE43+AE42)/2-SUM(F16:F50)/2)</f>
        <v>0</v>
      </c>
      <c r="AI43" s="58">
        <f ca="1">IF(D43="",0,INDEX(INDIRECT(CW32),MATCH(AI14,Matl!$B$3:$B$17,0),MATCH(D43,Matl!$D$2:$K$2,0)))</f>
        <v>0</v>
      </c>
      <c r="AJ43" s="58">
        <f ca="1">IF(D43="",0,INDEX(INDIRECT(CW32),MATCH(AJ14,Matl!$B$3:$B$17,0),MATCH(D43,Matl!$D$2:$K$2,0)))</f>
        <v>0</v>
      </c>
      <c r="AK43" s="58">
        <f ca="1">IF(D43="",0,INDEX(INDIRECT(CW32),MATCH(AK14,Matl!$B$3:$B$15,0),MATCH(D43,Matl!$D$2:$K$2,0)))</f>
        <v>0</v>
      </c>
      <c r="AL43" s="80">
        <f t="shared" si="8"/>
        <v>0</v>
      </c>
      <c r="AM43" s="58">
        <f ca="1">IF(D43="",0,INDEX(INDIRECT(CW32),MATCH(AM14,Matl!$B$3:$B$15,0),MATCH(D43,Matl!$D$2:$K$2,0)))</f>
        <v>0</v>
      </c>
      <c r="AN43" s="81">
        <f ca="1">IF(D43="",0,INDEX(INDIRECT(CW32),MATCH(AN14,Matl!$B$3:$B$15,0),MATCH(D43,Matl!$D$2:$K$2,0)))</f>
        <v>0</v>
      </c>
      <c r="AO43" s="81">
        <f ca="1">IF(D43="",0,INDEX(INDIRECT(CW32),MATCH(AO14,Matl!$B$3:$B$15,0),MATCH(D43,Matl!$D$2:$K$2,0)))</f>
        <v>0</v>
      </c>
      <c r="AP43" s="81">
        <f ca="1">IF(D43="",0,INDEX(INDIRECT(CW32),MATCH(AP14,Matl!$B$3:$B$15,0),MATCH(D43,Matl!$D$2:$K$2,0)))</f>
        <v>0</v>
      </c>
      <c r="AQ43" s="81">
        <f ca="1">IF(D43="",0,INDEX(INDIRECT(CW32),MATCH(AQ14,Matl!$B$3:$B$15,0),MATCH(D43,Matl!$D$2:$K$2,0)))</f>
        <v>0</v>
      </c>
      <c r="AR43" s="81">
        <f ca="1">IF(D43="",0,INDEX(INDIRECT(CW32),MATCH(AR14,Matl!$B$3:$B$15,0),MATCH(D43,Matl!$D$2:$K$2,0)))</f>
        <v>0</v>
      </c>
      <c r="AS43" s="58"/>
      <c r="AT43" s="58"/>
      <c r="AU43" s="82">
        <f t="shared" ca="1" si="9"/>
        <v>0</v>
      </c>
      <c r="AV43" s="76">
        <f t="shared" ca="1" si="10"/>
        <v>0</v>
      </c>
      <c r="AW43" s="76">
        <f t="shared" ca="1" si="11"/>
        <v>0</v>
      </c>
      <c r="AX43" s="76">
        <f t="shared" ca="1" si="12"/>
        <v>0</v>
      </c>
      <c r="AY43" s="61">
        <v>0</v>
      </c>
      <c r="AZ43" s="61">
        <v>0</v>
      </c>
      <c r="BA43" s="61">
        <v>0</v>
      </c>
      <c r="BB43" s="61">
        <v>0</v>
      </c>
      <c r="BC43" s="62">
        <f t="shared" ca="1" si="13"/>
        <v>0</v>
      </c>
      <c r="BD43" s="63"/>
      <c r="BE43" s="82">
        <f t="shared" ca="1" si="14"/>
        <v>0</v>
      </c>
      <c r="BF43" s="76">
        <f t="shared" ca="1" si="15"/>
        <v>0</v>
      </c>
      <c r="BG43" s="76">
        <f t="shared" ca="1" si="16"/>
        <v>0</v>
      </c>
      <c r="BH43" s="76">
        <f t="shared" ca="1" si="17"/>
        <v>0</v>
      </c>
      <c r="BI43" s="76">
        <f t="shared" ca="1" si="48"/>
        <v>0</v>
      </c>
      <c r="BJ43" s="76">
        <f t="shared" ca="1" si="18"/>
        <v>0</v>
      </c>
      <c r="BK43" s="76">
        <f t="shared" ca="1" si="19"/>
        <v>0</v>
      </c>
      <c r="BL43" s="76">
        <f t="shared" ca="1" si="20"/>
        <v>0</v>
      </c>
      <c r="BM43" s="83">
        <f t="shared" ca="1" si="49"/>
        <v>0</v>
      </c>
      <c r="BN43" s="84"/>
      <c r="BO43" s="82">
        <f t="shared" ca="1" si="21"/>
        <v>0</v>
      </c>
      <c r="BP43" s="76">
        <f t="shared" ca="1" si="22"/>
        <v>0</v>
      </c>
      <c r="BQ43" s="76">
        <f t="shared" ca="1" si="23"/>
        <v>0</v>
      </c>
      <c r="BR43" s="76">
        <f t="shared" ca="1" si="24"/>
        <v>0</v>
      </c>
      <c r="BS43" s="76">
        <f t="shared" ca="1" si="25"/>
        <v>0</v>
      </c>
      <c r="BT43" s="76">
        <f t="shared" ca="1" si="26"/>
        <v>0</v>
      </c>
      <c r="BU43" s="76">
        <f t="shared" ca="1" si="27"/>
        <v>0</v>
      </c>
      <c r="BV43" s="76">
        <f t="shared" ca="1" si="28"/>
        <v>0</v>
      </c>
      <c r="BW43" s="83">
        <f t="shared" ca="1" si="29"/>
        <v>0</v>
      </c>
      <c r="BX43" s="84"/>
      <c r="BY43" s="76">
        <f t="shared" ca="1" si="30"/>
        <v>0</v>
      </c>
      <c r="BZ43" s="76">
        <f t="shared" ca="1" si="31"/>
        <v>0</v>
      </c>
      <c r="CA43" s="76">
        <f t="shared" ca="1" si="32"/>
        <v>0</v>
      </c>
      <c r="CB43" s="76">
        <f t="shared" ca="1" si="33"/>
        <v>0</v>
      </c>
      <c r="CC43" s="76">
        <f t="shared" ca="1" si="34"/>
        <v>0</v>
      </c>
      <c r="CD43" s="76">
        <f t="shared" ca="1" si="35"/>
        <v>0</v>
      </c>
      <c r="CE43" s="76">
        <f t="shared" ca="1" si="36"/>
        <v>0</v>
      </c>
      <c r="CF43" s="76">
        <f t="shared" ca="1" si="37"/>
        <v>0</v>
      </c>
      <c r="CG43" s="76">
        <f t="shared" ca="1" si="38"/>
        <v>0</v>
      </c>
      <c r="CH43" s="84"/>
      <c r="CI43" s="85">
        <f t="shared" ca="1" si="39"/>
        <v>0</v>
      </c>
      <c r="CJ43" s="86">
        <f t="shared" ca="1" si="40"/>
        <v>0</v>
      </c>
      <c r="CK43" s="86">
        <f t="shared" ca="1" si="41"/>
        <v>0</v>
      </c>
      <c r="CL43" s="86">
        <f t="shared" ca="1" si="42"/>
        <v>0</v>
      </c>
      <c r="CM43" s="86">
        <f t="shared" ca="1" si="43"/>
        <v>0</v>
      </c>
      <c r="CN43" s="86">
        <f t="shared" ca="1" si="44"/>
        <v>0</v>
      </c>
      <c r="CO43" s="86">
        <f t="shared" ca="1" si="45"/>
        <v>0</v>
      </c>
      <c r="CP43" s="86">
        <f t="shared" ca="1" si="46"/>
        <v>0</v>
      </c>
      <c r="CQ43" s="87">
        <f t="shared" ca="1" si="47"/>
        <v>0</v>
      </c>
      <c r="CR43" s="61" t="str">
        <f ca="1">IF(D43="","",INDEX(INDIRECT(CW32),MATCH(CR14,Matl!$B$3:$B$29,0),MATCH(D43,Matl!$D$2:$K$2,0)))</f>
        <v/>
      </c>
      <c r="CS43" s="48" t="str">
        <f ca="1">IF(D43="","",INDEX(INDIRECT(CW32),MATCH(CS14,Matl!$B$3:$B$29,0),MATCH(D43,Matl!$D$2:$K$2,0)))</f>
        <v/>
      </c>
      <c r="CV43" s="88"/>
      <c r="CW43" s="108"/>
      <c r="CY43" s="76"/>
      <c r="CZ43" s="76"/>
      <c r="DA43" s="76"/>
      <c r="DC43" s="109"/>
      <c r="DE43" s="89"/>
      <c r="DF43" s="89"/>
      <c r="DG43" s="89"/>
      <c r="DH43" s="89"/>
      <c r="DI43" s="89"/>
      <c r="DJ43" s="89"/>
      <c r="DN43" s="88"/>
      <c r="DO43" s="108"/>
      <c r="DR43" s="88"/>
      <c r="DS43" s="108"/>
      <c r="DU43" s="76"/>
      <c r="DV43" s="76"/>
      <c r="DW43" s="76"/>
      <c r="DY43" s="110"/>
      <c r="DZ43" s="110"/>
      <c r="EA43" s="110"/>
      <c r="EC43" s="90"/>
      <c r="ED43" s="90"/>
      <c r="EE43" s="90"/>
      <c r="EF43" s="90"/>
      <c r="EG43" s="90"/>
      <c r="EH43" s="90"/>
      <c r="EI43" s="90"/>
      <c r="EJ43" s="90"/>
      <c r="EK43" s="90"/>
      <c r="EL43" s="90"/>
      <c r="EM43" s="90"/>
      <c r="EN43" s="90"/>
      <c r="EO43" s="90"/>
      <c r="EP43" s="90"/>
      <c r="EQ43" s="90"/>
      <c r="ER43" s="76"/>
      <c r="ES43" s="76"/>
      <c r="ET43" s="76"/>
      <c r="EU43" s="76"/>
      <c r="EV43" s="76"/>
      <c r="EW43" s="76"/>
      <c r="EX43" s="76"/>
      <c r="EY43" s="76"/>
      <c r="EZ43" s="137"/>
      <c r="FA43" s="137"/>
      <c r="FB43" s="61"/>
      <c r="FC43" s="138"/>
      <c r="FD43" s="61"/>
      <c r="FE43" s="61"/>
      <c r="FF43" s="91"/>
      <c r="FI43" s="91"/>
      <c r="FK43" s="92"/>
      <c r="FL43" s="92"/>
      <c r="FM43" s="92"/>
      <c r="FN43" s="92"/>
      <c r="FO43" s="92"/>
      <c r="FP43" s="92"/>
      <c r="FQ43" s="92"/>
      <c r="FS43" s="106"/>
      <c r="FT43" s="61"/>
      <c r="FU43" s="65"/>
      <c r="FV43" s="61"/>
      <c r="FW43" s="65"/>
      <c r="FX43" s="65"/>
      <c r="FY43" s="65"/>
      <c r="FZ43" s="106"/>
      <c r="GA43" s="61"/>
      <c r="GB43" s="65"/>
      <c r="GC43" s="61"/>
      <c r="GD43" s="94"/>
      <c r="GE43" s="61"/>
      <c r="GF43" s="94"/>
      <c r="GG43" s="106"/>
      <c r="GH43" s="90"/>
      <c r="GI43" s="65"/>
      <c r="GJ43" s="94"/>
      <c r="GK43" s="94"/>
      <c r="GL43" s="94"/>
      <c r="GM43" s="94"/>
      <c r="GO43" s="65"/>
      <c r="GP43" s="96"/>
      <c r="GQ43" s="96"/>
      <c r="GR43" s="96"/>
      <c r="GS43" s="96"/>
      <c r="GT43" s="96"/>
      <c r="GU43" s="96"/>
      <c r="GV43" s="96"/>
    </row>
    <row r="44" spans="1:204" ht="13.8" x14ac:dyDescent="0.3">
      <c r="A44" s="132">
        <v>29</v>
      </c>
      <c r="B44" s="182"/>
      <c r="C44" s="182"/>
      <c r="D44" s="222"/>
      <c r="E44" s="222"/>
      <c r="F44" s="146">
        <f>IF(C44="",INDEX(Matl!$C$15:$K$15,MATCH(D44,Matl!$C$2:$K$2,0)),C44)</f>
        <v>0</v>
      </c>
      <c r="G44" s="147"/>
      <c r="H44" s="111" t="s">
        <v>154</v>
      </c>
      <c r="I44" s="115">
        <f ca="1">J27/F51</f>
        <v>1902608.6008517242</v>
      </c>
      <c r="J44" s="107" t="s">
        <v>57</v>
      </c>
      <c r="K44" s="148"/>
      <c r="W44" s="48">
        <f t="shared" si="3"/>
        <v>0</v>
      </c>
      <c r="X44" s="48"/>
      <c r="Y44" s="48"/>
      <c r="Z44" s="48"/>
      <c r="AA44" s="48" t="str">
        <f t="shared" si="4"/>
        <v/>
      </c>
      <c r="AB44" s="48" t="str">
        <f>IF(B44="","",IF(OR(D44=CV14,D44=CV16,D44=CV17,D44=CV18,D44=CV20)=TRUE,0.5,1))</f>
        <v/>
      </c>
      <c r="AC44" s="51" t="str">
        <f t="shared" si="5"/>
        <v/>
      </c>
      <c r="AD44" s="77">
        <f t="shared" si="6"/>
        <v>0</v>
      </c>
      <c r="AE44" s="77">
        <f>IF(D44="",0,SUM(F15:F44))</f>
        <v>0</v>
      </c>
      <c r="AF44" s="77">
        <f>IF(D44="",0,SUM(F16:F50)/2-AE44)</f>
        <v>0</v>
      </c>
      <c r="AG44" s="77">
        <f t="shared" si="7"/>
        <v>0</v>
      </c>
      <c r="AH44" s="77">
        <f>IF(D44="",0,(AE44+AE43)/2-SUM(F16:F50)/2)</f>
        <v>0</v>
      </c>
      <c r="AI44" s="58">
        <f ca="1">IF(D44="",0,INDEX(INDIRECT(CW32),MATCH(AI14,Matl!$B$3:$B$17,0),MATCH(D44,Matl!$D$2:$K$2,0)))</f>
        <v>0</v>
      </c>
      <c r="AJ44" s="58">
        <f ca="1">IF(D44="",0,INDEX(INDIRECT(CW32),MATCH(AJ14,Matl!$B$3:$B$17,0),MATCH(D44,Matl!$D$2:$K$2,0)))</f>
        <v>0</v>
      </c>
      <c r="AK44" s="58">
        <f ca="1">IF(D44="",0,INDEX(INDIRECT(CW32),MATCH(AK14,Matl!$B$3:$B$15,0),MATCH(D44,Matl!$D$2:$K$2,0)))</f>
        <v>0</v>
      </c>
      <c r="AL44" s="80">
        <f t="shared" si="8"/>
        <v>0</v>
      </c>
      <c r="AM44" s="58">
        <f ca="1">IF(D44="",0,INDEX(INDIRECT(CW32),MATCH(AM14,Matl!$B$3:$B$15,0),MATCH(D44,Matl!$D$2:$K$2,0)))</f>
        <v>0</v>
      </c>
      <c r="AN44" s="81">
        <f ca="1">IF(D44="",0,INDEX(INDIRECT(CW32),MATCH(AN14,Matl!$B$3:$B$15,0),MATCH(D44,Matl!$D$2:$K$2,0)))</f>
        <v>0</v>
      </c>
      <c r="AO44" s="81">
        <f ca="1">IF(D44="",0,INDEX(INDIRECT(CW32),MATCH(AO14,Matl!$B$3:$B$15,0),MATCH(D44,Matl!$D$2:$K$2,0)))</f>
        <v>0</v>
      </c>
      <c r="AP44" s="81">
        <f ca="1">IF(D44="",0,INDEX(INDIRECT(CW32),MATCH(AP14,Matl!$B$3:$B$15,0),MATCH(D44,Matl!$D$2:$K$2,0)))</f>
        <v>0</v>
      </c>
      <c r="AQ44" s="81">
        <f ca="1">IF(D44="",0,INDEX(INDIRECT(CW32),MATCH(AQ14,Matl!$B$3:$B$15,0),MATCH(D44,Matl!$D$2:$K$2,0)))</f>
        <v>0</v>
      </c>
      <c r="AR44" s="81">
        <f ca="1">IF(D44="",0,INDEX(INDIRECT(CW32),MATCH(AR14,Matl!$B$3:$B$15,0),MATCH(D44,Matl!$D$2:$K$2,0)))</f>
        <v>0</v>
      </c>
      <c r="AS44" s="58"/>
      <c r="AT44" s="58"/>
      <c r="AU44" s="82">
        <f t="shared" ca="1" si="9"/>
        <v>0</v>
      </c>
      <c r="AV44" s="76">
        <f t="shared" ca="1" si="10"/>
        <v>0</v>
      </c>
      <c r="AW44" s="76">
        <f t="shared" ca="1" si="11"/>
        <v>0</v>
      </c>
      <c r="AX44" s="76">
        <f t="shared" ca="1" si="12"/>
        <v>0</v>
      </c>
      <c r="AY44" s="61">
        <v>0</v>
      </c>
      <c r="AZ44" s="61">
        <v>0</v>
      </c>
      <c r="BA44" s="61">
        <v>0</v>
      </c>
      <c r="BB44" s="61">
        <v>0</v>
      </c>
      <c r="BC44" s="62">
        <f t="shared" ca="1" si="13"/>
        <v>0</v>
      </c>
      <c r="BD44" s="63"/>
      <c r="BE44" s="82">
        <f t="shared" ca="1" si="14"/>
        <v>0</v>
      </c>
      <c r="BF44" s="76">
        <f t="shared" ca="1" si="15"/>
        <v>0</v>
      </c>
      <c r="BG44" s="76">
        <f t="shared" ca="1" si="16"/>
        <v>0</v>
      </c>
      <c r="BH44" s="76">
        <f t="shared" ca="1" si="17"/>
        <v>0</v>
      </c>
      <c r="BI44" s="76">
        <f t="shared" ca="1" si="48"/>
        <v>0</v>
      </c>
      <c r="BJ44" s="76">
        <f t="shared" ca="1" si="18"/>
        <v>0</v>
      </c>
      <c r="BK44" s="76">
        <f t="shared" ca="1" si="19"/>
        <v>0</v>
      </c>
      <c r="BL44" s="76">
        <f t="shared" ca="1" si="20"/>
        <v>0</v>
      </c>
      <c r="BM44" s="83">
        <f t="shared" ca="1" si="49"/>
        <v>0</v>
      </c>
      <c r="BN44" s="84"/>
      <c r="BO44" s="82">
        <f t="shared" ca="1" si="21"/>
        <v>0</v>
      </c>
      <c r="BP44" s="76">
        <f t="shared" ca="1" si="22"/>
        <v>0</v>
      </c>
      <c r="BQ44" s="76">
        <f t="shared" ca="1" si="23"/>
        <v>0</v>
      </c>
      <c r="BR44" s="76">
        <f t="shared" ca="1" si="24"/>
        <v>0</v>
      </c>
      <c r="BS44" s="76">
        <f t="shared" ca="1" si="25"/>
        <v>0</v>
      </c>
      <c r="BT44" s="76">
        <f t="shared" ca="1" si="26"/>
        <v>0</v>
      </c>
      <c r="BU44" s="76">
        <f t="shared" ca="1" si="27"/>
        <v>0</v>
      </c>
      <c r="BV44" s="76">
        <f t="shared" ca="1" si="28"/>
        <v>0</v>
      </c>
      <c r="BW44" s="83">
        <f t="shared" ca="1" si="29"/>
        <v>0</v>
      </c>
      <c r="BX44" s="84"/>
      <c r="BY44" s="76">
        <f t="shared" ca="1" si="30"/>
        <v>0</v>
      </c>
      <c r="BZ44" s="76">
        <f t="shared" ca="1" si="31"/>
        <v>0</v>
      </c>
      <c r="CA44" s="76">
        <f t="shared" ca="1" si="32"/>
        <v>0</v>
      </c>
      <c r="CB44" s="76">
        <f t="shared" ca="1" si="33"/>
        <v>0</v>
      </c>
      <c r="CC44" s="76">
        <f t="shared" ca="1" si="34"/>
        <v>0</v>
      </c>
      <c r="CD44" s="76">
        <f t="shared" ca="1" si="35"/>
        <v>0</v>
      </c>
      <c r="CE44" s="76">
        <f t="shared" ca="1" si="36"/>
        <v>0</v>
      </c>
      <c r="CF44" s="76">
        <f t="shared" ca="1" si="37"/>
        <v>0</v>
      </c>
      <c r="CG44" s="76">
        <f t="shared" ca="1" si="38"/>
        <v>0</v>
      </c>
      <c r="CH44" s="84"/>
      <c r="CI44" s="85">
        <f t="shared" ca="1" si="39"/>
        <v>0</v>
      </c>
      <c r="CJ44" s="86">
        <f t="shared" ca="1" si="40"/>
        <v>0</v>
      </c>
      <c r="CK44" s="86">
        <f t="shared" ca="1" si="41"/>
        <v>0</v>
      </c>
      <c r="CL44" s="86">
        <f t="shared" ca="1" si="42"/>
        <v>0</v>
      </c>
      <c r="CM44" s="86">
        <f t="shared" ca="1" si="43"/>
        <v>0</v>
      </c>
      <c r="CN44" s="86">
        <f t="shared" ca="1" si="44"/>
        <v>0</v>
      </c>
      <c r="CO44" s="86">
        <f t="shared" ca="1" si="45"/>
        <v>0</v>
      </c>
      <c r="CP44" s="86">
        <f t="shared" ca="1" si="46"/>
        <v>0</v>
      </c>
      <c r="CQ44" s="87">
        <f t="shared" ca="1" si="47"/>
        <v>0</v>
      </c>
      <c r="CR44" s="61" t="str">
        <f ca="1">IF(D44="","",INDEX(INDIRECT(CW32),MATCH(CR14,Matl!$B$3:$B$29,0),MATCH(D44,Matl!$D$2:$K$2,0)))</f>
        <v/>
      </c>
      <c r="CS44" s="48" t="str">
        <f ca="1">IF(D44="","",INDEX(INDIRECT(CW32),MATCH(CS14,Matl!$B$3:$B$29,0),MATCH(D44,Matl!$D$2:$K$2,0)))</f>
        <v/>
      </c>
      <c r="CV44" s="88"/>
      <c r="CW44" s="108"/>
      <c r="CY44" s="76"/>
      <c r="CZ44" s="76"/>
      <c r="DA44" s="76"/>
      <c r="DC44" s="109"/>
      <c r="DE44" s="89"/>
      <c r="DF44" s="89"/>
      <c r="DG44" s="89"/>
      <c r="DH44" s="89"/>
      <c r="DI44" s="89"/>
      <c r="DJ44" s="89"/>
      <c r="DN44" s="88"/>
      <c r="DO44" s="108"/>
      <c r="DR44" s="88"/>
      <c r="DS44" s="108"/>
      <c r="DU44" s="76"/>
      <c r="DV44" s="76"/>
      <c r="DW44" s="76"/>
      <c r="DY44" s="110"/>
      <c r="DZ44" s="110"/>
      <c r="EA44" s="110"/>
      <c r="EC44" s="90"/>
      <c r="ED44" s="90"/>
      <c r="EE44" s="90"/>
      <c r="EF44" s="90"/>
      <c r="EG44" s="90"/>
      <c r="EH44" s="90"/>
      <c r="EI44" s="90"/>
      <c r="EJ44" s="90"/>
      <c r="EK44" s="90"/>
      <c r="EL44" s="90"/>
      <c r="EM44" s="90"/>
      <c r="EN44" s="90"/>
      <c r="EO44" s="90"/>
      <c r="EP44" s="90"/>
      <c r="EQ44" s="90"/>
      <c r="ER44" s="76"/>
      <c r="ES44" s="76"/>
      <c r="ET44" s="76"/>
      <c r="EU44" s="76"/>
      <c r="EV44" s="76"/>
      <c r="EW44" s="76"/>
      <c r="EX44" s="76"/>
      <c r="EY44" s="76"/>
      <c r="EZ44" s="137"/>
      <c r="FA44" s="137"/>
      <c r="FB44" s="61"/>
      <c r="FC44" s="138"/>
      <c r="FD44" s="61"/>
      <c r="FE44" s="61"/>
      <c r="FF44" s="91"/>
      <c r="FI44" s="91"/>
      <c r="FK44" s="92"/>
      <c r="FL44" s="92"/>
      <c r="FM44" s="92"/>
      <c r="FN44" s="92"/>
      <c r="FO44" s="92"/>
      <c r="FP44" s="92"/>
      <c r="FQ44" s="92"/>
      <c r="FS44" s="106"/>
      <c r="FT44" s="61"/>
      <c r="FU44" s="65"/>
      <c r="FV44" s="61"/>
      <c r="FW44" s="65"/>
      <c r="FX44" s="65"/>
      <c r="FY44" s="65"/>
      <c r="FZ44" s="106"/>
      <c r="GA44" s="61"/>
      <c r="GB44" s="65"/>
      <c r="GC44" s="93"/>
      <c r="GD44" s="94"/>
      <c r="GE44" s="61"/>
      <c r="GF44" s="94"/>
      <c r="GG44" s="106"/>
      <c r="GH44" s="90"/>
      <c r="GI44" s="65"/>
      <c r="GJ44" s="94"/>
      <c r="GK44" s="94"/>
      <c r="GL44" s="94"/>
      <c r="GM44" s="94"/>
      <c r="GN44" s="106"/>
      <c r="GO44" s="65"/>
      <c r="GP44" s="96"/>
      <c r="GQ44" s="96"/>
      <c r="GR44" s="96"/>
      <c r="GS44" s="96"/>
      <c r="GT44" s="96"/>
      <c r="GU44" s="96"/>
      <c r="GV44" s="96"/>
    </row>
    <row r="45" spans="1:204" ht="13.8" x14ac:dyDescent="0.3">
      <c r="A45" s="132">
        <v>30</v>
      </c>
      <c r="B45" s="182"/>
      <c r="C45" s="182"/>
      <c r="D45" s="222"/>
      <c r="E45" s="222"/>
      <c r="F45" s="146">
        <f>IF(C45="",INDEX(Matl!$C$15:$K$15,MATCH(D45,Matl!$C$2:$K$2,0)),C45)</f>
        <v>0</v>
      </c>
      <c r="G45" s="147"/>
      <c r="H45" s="111" t="s">
        <v>156</v>
      </c>
      <c r="I45" s="116">
        <f ca="1">I25/I26</f>
        <v>0.21697695381267415</v>
      </c>
      <c r="J45" s="107"/>
      <c r="K45" s="148"/>
      <c r="W45" s="48">
        <f t="shared" si="3"/>
        <v>0</v>
      </c>
      <c r="X45" s="48"/>
      <c r="Y45" s="48"/>
      <c r="Z45" s="48"/>
      <c r="AA45" s="48" t="str">
        <f t="shared" si="4"/>
        <v/>
      </c>
      <c r="AB45" s="48" t="str">
        <f>IF(B45="","",IF(OR(D45=CV14,D45=CV16,D45=CV17,D45=CV18,D45=CV20)=TRUE,0.5,1))</f>
        <v/>
      </c>
      <c r="AC45" s="51" t="str">
        <f t="shared" si="5"/>
        <v/>
      </c>
      <c r="AD45" s="77">
        <f t="shared" si="6"/>
        <v>0</v>
      </c>
      <c r="AE45" s="77">
        <f>IF(D45="",0,SUM(F15:F45))</f>
        <v>0</v>
      </c>
      <c r="AF45" s="77">
        <f>IF(D45="",0,SUM(F16:F50)/2-AE45)</f>
        <v>0</v>
      </c>
      <c r="AG45" s="77">
        <f t="shared" si="7"/>
        <v>0</v>
      </c>
      <c r="AH45" s="77">
        <f>IF(D45="",0,(AE45+AE44)/2-SUM(F16:F50)/2)</f>
        <v>0</v>
      </c>
      <c r="AI45" s="58">
        <f ca="1">IF(D45="",0,INDEX(INDIRECT(CW32),MATCH(AI14,Matl!$B$3:$B$17,0),MATCH(D45,Matl!$D$2:$K$2,0)))</f>
        <v>0</v>
      </c>
      <c r="AJ45" s="58">
        <f ca="1">IF(D45="",0,INDEX(INDIRECT(CW32),MATCH(AJ14,Matl!$B$3:$B$17,0),MATCH(D45,Matl!$D$2:$K$2,0)))</f>
        <v>0</v>
      </c>
      <c r="AK45" s="58">
        <f ca="1">IF(D45="",0,INDEX(INDIRECT(CW32),MATCH(AK14,Matl!$B$3:$B$15,0),MATCH(D45,Matl!$D$2:$K$2,0)))</f>
        <v>0</v>
      </c>
      <c r="AL45" s="80">
        <f t="shared" si="8"/>
        <v>0</v>
      </c>
      <c r="AM45" s="58">
        <f ca="1">IF(D45="",0,INDEX(INDIRECT(CW32),MATCH(AM14,Matl!$B$3:$B$15,0),MATCH(D45,Matl!$D$2:$K$2,0)))</f>
        <v>0</v>
      </c>
      <c r="AN45" s="81">
        <f ca="1">IF(D45="",0,INDEX(INDIRECT(CW32),MATCH(AN14,Matl!$B$3:$B$15,0),MATCH(D45,Matl!$D$2:$K$2,0)))</f>
        <v>0</v>
      </c>
      <c r="AO45" s="81">
        <f ca="1">IF(D45="",0,INDEX(INDIRECT(CW32),MATCH(AO14,Matl!$B$3:$B$15,0),MATCH(D45,Matl!$D$2:$K$2,0)))</f>
        <v>0</v>
      </c>
      <c r="AP45" s="81">
        <f ca="1">IF(D45="",0,INDEX(INDIRECT(CW32),MATCH(AP14,Matl!$B$3:$B$15,0),MATCH(D45,Matl!$D$2:$K$2,0)))</f>
        <v>0</v>
      </c>
      <c r="AQ45" s="81">
        <f ca="1">IF(D45="",0,INDEX(INDIRECT(CW32),MATCH(AQ14,Matl!$B$3:$B$15,0),MATCH(D45,Matl!$D$2:$K$2,0)))</f>
        <v>0</v>
      </c>
      <c r="AR45" s="81">
        <f ca="1">IF(D45="",0,INDEX(INDIRECT(CW32),MATCH(AR14,Matl!$B$3:$B$15,0),MATCH(D45,Matl!$D$2:$K$2,0)))</f>
        <v>0</v>
      </c>
      <c r="AS45" s="58"/>
      <c r="AT45" s="58"/>
      <c r="AU45" s="82">
        <f t="shared" ca="1" si="9"/>
        <v>0</v>
      </c>
      <c r="AV45" s="76">
        <f t="shared" ca="1" si="10"/>
        <v>0</v>
      </c>
      <c r="AW45" s="76">
        <f t="shared" ca="1" si="11"/>
        <v>0</v>
      </c>
      <c r="AX45" s="76">
        <f t="shared" ca="1" si="12"/>
        <v>0</v>
      </c>
      <c r="AY45" s="61">
        <v>0</v>
      </c>
      <c r="AZ45" s="61">
        <v>0</v>
      </c>
      <c r="BA45" s="61">
        <v>0</v>
      </c>
      <c r="BB45" s="61">
        <v>0</v>
      </c>
      <c r="BC45" s="62">
        <f t="shared" ca="1" si="13"/>
        <v>0</v>
      </c>
      <c r="BD45" s="63"/>
      <c r="BE45" s="82">
        <f t="shared" ca="1" si="14"/>
        <v>0</v>
      </c>
      <c r="BF45" s="76">
        <f t="shared" ca="1" si="15"/>
        <v>0</v>
      </c>
      <c r="BG45" s="76">
        <f t="shared" ca="1" si="16"/>
        <v>0</v>
      </c>
      <c r="BH45" s="76">
        <f t="shared" ca="1" si="17"/>
        <v>0</v>
      </c>
      <c r="BI45" s="76">
        <f t="shared" ca="1" si="48"/>
        <v>0</v>
      </c>
      <c r="BJ45" s="76">
        <f t="shared" ca="1" si="18"/>
        <v>0</v>
      </c>
      <c r="BK45" s="76">
        <f t="shared" ca="1" si="19"/>
        <v>0</v>
      </c>
      <c r="BL45" s="76">
        <f t="shared" ca="1" si="20"/>
        <v>0</v>
      </c>
      <c r="BM45" s="83">
        <f t="shared" ca="1" si="49"/>
        <v>0</v>
      </c>
      <c r="BN45" s="84"/>
      <c r="BO45" s="82">
        <f t="shared" ca="1" si="21"/>
        <v>0</v>
      </c>
      <c r="BP45" s="76">
        <f t="shared" ca="1" si="22"/>
        <v>0</v>
      </c>
      <c r="BQ45" s="76">
        <f t="shared" ca="1" si="23"/>
        <v>0</v>
      </c>
      <c r="BR45" s="76">
        <f t="shared" ca="1" si="24"/>
        <v>0</v>
      </c>
      <c r="BS45" s="76">
        <f t="shared" ca="1" si="25"/>
        <v>0</v>
      </c>
      <c r="BT45" s="76">
        <f t="shared" ca="1" si="26"/>
        <v>0</v>
      </c>
      <c r="BU45" s="76">
        <f t="shared" ca="1" si="27"/>
        <v>0</v>
      </c>
      <c r="BV45" s="76">
        <f t="shared" ca="1" si="28"/>
        <v>0</v>
      </c>
      <c r="BW45" s="83">
        <f t="shared" ca="1" si="29"/>
        <v>0</v>
      </c>
      <c r="BX45" s="84"/>
      <c r="BY45" s="76">
        <f t="shared" ca="1" si="30"/>
        <v>0</v>
      </c>
      <c r="BZ45" s="76">
        <f t="shared" ca="1" si="31"/>
        <v>0</v>
      </c>
      <c r="CA45" s="76">
        <f t="shared" ca="1" si="32"/>
        <v>0</v>
      </c>
      <c r="CB45" s="76">
        <f t="shared" ca="1" si="33"/>
        <v>0</v>
      </c>
      <c r="CC45" s="76">
        <f t="shared" ca="1" si="34"/>
        <v>0</v>
      </c>
      <c r="CD45" s="76">
        <f t="shared" ca="1" si="35"/>
        <v>0</v>
      </c>
      <c r="CE45" s="76">
        <f t="shared" ca="1" si="36"/>
        <v>0</v>
      </c>
      <c r="CF45" s="76">
        <f t="shared" ca="1" si="37"/>
        <v>0</v>
      </c>
      <c r="CG45" s="76">
        <f t="shared" ca="1" si="38"/>
        <v>0</v>
      </c>
      <c r="CH45" s="84"/>
      <c r="CI45" s="85">
        <f t="shared" ca="1" si="39"/>
        <v>0</v>
      </c>
      <c r="CJ45" s="86">
        <f t="shared" ca="1" si="40"/>
        <v>0</v>
      </c>
      <c r="CK45" s="86">
        <f t="shared" ca="1" si="41"/>
        <v>0</v>
      </c>
      <c r="CL45" s="86">
        <f t="shared" ca="1" si="42"/>
        <v>0</v>
      </c>
      <c r="CM45" s="86">
        <f t="shared" ca="1" si="43"/>
        <v>0</v>
      </c>
      <c r="CN45" s="86">
        <f t="shared" ca="1" si="44"/>
        <v>0</v>
      </c>
      <c r="CO45" s="86">
        <f t="shared" ca="1" si="45"/>
        <v>0</v>
      </c>
      <c r="CP45" s="86">
        <f t="shared" ca="1" si="46"/>
        <v>0</v>
      </c>
      <c r="CQ45" s="87">
        <f t="shared" ca="1" si="47"/>
        <v>0</v>
      </c>
      <c r="CR45" s="61" t="str">
        <f ca="1">IF(D45="","",INDEX(INDIRECT(CW32),MATCH(CR14,Matl!$B$3:$B$29,0),MATCH(D45,Matl!$D$2:$K$2,0)))</f>
        <v/>
      </c>
      <c r="CS45" s="48" t="str">
        <f ca="1">IF(D45="","",INDEX(INDIRECT(CW32),MATCH(CS14,Matl!$B$3:$B$29,0),MATCH(D45,Matl!$D$2:$K$2,0)))</f>
        <v/>
      </c>
      <c r="CV45" s="88"/>
      <c r="CW45" s="108"/>
      <c r="CY45" s="76"/>
      <c r="CZ45" s="76"/>
      <c r="DA45" s="76"/>
      <c r="DC45" s="109"/>
      <c r="DE45" s="89"/>
      <c r="DF45" s="89"/>
      <c r="DG45" s="89"/>
      <c r="DH45" s="89"/>
      <c r="DI45" s="89"/>
      <c r="DJ45" s="89"/>
      <c r="DN45" s="88"/>
      <c r="DO45" s="108"/>
      <c r="DR45" s="88"/>
      <c r="DS45" s="108"/>
      <c r="DU45" s="76"/>
      <c r="DV45" s="76"/>
      <c r="DW45" s="76"/>
      <c r="DY45" s="110"/>
      <c r="DZ45" s="110"/>
      <c r="EA45" s="110"/>
      <c r="EC45" s="90"/>
      <c r="ED45" s="90"/>
      <c r="EE45" s="90"/>
      <c r="EF45" s="90"/>
      <c r="EG45" s="90"/>
      <c r="EH45" s="90"/>
      <c r="EI45" s="90"/>
      <c r="EJ45" s="90"/>
      <c r="EK45" s="90"/>
      <c r="EL45" s="90"/>
      <c r="EM45" s="90"/>
      <c r="EN45" s="90"/>
      <c r="EO45" s="90"/>
      <c r="EP45" s="90"/>
      <c r="EQ45" s="90"/>
      <c r="ER45" s="76"/>
      <c r="ES45" s="76"/>
      <c r="ET45" s="76"/>
      <c r="EU45" s="76"/>
      <c r="EV45" s="76"/>
      <c r="EW45" s="76"/>
      <c r="EX45" s="76"/>
      <c r="EY45" s="76"/>
      <c r="EZ45" s="137"/>
      <c r="FA45" s="137"/>
      <c r="FB45" s="61"/>
      <c r="FC45" s="138"/>
      <c r="FD45" s="61"/>
      <c r="FE45" s="61"/>
      <c r="FF45" s="91"/>
      <c r="FI45" s="91"/>
      <c r="FK45" s="92"/>
      <c r="FL45" s="92"/>
      <c r="FM45" s="92"/>
      <c r="FN45" s="92"/>
      <c r="FO45" s="92"/>
      <c r="FP45" s="92"/>
      <c r="FQ45" s="92"/>
      <c r="FS45" s="106"/>
      <c r="FT45" s="65"/>
      <c r="FU45" s="65"/>
      <c r="FV45" s="65"/>
      <c r="FW45" s="65"/>
      <c r="FX45" s="65"/>
      <c r="FY45" s="65"/>
      <c r="FZ45" s="106"/>
      <c r="GA45" s="90"/>
      <c r="GB45" s="65"/>
      <c r="GC45" s="61"/>
      <c r="GD45" s="94"/>
      <c r="GE45" s="65"/>
      <c r="GF45" s="94"/>
      <c r="GG45" s="106"/>
      <c r="GH45" s="90"/>
      <c r="GI45" s="65"/>
      <c r="GJ45" s="90"/>
      <c r="GK45" s="94"/>
      <c r="GL45" s="90"/>
      <c r="GM45" s="94"/>
      <c r="GO45" s="65"/>
      <c r="GP45" s="96"/>
      <c r="GQ45" s="96"/>
      <c r="GR45" s="96"/>
      <c r="GS45" s="96"/>
      <c r="GT45" s="96"/>
      <c r="GU45" s="96"/>
      <c r="GV45" s="96"/>
    </row>
    <row r="46" spans="1:204" ht="13.8" x14ac:dyDescent="0.3">
      <c r="A46" s="132">
        <v>31</v>
      </c>
      <c r="B46" s="182"/>
      <c r="C46" s="182"/>
      <c r="D46" s="222"/>
      <c r="E46" s="222"/>
      <c r="F46" s="146">
        <f>IF(C46="",INDEX(Matl!$C$15:$K$15,MATCH(D46,Matl!$C$2:$K$2,0)),C46)</f>
        <v>0</v>
      </c>
      <c r="G46" s="147"/>
      <c r="H46" s="111" t="s">
        <v>155</v>
      </c>
      <c r="I46" s="116">
        <f ca="1">H26/H25</f>
        <v>0.17866062695437382</v>
      </c>
      <c r="J46" s="107"/>
      <c r="K46" s="148"/>
      <c r="W46" s="48">
        <f t="shared" si="3"/>
        <v>0</v>
      </c>
      <c r="X46" s="48"/>
      <c r="Y46" s="48"/>
      <c r="Z46" s="48"/>
      <c r="AA46" s="48" t="str">
        <f t="shared" si="4"/>
        <v/>
      </c>
      <c r="AB46" s="48" t="str">
        <f>IF(B46="","",IF(OR(D46=CV14,D46=CV16,D46=CV17,D46=CV18,D46=CV20)=TRUE,0.5,1))</f>
        <v/>
      </c>
      <c r="AC46" s="51" t="str">
        <f t="shared" si="5"/>
        <v/>
      </c>
      <c r="AD46" s="77">
        <f t="shared" si="6"/>
        <v>0</v>
      </c>
      <c r="AE46" s="77">
        <f>IF(D46="",0,SUM(F15:F46))</f>
        <v>0</v>
      </c>
      <c r="AF46" s="77">
        <f>IF(D46="",0,SUM(F16:F50)/2-AE46)</f>
        <v>0</v>
      </c>
      <c r="AG46" s="77">
        <f t="shared" si="7"/>
        <v>0</v>
      </c>
      <c r="AH46" s="77">
        <f>IF(D46="",0,(AE46+AE45)/2-SUM(F16:F50)/2)</f>
        <v>0</v>
      </c>
      <c r="AI46" s="58">
        <f ca="1">IF(D46="",0,INDEX(INDIRECT(CW32),MATCH(AI14,Matl!$B$3:$B$17,0),MATCH(D46,Matl!$D$2:$K$2,0)))</f>
        <v>0</v>
      </c>
      <c r="AJ46" s="58">
        <f ca="1">IF(D46="",0,INDEX(INDIRECT(CW32),MATCH(AJ14,Matl!$B$3:$B$17,0),MATCH(D46,Matl!$D$2:$K$2,0)))</f>
        <v>0</v>
      </c>
      <c r="AK46" s="58">
        <f ca="1">IF(D46="",0,INDEX(INDIRECT(CW32),MATCH(AK14,Matl!$B$3:$B$15,0),MATCH(D46,Matl!$D$2:$K$2,0)))</f>
        <v>0</v>
      </c>
      <c r="AL46" s="80">
        <f t="shared" si="8"/>
        <v>0</v>
      </c>
      <c r="AM46" s="58">
        <f ca="1">IF(D46="",0,INDEX(INDIRECT(CW32),MATCH(AM14,Matl!$B$3:$B$15,0),MATCH(D46,Matl!$D$2:$K$2,0)))</f>
        <v>0</v>
      </c>
      <c r="AN46" s="81">
        <f ca="1">IF(D46="",0,INDEX(INDIRECT(CW32),MATCH(AN14,Matl!$B$3:$B$15,0),MATCH(D46,Matl!$D$2:$K$2,0)))</f>
        <v>0</v>
      </c>
      <c r="AO46" s="81">
        <f ca="1">IF(D46="",0,INDEX(INDIRECT(CW32),MATCH(AO14,Matl!$B$3:$B$15,0),MATCH(D46,Matl!$D$2:$K$2,0)))</f>
        <v>0</v>
      </c>
      <c r="AP46" s="81">
        <f ca="1">IF(D46="",0,INDEX(INDIRECT(CW32),MATCH(AP14,Matl!$B$3:$B$15,0),MATCH(D46,Matl!$D$2:$K$2,0)))</f>
        <v>0</v>
      </c>
      <c r="AQ46" s="81">
        <f ca="1">IF(D46="",0,INDEX(INDIRECT(CW32),MATCH(AQ14,Matl!$B$3:$B$15,0),MATCH(D46,Matl!$D$2:$K$2,0)))</f>
        <v>0</v>
      </c>
      <c r="AR46" s="81">
        <f ca="1">IF(D46="",0,INDEX(INDIRECT(CW32),MATCH(AR14,Matl!$B$3:$B$15,0),MATCH(D46,Matl!$D$2:$K$2,0)))</f>
        <v>0</v>
      </c>
      <c r="AS46" s="58"/>
      <c r="AT46" s="58"/>
      <c r="AU46" s="82">
        <f t="shared" ca="1" si="9"/>
        <v>0</v>
      </c>
      <c r="AV46" s="76">
        <f t="shared" ca="1" si="10"/>
        <v>0</v>
      </c>
      <c r="AW46" s="76">
        <f t="shared" ca="1" si="11"/>
        <v>0</v>
      </c>
      <c r="AX46" s="76">
        <f t="shared" ca="1" si="12"/>
        <v>0</v>
      </c>
      <c r="AY46" s="61">
        <v>0</v>
      </c>
      <c r="AZ46" s="61">
        <v>0</v>
      </c>
      <c r="BA46" s="61">
        <v>0</v>
      </c>
      <c r="BB46" s="61">
        <v>0</v>
      </c>
      <c r="BC46" s="62">
        <f t="shared" ca="1" si="13"/>
        <v>0</v>
      </c>
      <c r="BD46" s="63"/>
      <c r="BE46" s="82">
        <f t="shared" ca="1" si="14"/>
        <v>0</v>
      </c>
      <c r="BF46" s="76">
        <f t="shared" ca="1" si="15"/>
        <v>0</v>
      </c>
      <c r="BG46" s="76">
        <f t="shared" ca="1" si="16"/>
        <v>0</v>
      </c>
      <c r="BH46" s="76">
        <f t="shared" ca="1" si="17"/>
        <v>0</v>
      </c>
      <c r="BI46" s="76">
        <f t="shared" ca="1" si="48"/>
        <v>0</v>
      </c>
      <c r="BJ46" s="76">
        <f t="shared" ca="1" si="18"/>
        <v>0</v>
      </c>
      <c r="BK46" s="76">
        <f t="shared" ca="1" si="19"/>
        <v>0</v>
      </c>
      <c r="BL46" s="76">
        <f t="shared" ca="1" si="20"/>
        <v>0</v>
      </c>
      <c r="BM46" s="83">
        <f t="shared" ca="1" si="49"/>
        <v>0</v>
      </c>
      <c r="BN46" s="84"/>
      <c r="BO46" s="82">
        <f t="shared" ca="1" si="21"/>
        <v>0</v>
      </c>
      <c r="BP46" s="76">
        <f t="shared" ca="1" si="22"/>
        <v>0</v>
      </c>
      <c r="BQ46" s="76">
        <f t="shared" ca="1" si="23"/>
        <v>0</v>
      </c>
      <c r="BR46" s="76">
        <f t="shared" ca="1" si="24"/>
        <v>0</v>
      </c>
      <c r="BS46" s="76">
        <f t="shared" ca="1" si="25"/>
        <v>0</v>
      </c>
      <c r="BT46" s="76">
        <f t="shared" ca="1" si="26"/>
        <v>0</v>
      </c>
      <c r="BU46" s="76">
        <f t="shared" ca="1" si="27"/>
        <v>0</v>
      </c>
      <c r="BV46" s="76">
        <f t="shared" ca="1" si="28"/>
        <v>0</v>
      </c>
      <c r="BW46" s="83">
        <f t="shared" ca="1" si="29"/>
        <v>0</v>
      </c>
      <c r="BX46" s="84"/>
      <c r="BY46" s="76">
        <f t="shared" ca="1" si="30"/>
        <v>0</v>
      </c>
      <c r="BZ46" s="76">
        <f t="shared" ca="1" si="31"/>
        <v>0</v>
      </c>
      <c r="CA46" s="76">
        <f t="shared" ca="1" si="32"/>
        <v>0</v>
      </c>
      <c r="CB46" s="76">
        <f t="shared" ca="1" si="33"/>
        <v>0</v>
      </c>
      <c r="CC46" s="76">
        <f t="shared" ca="1" si="34"/>
        <v>0</v>
      </c>
      <c r="CD46" s="76">
        <f t="shared" ca="1" si="35"/>
        <v>0</v>
      </c>
      <c r="CE46" s="76">
        <f t="shared" ca="1" si="36"/>
        <v>0</v>
      </c>
      <c r="CF46" s="76">
        <f t="shared" ca="1" si="37"/>
        <v>0</v>
      </c>
      <c r="CG46" s="76">
        <f t="shared" ca="1" si="38"/>
        <v>0</v>
      </c>
      <c r="CH46" s="84"/>
      <c r="CI46" s="85">
        <f t="shared" ca="1" si="39"/>
        <v>0</v>
      </c>
      <c r="CJ46" s="86">
        <f t="shared" ca="1" si="40"/>
        <v>0</v>
      </c>
      <c r="CK46" s="86">
        <f t="shared" ca="1" si="41"/>
        <v>0</v>
      </c>
      <c r="CL46" s="86">
        <f t="shared" ca="1" si="42"/>
        <v>0</v>
      </c>
      <c r="CM46" s="86">
        <f t="shared" ca="1" si="43"/>
        <v>0</v>
      </c>
      <c r="CN46" s="86">
        <f t="shared" ca="1" si="44"/>
        <v>0</v>
      </c>
      <c r="CO46" s="86">
        <f t="shared" ca="1" si="45"/>
        <v>0</v>
      </c>
      <c r="CP46" s="86">
        <f t="shared" ca="1" si="46"/>
        <v>0</v>
      </c>
      <c r="CQ46" s="87">
        <f t="shared" ca="1" si="47"/>
        <v>0</v>
      </c>
      <c r="CR46" s="61" t="str">
        <f ca="1">IF(D46="","",INDEX(INDIRECT(CW32),MATCH(CR14,Matl!$B$3:$B$29,0),MATCH(D46,Matl!$D$2:$K$2,0)))</f>
        <v/>
      </c>
      <c r="CS46" s="48" t="str">
        <f ca="1">IF(D46="","",INDEX(INDIRECT(CW32),MATCH(CS14,Matl!$B$3:$B$29,0),MATCH(D46,Matl!$D$2:$K$2,0)))</f>
        <v/>
      </c>
      <c r="CV46" s="88"/>
      <c r="CW46" s="108"/>
      <c r="CY46" s="76"/>
      <c r="CZ46" s="76"/>
      <c r="DA46" s="76"/>
      <c r="DC46" s="109"/>
      <c r="DE46" s="89"/>
      <c r="DF46" s="89"/>
      <c r="DG46" s="89"/>
      <c r="DH46" s="89"/>
      <c r="DI46" s="89"/>
      <c r="DJ46" s="89"/>
      <c r="DN46" s="88"/>
      <c r="DO46" s="108"/>
      <c r="DR46" s="88"/>
      <c r="DS46" s="108"/>
      <c r="DU46" s="76"/>
      <c r="DV46" s="76"/>
      <c r="DW46" s="76"/>
      <c r="DY46" s="110"/>
      <c r="DZ46" s="110"/>
      <c r="EA46" s="110"/>
      <c r="EC46" s="90"/>
      <c r="ED46" s="90"/>
      <c r="EE46" s="90"/>
      <c r="EF46" s="90"/>
      <c r="EG46" s="90"/>
      <c r="EH46" s="90"/>
      <c r="EI46" s="90"/>
      <c r="EJ46" s="90"/>
      <c r="EK46" s="90"/>
      <c r="EL46" s="90"/>
      <c r="EM46" s="90"/>
      <c r="EN46" s="90"/>
      <c r="EO46" s="90"/>
      <c r="EP46" s="90"/>
      <c r="EQ46" s="90"/>
      <c r="ER46" s="76"/>
      <c r="ES46" s="76"/>
      <c r="ET46" s="76"/>
      <c r="EU46" s="76"/>
      <c r="EV46" s="76"/>
      <c r="EW46" s="76"/>
      <c r="EX46" s="76"/>
      <c r="EY46" s="76"/>
      <c r="EZ46" s="137"/>
      <c r="FA46" s="137"/>
      <c r="FB46" s="61"/>
      <c r="FC46" s="138"/>
      <c r="FD46" s="61"/>
      <c r="FE46" s="61"/>
      <c r="FF46" s="91"/>
      <c r="FI46" s="91"/>
      <c r="FK46" s="92"/>
      <c r="FL46" s="92"/>
      <c r="FM46" s="92"/>
      <c r="FN46" s="92"/>
      <c r="FO46" s="92"/>
      <c r="FP46" s="92"/>
      <c r="FQ46" s="92"/>
      <c r="FS46" s="106"/>
      <c r="FT46" s="65"/>
      <c r="FU46" s="65"/>
      <c r="FV46" s="65"/>
      <c r="FW46" s="65"/>
      <c r="FX46" s="65"/>
      <c r="FY46" s="65"/>
      <c r="FZ46" s="106"/>
      <c r="GA46" s="90"/>
      <c r="GB46" s="65"/>
      <c r="GC46" s="61"/>
      <c r="GD46" s="94"/>
      <c r="GE46" s="65"/>
      <c r="GF46" s="94"/>
      <c r="GG46" s="106"/>
      <c r="GH46" s="90"/>
      <c r="GI46" s="65"/>
      <c r="GJ46" s="90"/>
      <c r="GK46" s="94"/>
      <c r="GL46" s="90"/>
      <c r="GM46" s="94"/>
      <c r="GO46" s="65"/>
      <c r="GP46" s="96"/>
      <c r="GQ46" s="96"/>
      <c r="GR46" s="96"/>
      <c r="GS46" s="96"/>
      <c r="GT46" s="96"/>
      <c r="GU46" s="96"/>
      <c r="GV46" s="96"/>
    </row>
    <row r="47" spans="1:204" ht="13.8" x14ac:dyDescent="0.3">
      <c r="A47" s="132">
        <v>32</v>
      </c>
      <c r="B47" s="182"/>
      <c r="C47" s="182"/>
      <c r="D47" s="222"/>
      <c r="E47" s="222"/>
      <c r="F47" s="146">
        <f>IF(C47="",INDEX(Matl!$C$15:$K$15,MATCH(D47,Matl!$C$2:$K$2,0)),C47)</f>
        <v>0</v>
      </c>
      <c r="G47" s="147"/>
      <c r="H47" s="149"/>
      <c r="I47" s="149"/>
      <c r="J47" s="149"/>
      <c r="K47" s="148"/>
      <c r="W47" s="48">
        <f t="shared" si="3"/>
        <v>0</v>
      </c>
      <c r="X47" s="48"/>
      <c r="Y47" s="48"/>
      <c r="Z47" s="48"/>
      <c r="AA47" s="48" t="str">
        <f t="shared" si="4"/>
        <v/>
      </c>
      <c r="AB47" s="48" t="str">
        <f>IF(B47="","",IF(OR(D47=CV14,D47=CV16,D47=CV17,D47=CV18,D47=CV20)=TRUE,0.5,1))</f>
        <v/>
      </c>
      <c r="AC47" s="51" t="str">
        <f t="shared" si="5"/>
        <v/>
      </c>
      <c r="AD47" s="77">
        <f t="shared" si="6"/>
        <v>0</v>
      </c>
      <c r="AE47" s="77">
        <f>IF(D47="",0,SUM(F15:F47))</f>
        <v>0</v>
      </c>
      <c r="AF47" s="77">
        <f>IF(D47="",0,SUM(F16:F50)/2-AE47)</f>
        <v>0</v>
      </c>
      <c r="AG47" s="77">
        <f t="shared" si="7"/>
        <v>0</v>
      </c>
      <c r="AH47" s="77">
        <f>IF(D47="",0,(AE47+AE46)/2-SUM(F16:F50)/2)</f>
        <v>0</v>
      </c>
      <c r="AI47" s="58">
        <f ca="1">IF(D47="",0,INDEX(INDIRECT(CW32),MATCH(AI14,Matl!$B$3:$B$17,0),MATCH(D47,Matl!$D$2:$K$2,0)))</f>
        <v>0</v>
      </c>
      <c r="AJ47" s="58">
        <f ca="1">IF(D47="",0,INDEX(INDIRECT(CW32),MATCH(AJ14,Matl!$B$3:$B$17,0),MATCH(D47,Matl!$D$2:$K$2,0)))</f>
        <v>0</v>
      </c>
      <c r="AK47" s="58">
        <f ca="1">IF(D47="",0,INDEX(INDIRECT(CW32),MATCH(AK14,Matl!$B$3:$B$15,0),MATCH(D47,Matl!$D$2:$K$2,0)))</f>
        <v>0</v>
      </c>
      <c r="AL47" s="80">
        <f t="shared" si="8"/>
        <v>0</v>
      </c>
      <c r="AM47" s="58">
        <f ca="1">IF(D47="",0,INDEX(INDIRECT(CW32),MATCH(AM14,Matl!$B$3:$B$15,0),MATCH(D47,Matl!$D$2:$K$2,0)))</f>
        <v>0</v>
      </c>
      <c r="AN47" s="81">
        <f ca="1">IF(D47="",0,INDEX(INDIRECT(CW32),MATCH(AN14,Matl!$B$3:$B$15,0),MATCH(D47,Matl!$D$2:$K$2,0)))</f>
        <v>0</v>
      </c>
      <c r="AO47" s="81">
        <f ca="1">IF(D47="",0,INDEX(INDIRECT(CW32),MATCH(AO14,Matl!$B$3:$B$15,0),MATCH(D47,Matl!$D$2:$K$2,0)))</f>
        <v>0</v>
      </c>
      <c r="AP47" s="81">
        <f ca="1">IF(D47="",0,INDEX(INDIRECT(CW32),MATCH(AP14,Matl!$B$3:$B$15,0),MATCH(D47,Matl!$D$2:$K$2,0)))</f>
        <v>0</v>
      </c>
      <c r="AQ47" s="81">
        <f ca="1">IF(D47="",0,INDEX(INDIRECT(CW32),MATCH(AQ14,Matl!$B$3:$B$15,0),MATCH(D47,Matl!$D$2:$K$2,0)))</f>
        <v>0</v>
      </c>
      <c r="AR47" s="81">
        <f ca="1">IF(D47="",0,INDEX(INDIRECT(CW32),MATCH(AR14,Matl!$B$3:$B$15,0),MATCH(D47,Matl!$D$2:$K$2,0)))</f>
        <v>0</v>
      </c>
      <c r="AS47" s="58"/>
      <c r="AT47" s="58"/>
      <c r="AU47" s="82">
        <f t="shared" ca="1" si="9"/>
        <v>0</v>
      </c>
      <c r="AV47" s="76">
        <f t="shared" ca="1" si="10"/>
        <v>0</v>
      </c>
      <c r="AW47" s="76">
        <f t="shared" ca="1" si="11"/>
        <v>0</v>
      </c>
      <c r="AX47" s="76">
        <f t="shared" ca="1" si="12"/>
        <v>0</v>
      </c>
      <c r="AY47" s="61">
        <v>0</v>
      </c>
      <c r="AZ47" s="61">
        <v>0</v>
      </c>
      <c r="BA47" s="61">
        <v>0</v>
      </c>
      <c r="BB47" s="61">
        <v>0</v>
      </c>
      <c r="BC47" s="62">
        <f t="shared" ca="1" si="13"/>
        <v>0</v>
      </c>
      <c r="BD47" s="63"/>
      <c r="BE47" s="82">
        <f t="shared" ca="1" si="14"/>
        <v>0</v>
      </c>
      <c r="BF47" s="76">
        <f t="shared" ca="1" si="15"/>
        <v>0</v>
      </c>
      <c r="BG47" s="76">
        <f t="shared" ca="1" si="16"/>
        <v>0</v>
      </c>
      <c r="BH47" s="76">
        <f t="shared" ca="1" si="17"/>
        <v>0</v>
      </c>
      <c r="BI47" s="76">
        <f t="shared" ca="1" si="48"/>
        <v>0</v>
      </c>
      <c r="BJ47" s="76">
        <f t="shared" ca="1" si="18"/>
        <v>0</v>
      </c>
      <c r="BK47" s="76">
        <f t="shared" ca="1" si="19"/>
        <v>0</v>
      </c>
      <c r="BL47" s="76">
        <f t="shared" ca="1" si="20"/>
        <v>0</v>
      </c>
      <c r="BM47" s="83">
        <f t="shared" ca="1" si="49"/>
        <v>0</v>
      </c>
      <c r="BN47" s="84"/>
      <c r="BO47" s="82">
        <f t="shared" ca="1" si="21"/>
        <v>0</v>
      </c>
      <c r="BP47" s="76">
        <f t="shared" ca="1" si="22"/>
        <v>0</v>
      </c>
      <c r="BQ47" s="76">
        <f t="shared" ca="1" si="23"/>
        <v>0</v>
      </c>
      <c r="BR47" s="76">
        <f t="shared" ca="1" si="24"/>
        <v>0</v>
      </c>
      <c r="BS47" s="76">
        <f t="shared" ca="1" si="25"/>
        <v>0</v>
      </c>
      <c r="BT47" s="76">
        <f t="shared" ca="1" si="26"/>
        <v>0</v>
      </c>
      <c r="BU47" s="76">
        <f t="shared" ca="1" si="27"/>
        <v>0</v>
      </c>
      <c r="BV47" s="76">
        <f t="shared" ca="1" si="28"/>
        <v>0</v>
      </c>
      <c r="BW47" s="83">
        <f t="shared" ca="1" si="29"/>
        <v>0</v>
      </c>
      <c r="BX47" s="84"/>
      <c r="BY47" s="76">
        <f t="shared" ca="1" si="30"/>
        <v>0</v>
      </c>
      <c r="BZ47" s="76">
        <f t="shared" ca="1" si="31"/>
        <v>0</v>
      </c>
      <c r="CA47" s="76">
        <f t="shared" ca="1" si="32"/>
        <v>0</v>
      </c>
      <c r="CB47" s="76">
        <f t="shared" ca="1" si="33"/>
        <v>0</v>
      </c>
      <c r="CC47" s="76">
        <f t="shared" ca="1" si="34"/>
        <v>0</v>
      </c>
      <c r="CD47" s="76">
        <f t="shared" ca="1" si="35"/>
        <v>0</v>
      </c>
      <c r="CE47" s="76">
        <f t="shared" ca="1" si="36"/>
        <v>0</v>
      </c>
      <c r="CF47" s="76">
        <f t="shared" ca="1" si="37"/>
        <v>0</v>
      </c>
      <c r="CG47" s="76">
        <f t="shared" ca="1" si="38"/>
        <v>0</v>
      </c>
      <c r="CH47" s="84"/>
      <c r="CI47" s="85">
        <f t="shared" ca="1" si="39"/>
        <v>0</v>
      </c>
      <c r="CJ47" s="86">
        <f t="shared" ca="1" si="40"/>
        <v>0</v>
      </c>
      <c r="CK47" s="86">
        <f t="shared" ca="1" si="41"/>
        <v>0</v>
      </c>
      <c r="CL47" s="86">
        <f t="shared" ca="1" si="42"/>
        <v>0</v>
      </c>
      <c r="CM47" s="86">
        <f t="shared" ca="1" si="43"/>
        <v>0</v>
      </c>
      <c r="CN47" s="86">
        <f t="shared" ca="1" si="44"/>
        <v>0</v>
      </c>
      <c r="CO47" s="86">
        <f t="shared" ca="1" si="45"/>
        <v>0</v>
      </c>
      <c r="CP47" s="86">
        <f t="shared" ca="1" si="46"/>
        <v>0</v>
      </c>
      <c r="CQ47" s="87">
        <f t="shared" ca="1" si="47"/>
        <v>0</v>
      </c>
      <c r="CR47" s="61" t="str">
        <f ca="1">IF(D47="","",INDEX(INDIRECT(CW32),MATCH(CR14,Matl!$B$3:$B$29,0),MATCH(D47,Matl!$D$2:$K$2,0)))</f>
        <v/>
      </c>
      <c r="CS47" s="48" t="str">
        <f ca="1">IF(D47="","",INDEX(INDIRECT(CW32),MATCH(CS14,Matl!$B$3:$B$29,0),MATCH(D47,Matl!$D$2:$K$2,0)))</f>
        <v/>
      </c>
      <c r="CV47" s="88"/>
      <c r="CW47" s="108"/>
      <c r="CY47" s="76"/>
      <c r="CZ47" s="76"/>
      <c r="DA47" s="76"/>
      <c r="DC47" s="109"/>
      <c r="DE47" s="89"/>
      <c r="DF47" s="89"/>
      <c r="DG47" s="89"/>
      <c r="DH47" s="89"/>
      <c r="DI47" s="89"/>
      <c r="DJ47" s="89"/>
      <c r="DN47" s="88"/>
      <c r="DO47" s="108"/>
      <c r="DR47" s="88"/>
      <c r="DS47" s="108"/>
      <c r="DU47" s="76"/>
      <c r="DV47" s="76"/>
      <c r="DW47" s="76"/>
      <c r="DY47" s="110"/>
      <c r="DZ47" s="110"/>
      <c r="EA47" s="110"/>
      <c r="EC47" s="90"/>
      <c r="ED47" s="90"/>
      <c r="EE47" s="90"/>
      <c r="EF47" s="90"/>
      <c r="EG47" s="90"/>
      <c r="EH47" s="90"/>
      <c r="EI47" s="90"/>
      <c r="EJ47" s="90"/>
      <c r="EK47" s="90"/>
      <c r="EL47" s="90"/>
      <c r="EM47" s="90"/>
      <c r="EN47" s="90"/>
      <c r="EO47" s="90"/>
      <c r="EP47" s="90"/>
      <c r="EQ47" s="90"/>
      <c r="ER47" s="76"/>
      <c r="ES47" s="76"/>
      <c r="ET47" s="76"/>
      <c r="EU47" s="76"/>
      <c r="EV47" s="76"/>
      <c r="EW47" s="76"/>
      <c r="EX47" s="76"/>
      <c r="EY47" s="76"/>
      <c r="EZ47" s="137"/>
      <c r="FA47" s="137"/>
      <c r="FB47" s="61"/>
      <c r="FC47" s="138"/>
      <c r="FD47" s="61"/>
      <c r="FE47" s="61"/>
      <c r="FF47" s="91"/>
      <c r="FI47" s="91"/>
      <c r="FK47" s="92"/>
      <c r="FL47" s="92"/>
      <c r="FM47" s="92"/>
      <c r="FN47" s="92"/>
      <c r="FO47" s="92"/>
      <c r="FP47" s="92"/>
      <c r="FQ47" s="92"/>
      <c r="FS47" s="106"/>
      <c r="FT47" s="61"/>
      <c r="FU47" s="65"/>
      <c r="FV47" s="61"/>
      <c r="FW47" s="65"/>
      <c r="FX47" s="65"/>
      <c r="FY47" s="65"/>
      <c r="FZ47" s="106"/>
      <c r="GA47" s="61"/>
      <c r="GB47" s="65"/>
      <c r="GC47" s="61"/>
      <c r="GD47" s="94"/>
      <c r="GE47" s="61"/>
      <c r="GF47" s="94"/>
      <c r="GG47" s="106"/>
      <c r="GH47" s="90"/>
      <c r="GI47" s="65"/>
      <c r="GJ47" s="94"/>
      <c r="GK47" s="94"/>
      <c r="GL47" s="94"/>
      <c r="GM47" s="94"/>
      <c r="GO47" s="65"/>
      <c r="GP47" s="96"/>
      <c r="GQ47" s="96"/>
      <c r="GR47" s="96"/>
      <c r="GS47" s="96"/>
      <c r="GT47" s="96"/>
      <c r="GU47" s="96"/>
      <c r="GV47" s="96"/>
    </row>
    <row r="48" spans="1:204" ht="13.8" x14ac:dyDescent="0.3">
      <c r="A48" s="132">
        <v>33</v>
      </c>
      <c r="B48" s="182"/>
      <c r="C48" s="182"/>
      <c r="D48" s="222"/>
      <c r="E48" s="222"/>
      <c r="F48" s="146">
        <f>IF(C48="",INDEX(Matl!$C$15:$K$15,MATCH(D48,Matl!$C$2:$K$2,0)),C48)</f>
        <v>0</v>
      </c>
      <c r="G48" s="147"/>
      <c r="H48" s="212" t="s">
        <v>157</v>
      </c>
      <c r="I48" s="208">
        <f ca="1">H25</f>
        <v>1208844.7390663289</v>
      </c>
      <c r="J48" s="149"/>
      <c r="K48" s="148"/>
      <c r="W48" s="48">
        <f t="shared" si="3"/>
        <v>0</v>
      </c>
      <c r="X48" s="48"/>
      <c r="Y48" s="48"/>
      <c r="Z48" s="48"/>
      <c r="AA48" s="48" t="str">
        <f t="shared" si="4"/>
        <v/>
      </c>
      <c r="AB48" s="48" t="str">
        <f>IF(B48="","",IF(OR(D48=CV14,D48=CV16,D48=CV17,D48=CV18,D48=CV20)=TRUE,0.5,1))</f>
        <v/>
      </c>
      <c r="AC48" s="51" t="str">
        <f t="shared" si="5"/>
        <v/>
      </c>
      <c r="AD48" s="77">
        <f t="shared" si="6"/>
        <v>0</v>
      </c>
      <c r="AE48" s="77">
        <f>IF(D48="",0,SUM(F15:F48))</f>
        <v>0</v>
      </c>
      <c r="AF48" s="77">
        <f>IF(D48="",0,SUM(F16:F50)/2-AE48)</f>
        <v>0</v>
      </c>
      <c r="AG48" s="77">
        <f t="shared" si="7"/>
        <v>0</v>
      </c>
      <c r="AH48" s="77">
        <f>IF(D48="",0,(AE48+AE47)/2-SUM(F16:F50)/2)</f>
        <v>0</v>
      </c>
      <c r="AI48" s="58">
        <f ca="1">IF(D48="",0,INDEX(INDIRECT(CW32),MATCH(AI14,Matl!$B$3:$B$17,0),MATCH(D48,Matl!$D$2:$K$2,0)))</f>
        <v>0</v>
      </c>
      <c r="AJ48" s="58">
        <f ca="1">IF(D48="",0,INDEX(INDIRECT(CW32),MATCH(AJ14,Matl!$B$3:$B$17,0),MATCH(D48,Matl!$D$2:$K$2,0)))</f>
        <v>0</v>
      </c>
      <c r="AK48" s="58">
        <f ca="1">IF(D48="",0,INDEX(INDIRECT(CW32),MATCH(AK14,Matl!$B$3:$B$15,0),MATCH(D48,Matl!$D$2:$K$2,0)))</f>
        <v>0</v>
      </c>
      <c r="AL48" s="80">
        <f t="shared" si="8"/>
        <v>0</v>
      </c>
      <c r="AM48" s="58">
        <f ca="1">IF(D48="",0,INDEX(INDIRECT(CW32),MATCH(AM14,Matl!$B$3:$B$15,0),MATCH(D48,Matl!$D$2:$K$2,0)))</f>
        <v>0</v>
      </c>
      <c r="AN48" s="81">
        <f ca="1">IF(D48="",0,INDEX(INDIRECT(CW32),MATCH(AN14,Matl!$B$3:$B$15,0),MATCH(D48,Matl!$D$2:$K$2,0)))</f>
        <v>0</v>
      </c>
      <c r="AO48" s="81">
        <f ca="1">IF(D48="",0,INDEX(INDIRECT(CW32),MATCH(AO14,Matl!$B$3:$B$15,0),MATCH(D48,Matl!$D$2:$K$2,0)))</f>
        <v>0</v>
      </c>
      <c r="AP48" s="81">
        <f ca="1">IF(D48="",0,INDEX(INDIRECT(CW32),MATCH(AP14,Matl!$B$3:$B$15,0),MATCH(D48,Matl!$D$2:$K$2,0)))</f>
        <v>0</v>
      </c>
      <c r="AQ48" s="81">
        <f ca="1">IF(D48="",0,INDEX(INDIRECT(CW32),MATCH(AQ14,Matl!$B$3:$B$15,0),MATCH(D48,Matl!$D$2:$K$2,0)))</f>
        <v>0</v>
      </c>
      <c r="AR48" s="81">
        <f ca="1">IF(D48="",0,INDEX(INDIRECT(CW32),MATCH(AR14,Matl!$B$3:$B$15,0),MATCH(D48,Matl!$D$2:$K$2,0)))</f>
        <v>0</v>
      </c>
      <c r="AS48" s="58"/>
      <c r="AT48" s="58"/>
      <c r="AU48" s="82">
        <f t="shared" ca="1" si="9"/>
        <v>0</v>
      </c>
      <c r="AV48" s="76">
        <f t="shared" ca="1" si="10"/>
        <v>0</v>
      </c>
      <c r="AW48" s="76">
        <f t="shared" ca="1" si="11"/>
        <v>0</v>
      </c>
      <c r="AX48" s="76">
        <f t="shared" ca="1" si="12"/>
        <v>0</v>
      </c>
      <c r="AY48" s="61">
        <v>0</v>
      </c>
      <c r="AZ48" s="61">
        <v>0</v>
      </c>
      <c r="BA48" s="61">
        <v>0</v>
      </c>
      <c r="BB48" s="61">
        <v>0</v>
      </c>
      <c r="BC48" s="62">
        <f t="shared" ca="1" si="13"/>
        <v>0</v>
      </c>
      <c r="BD48" s="63"/>
      <c r="BE48" s="82">
        <f t="shared" ca="1" si="14"/>
        <v>0</v>
      </c>
      <c r="BF48" s="76">
        <f t="shared" ca="1" si="15"/>
        <v>0</v>
      </c>
      <c r="BG48" s="76">
        <f t="shared" ca="1" si="16"/>
        <v>0</v>
      </c>
      <c r="BH48" s="76">
        <f t="shared" ca="1" si="17"/>
        <v>0</v>
      </c>
      <c r="BI48" s="76">
        <f t="shared" ca="1" si="48"/>
        <v>0</v>
      </c>
      <c r="BJ48" s="76">
        <f t="shared" ca="1" si="18"/>
        <v>0</v>
      </c>
      <c r="BK48" s="76">
        <f t="shared" ca="1" si="19"/>
        <v>0</v>
      </c>
      <c r="BL48" s="76">
        <f t="shared" ca="1" si="20"/>
        <v>0</v>
      </c>
      <c r="BM48" s="83">
        <f t="shared" ca="1" si="49"/>
        <v>0</v>
      </c>
      <c r="BN48" s="84"/>
      <c r="BO48" s="82">
        <f t="shared" ca="1" si="21"/>
        <v>0</v>
      </c>
      <c r="BP48" s="76">
        <f t="shared" ca="1" si="22"/>
        <v>0</v>
      </c>
      <c r="BQ48" s="76">
        <f t="shared" ca="1" si="23"/>
        <v>0</v>
      </c>
      <c r="BR48" s="76">
        <f t="shared" ca="1" si="24"/>
        <v>0</v>
      </c>
      <c r="BS48" s="76">
        <f t="shared" ca="1" si="25"/>
        <v>0</v>
      </c>
      <c r="BT48" s="76">
        <f t="shared" ca="1" si="26"/>
        <v>0</v>
      </c>
      <c r="BU48" s="76">
        <f t="shared" ca="1" si="27"/>
        <v>0</v>
      </c>
      <c r="BV48" s="76">
        <f t="shared" ca="1" si="28"/>
        <v>0</v>
      </c>
      <c r="BW48" s="83">
        <f t="shared" ca="1" si="29"/>
        <v>0</v>
      </c>
      <c r="BX48" s="84"/>
      <c r="BY48" s="76">
        <f t="shared" ca="1" si="30"/>
        <v>0</v>
      </c>
      <c r="BZ48" s="76">
        <f t="shared" ca="1" si="31"/>
        <v>0</v>
      </c>
      <c r="CA48" s="76">
        <f t="shared" ca="1" si="32"/>
        <v>0</v>
      </c>
      <c r="CB48" s="76">
        <f t="shared" ca="1" si="33"/>
        <v>0</v>
      </c>
      <c r="CC48" s="76">
        <f t="shared" ca="1" si="34"/>
        <v>0</v>
      </c>
      <c r="CD48" s="76">
        <f t="shared" ca="1" si="35"/>
        <v>0</v>
      </c>
      <c r="CE48" s="76">
        <f t="shared" ca="1" si="36"/>
        <v>0</v>
      </c>
      <c r="CF48" s="76">
        <f t="shared" ca="1" si="37"/>
        <v>0</v>
      </c>
      <c r="CG48" s="76">
        <f t="shared" ca="1" si="38"/>
        <v>0</v>
      </c>
      <c r="CH48" s="84"/>
      <c r="CI48" s="85">
        <f t="shared" ca="1" si="39"/>
        <v>0</v>
      </c>
      <c r="CJ48" s="86">
        <f t="shared" ca="1" si="40"/>
        <v>0</v>
      </c>
      <c r="CK48" s="86">
        <f t="shared" ca="1" si="41"/>
        <v>0</v>
      </c>
      <c r="CL48" s="86">
        <f t="shared" ca="1" si="42"/>
        <v>0</v>
      </c>
      <c r="CM48" s="86">
        <f t="shared" ca="1" si="43"/>
        <v>0</v>
      </c>
      <c r="CN48" s="86">
        <f t="shared" ca="1" si="44"/>
        <v>0</v>
      </c>
      <c r="CO48" s="86">
        <f t="shared" ca="1" si="45"/>
        <v>0</v>
      </c>
      <c r="CP48" s="86">
        <f t="shared" ca="1" si="46"/>
        <v>0</v>
      </c>
      <c r="CQ48" s="87">
        <f t="shared" ca="1" si="47"/>
        <v>0</v>
      </c>
      <c r="CR48" s="61" t="str">
        <f ca="1">IF(D48="","",INDEX(INDIRECT(CW32),MATCH(CR14,Matl!$B$3:$B$29,0),MATCH(D48,Matl!$D$2:$K$2,0)))</f>
        <v/>
      </c>
      <c r="CS48" s="48" t="str">
        <f ca="1">IF(D48="","",INDEX(INDIRECT(CW32),MATCH(CS14,Matl!$B$3:$B$29,0),MATCH(D48,Matl!$D$2:$K$2,0)))</f>
        <v/>
      </c>
      <c r="CV48" s="88"/>
      <c r="CW48" s="108"/>
      <c r="CY48" s="76"/>
      <c r="CZ48" s="76"/>
      <c r="DA48" s="76"/>
      <c r="DC48" s="109"/>
      <c r="DE48" s="89"/>
      <c r="DF48" s="89"/>
      <c r="DG48" s="89"/>
      <c r="DH48" s="89"/>
      <c r="DI48" s="89"/>
      <c r="DJ48" s="89"/>
      <c r="DN48" s="88"/>
      <c r="DO48" s="108"/>
      <c r="DR48" s="88"/>
      <c r="DS48" s="108"/>
      <c r="DU48" s="76"/>
      <c r="DV48" s="76"/>
      <c r="DW48" s="76"/>
      <c r="DY48" s="110"/>
      <c r="DZ48" s="110"/>
      <c r="EA48" s="110"/>
      <c r="EC48" s="90"/>
      <c r="ED48" s="90"/>
      <c r="EE48" s="90"/>
      <c r="EF48" s="90"/>
      <c r="EG48" s="90"/>
      <c r="EH48" s="90"/>
      <c r="EI48" s="90"/>
      <c r="EJ48" s="90"/>
      <c r="EK48" s="90"/>
      <c r="EL48" s="90"/>
      <c r="EM48" s="90"/>
      <c r="EN48" s="90"/>
      <c r="EO48" s="90"/>
      <c r="EP48" s="90"/>
      <c r="EQ48" s="90"/>
      <c r="ER48" s="76"/>
      <c r="ES48" s="76"/>
      <c r="ET48" s="76"/>
      <c r="EU48" s="76"/>
      <c r="EV48" s="76"/>
      <c r="EW48" s="76"/>
      <c r="EX48" s="76"/>
      <c r="EY48" s="76"/>
      <c r="EZ48" s="137"/>
      <c r="FA48" s="137"/>
      <c r="FB48" s="61"/>
      <c r="FC48" s="138"/>
      <c r="FD48" s="61"/>
      <c r="FE48" s="61"/>
      <c r="FF48" s="91"/>
      <c r="FI48" s="91"/>
      <c r="FK48" s="92"/>
      <c r="FL48" s="92"/>
      <c r="FM48" s="92"/>
      <c r="FN48" s="92"/>
      <c r="FO48" s="92"/>
      <c r="FP48" s="92"/>
      <c r="FQ48" s="92"/>
      <c r="FS48" s="106"/>
      <c r="FT48" s="61"/>
      <c r="FU48" s="65"/>
      <c r="FV48" s="61"/>
      <c r="FW48" s="65"/>
      <c r="FX48" s="65"/>
      <c r="FY48" s="65"/>
      <c r="FZ48" s="106"/>
      <c r="GA48" s="61"/>
      <c r="GB48" s="65"/>
      <c r="GC48" s="93"/>
      <c r="GD48" s="94"/>
      <c r="GE48" s="61"/>
      <c r="GF48" s="94"/>
      <c r="GG48" s="106"/>
      <c r="GH48" s="90"/>
      <c r="GI48" s="65"/>
      <c r="GJ48" s="94"/>
      <c r="GK48" s="94"/>
      <c r="GL48" s="94"/>
      <c r="GM48" s="94"/>
      <c r="GN48" s="106"/>
      <c r="GO48" s="65"/>
      <c r="GP48" s="96"/>
      <c r="GQ48" s="96"/>
      <c r="GR48" s="96"/>
      <c r="GS48" s="96"/>
      <c r="GT48" s="96"/>
      <c r="GU48" s="96"/>
      <c r="GV48" s="96"/>
    </row>
    <row r="49" spans="1:248" ht="13.8" x14ac:dyDescent="0.3">
      <c r="A49" s="132">
        <v>34</v>
      </c>
      <c r="B49" s="182"/>
      <c r="C49" s="182"/>
      <c r="D49" s="222"/>
      <c r="E49" s="222"/>
      <c r="F49" s="146">
        <f>IF(C49="",INDEX(Matl!$C$15:$K$15,MATCH(D49,Matl!$C$2:$K$2,0)),C49)</f>
        <v>0</v>
      </c>
      <c r="G49" s="147"/>
      <c r="H49" s="212" t="s">
        <v>158</v>
      </c>
      <c r="I49" s="208">
        <f ca="1">I26</f>
        <v>995372.80424051755</v>
      </c>
      <c r="J49" s="149"/>
      <c r="K49" s="148"/>
      <c r="W49" s="48">
        <f t="shared" si="3"/>
        <v>0</v>
      </c>
      <c r="X49" s="48"/>
      <c r="Y49" s="48"/>
      <c r="Z49" s="48"/>
      <c r="AA49" s="48" t="str">
        <f t="shared" si="4"/>
        <v/>
      </c>
      <c r="AB49" s="48" t="str">
        <f>IF(B49="","",IF(OR(D49=CV14,D49=CV16,D49=CV17,D49=CV18,D49=CV20)=TRUE,0.5,1))</f>
        <v/>
      </c>
      <c r="AC49" s="51" t="str">
        <f t="shared" si="5"/>
        <v/>
      </c>
      <c r="AD49" s="77">
        <f t="shared" si="6"/>
        <v>0</v>
      </c>
      <c r="AE49" s="77">
        <f>IF(D49="",0,SUM(F15:F49))</f>
        <v>0</v>
      </c>
      <c r="AF49" s="77">
        <f>IF(D49="",0,SUM(F16:F50)/2-AE49)</f>
        <v>0</v>
      </c>
      <c r="AG49" s="77">
        <f t="shared" si="7"/>
        <v>0</v>
      </c>
      <c r="AH49" s="77">
        <f>IF(D49="",0,(AE49+AE48)/2-SUM(F16:F50)/2)</f>
        <v>0</v>
      </c>
      <c r="AI49" s="58">
        <f ca="1">IF(D49="",0,INDEX(INDIRECT(CW32),MATCH(AI14,Matl!$B$3:$B$17,0),MATCH(D49,Matl!$D$2:$K$2,0)))</f>
        <v>0</v>
      </c>
      <c r="AJ49" s="58">
        <f ca="1">IF(D49="",0,INDEX(INDIRECT(CW32),MATCH(AJ14,Matl!$B$3:$B$17,0),MATCH(D49,Matl!$D$2:$K$2,0)))</f>
        <v>0</v>
      </c>
      <c r="AK49" s="58">
        <f ca="1">IF(D49="",0,INDEX(INDIRECT(CW32),MATCH(AK14,Matl!$B$3:$B$15,0),MATCH(D49,Matl!$D$2:$K$2,0)))</f>
        <v>0</v>
      </c>
      <c r="AL49" s="80">
        <f t="shared" si="8"/>
        <v>0</v>
      </c>
      <c r="AM49" s="58">
        <f ca="1">IF(D49="",0,INDEX(INDIRECT(CW32),MATCH(AM14,Matl!$B$3:$B$15,0),MATCH(D49,Matl!$D$2:$K$2,0)))</f>
        <v>0</v>
      </c>
      <c r="AN49" s="81">
        <f ca="1">IF(D49="",0,INDEX(INDIRECT(CW32),MATCH(AN14,Matl!$B$3:$B$15,0),MATCH(D49,Matl!$D$2:$K$2,0)))</f>
        <v>0</v>
      </c>
      <c r="AO49" s="81">
        <f ca="1">IF(D49="",0,INDEX(INDIRECT(CW32),MATCH(AO14,Matl!$B$3:$B$15,0),MATCH(D49,Matl!$D$2:$K$2,0)))</f>
        <v>0</v>
      </c>
      <c r="AP49" s="81">
        <f ca="1">IF(D49="",0,INDEX(INDIRECT(CW32),MATCH(AP14,Matl!$B$3:$B$15,0),MATCH(D49,Matl!$D$2:$K$2,0)))</f>
        <v>0</v>
      </c>
      <c r="AQ49" s="81">
        <f ca="1">IF(D49="",0,INDEX(INDIRECT(CW32),MATCH(AQ14,Matl!$B$3:$B$15,0),MATCH(D49,Matl!$D$2:$K$2,0)))</f>
        <v>0</v>
      </c>
      <c r="AR49" s="81">
        <f ca="1">IF(D49="",0,INDEX(INDIRECT(CW32),MATCH(AR14,Matl!$B$3:$B$15,0),MATCH(D49,Matl!$D$2:$K$2,0)))</f>
        <v>0</v>
      </c>
      <c r="AS49" s="58"/>
      <c r="AT49" s="58"/>
      <c r="AU49" s="82">
        <f t="shared" ca="1" si="9"/>
        <v>0</v>
      </c>
      <c r="AV49" s="76">
        <f t="shared" ca="1" si="10"/>
        <v>0</v>
      </c>
      <c r="AW49" s="76">
        <f t="shared" ca="1" si="11"/>
        <v>0</v>
      </c>
      <c r="AX49" s="76">
        <f t="shared" ca="1" si="12"/>
        <v>0</v>
      </c>
      <c r="AY49" s="61">
        <v>0</v>
      </c>
      <c r="AZ49" s="61">
        <v>0</v>
      </c>
      <c r="BA49" s="61">
        <v>0</v>
      </c>
      <c r="BB49" s="61">
        <v>0</v>
      </c>
      <c r="BC49" s="62">
        <f t="shared" ca="1" si="13"/>
        <v>0</v>
      </c>
      <c r="BD49" s="63"/>
      <c r="BE49" s="82">
        <f t="shared" ca="1" si="14"/>
        <v>0</v>
      </c>
      <c r="BF49" s="76">
        <f t="shared" ca="1" si="15"/>
        <v>0</v>
      </c>
      <c r="BG49" s="76">
        <f t="shared" ca="1" si="16"/>
        <v>0</v>
      </c>
      <c r="BH49" s="76">
        <f t="shared" ca="1" si="17"/>
        <v>0</v>
      </c>
      <c r="BI49" s="76">
        <f t="shared" ca="1" si="48"/>
        <v>0</v>
      </c>
      <c r="BJ49" s="76">
        <f t="shared" ca="1" si="18"/>
        <v>0</v>
      </c>
      <c r="BK49" s="76">
        <f t="shared" ca="1" si="19"/>
        <v>0</v>
      </c>
      <c r="BL49" s="76">
        <f t="shared" ca="1" si="20"/>
        <v>0</v>
      </c>
      <c r="BM49" s="83">
        <f t="shared" ca="1" si="49"/>
        <v>0</v>
      </c>
      <c r="BN49" s="84"/>
      <c r="BO49" s="82">
        <f t="shared" ca="1" si="21"/>
        <v>0</v>
      </c>
      <c r="BP49" s="76">
        <f t="shared" ca="1" si="22"/>
        <v>0</v>
      </c>
      <c r="BQ49" s="76">
        <f t="shared" ca="1" si="23"/>
        <v>0</v>
      </c>
      <c r="BR49" s="76">
        <f t="shared" ca="1" si="24"/>
        <v>0</v>
      </c>
      <c r="BS49" s="76">
        <f t="shared" ca="1" si="25"/>
        <v>0</v>
      </c>
      <c r="BT49" s="76">
        <f t="shared" ca="1" si="26"/>
        <v>0</v>
      </c>
      <c r="BU49" s="76">
        <f t="shared" ca="1" si="27"/>
        <v>0</v>
      </c>
      <c r="BV49" s="76">
        <f t="shared" ca="1" si="28"/>
        <v>0</v>
      </c>
      <c r="BW49" s="83">
        <f t="shared" ca="1" si="29"/>
        <v>0</v>
      </c>
      <c r="BX49" s="84"/>
      <c r="BY49" s="76">
        <f t="shared" ca="1" si="30"/>
        <v>0</v>
      </c>
      <c r="BZ49" s="76">
        <f t="shared" ca="1" si="31"/>
        <v>0</v>
      </c>
      <c r="CA49" s="76">
        <f t="shared" ca="1" si="32"/>
        <v>0</v>
      </c>
      <c r="CB49" s="76">
        <f t="shared" ca="1" si="33"/>
        <v>0</v>
      </c>
      <c r="CC49" s="76">
        <f t="shared" ca="1" si="34"/>
        <v>0</v>
      </c>
      <c r="CD49" s="76">
        <f t="shared" ca="1" si="35"/>
        <v>0</v>
      </c>
      <c r="CE49" s="76">
        <f t="shared" ca="1" si="36"/>
        <v>0</v>
      </c>
      <c r="CF49" s="76">
        <f t="shared" ca="1" si="37"/>
        <v>0</v>
      </c>
      <c r="CG49" s="76">
        <f t="shared" ca="1" si="38"/>
        <v>0</v>
      </c>
      <c r="CH49" s="84"/>
      <c r="CI49" s="85">
        <f t="shared" ca="1" si="39"/>
        <v>0</v>
      </c>
      <c r="CJ49" s="86">
        <f t="shared" ca="1" si="40"/>
        <v>0</v>
      </c>
      <c r="CK49" s="86">
        <f t="shared" ca="1" si="41"/>
        <v>0</v>
      </c>
      <c r="CL49" s="86">
        <f t="shared" ca="1" si="42"/>
        <v>0</v>
      </c>
      <c r="CM49" s="86">
        <f t="shared" ca="1" si="43"/>
        <v>0</v>
      </c>
      <c r="CN49" s="86">
        <f t="shared" ca="1" si="44"/>
        <v>0</v>
      </c>
      <c r="CO49" s="86">
        <f t="shared" ca="1" si="45"/>
        <v>0</v>
      </c>
      <c r="CP49" s="86">
        <f t="shared" ca="1" si="46"/>
        <v>0</v>
      </c>
      <c r="CQ49" s="87">
        <f t="shared" ca="1" si="47"/>
        <v>0</v>
      </c>
      <c r="CR49" s="61" t="str">
        <f ca="1">IF(D49="","",INDEX(INDIRECT(CW32),MATCH(CR14,Matl!$B$3:$B$29,0),MATCH(D49,Matl!$D$2:$K$2,0)))</f>
        <v/>
      </c>
      <c r="CS49" s="48" t="str">
        <f ca="1">IF(D49="","",INDEX(INDIRECT(CW32),MATCH(CS14,Matl!$B$3:$B$29,0),MATCH(D49,Matl!$D$2:$K$2,0)))</f>
        <v/>
      </c>
      <c r="CV49" s="88"/>
      <c r="CW49" s="108"/>
      <c r="CY49" s="76"/>
      <c r="CZ49" s="76"/>
      <c r="DA49" s="76"/>
      <c r="DC49" s="109"/>
      <c r="DE49" s="89"/>
      <c r="DF49" s="89"/>
      <c r="DG49" s="89"/>
      <c r="DH49" s="89"/>
      <c r="DI49" s="89"/>
      <c r="DJ49" s="89"/>
      <c r="DN49" s="88"/>
      <c r="DO49" s="108"/>
      <c r="DR49" s="88"/>
      <c r="DS49" s="108"/>
      <c r="DU49" s="76"/>
      <c r="DV49" s="76"/>
      <c r="DW49" s="76"/>
      <c r="DY49" s="110"/>
      <c r="DZ49" s="110"/>
      <c r="EA49" s="110"/>
      <c r="EC49" s="90"/>
      <c r="ED49" s="90"/>
      <c r="EE49" s="90"/>
      <c r="EF49" s="90"/>
      <c r="EG49" s="90"/>
      <c r="EH49" s="90"/>
      <c r="EI49" s="90"/>
      <c r="EJ49" s="90"/>
      <c r="EK49" s="90"/>
      <c r="EL49" s="90"/>
      <c r="EM49" s="90"/>
      <c r="EN49" s="90"/>
      <c r="EO49" s="90"/>
      <c r="EP49" s="90"/>
      <c r="EQ49" s="90"/>
      <c r="ER49" s="76"/>
      <c r="ES49" s="76"/>
      <c r="ET49" s="76"/>
      <c r="EU49" s="76"/>
      <c r="EV49" s="76"/>
      <c r="EW49" s="76"/>
      <c r="EX49" s="76"/>
      <c r="EY49" s="76"/>
      <c r="EZ49" s="137"/>
      <c r="FA49" s="137"/>
      <c r="FB49" s="61"/>
      <c r="FC49" s="138"/>
      <c r="FD49" s="61"/>
      <c r="FE49" s="61"/>
      <c r="FF49" s="91"/>
      <c r="FI49" s="91"/>
      <c r="FK49" s="92"/>
      <c r="FL49" s="92"/>
      <c r="FM49" s="92"/>
      <c r="FN49" s="92"/>
      <c r="FO49" s="92"/>
      <c r="FP49" s="92"/>
      <c r="FQ49" s="92"/>
      <c r="FS49" s="106"/>
      <c r="FT49" s="65"/>
      <c r="FU49" s="65"/>
      <c r="FV49" s="65"/>
      <c r="FW49" s="65"/>
      <c r="FX49" s="65"/>
      <c r="FY49" s="65"/>
      <c r="FZ49" s="106"/>
      <c r="GA49" s="90"/>
      <c r="GB49" s="65"/>
      <c r="GC49" s="61"/>
      <c r="GD49" s="94"/>
      <c r="GE49" s="65"/>
      <c r="GF49" s="94"/>
      <c r="GG49" s="106"/>
      <c r="GH49" s="90"/>
      <c r="GI49" s="65"/>
      <c r="GJ49" s="90"/>
      <c r="GK49" s="94"/>
      <c r="GL49" s="90"/>
      <c r="GM49" s="94"/>
      <c r="GO49" s="65"/>
      <c r="GP49" s="96"/>
      <c r="GQ49" s="96"/>
      <c r="GR49" s="96"/>
      <c r="GS49" s="96"/>
      <c r="GT49" s="96"/>
      <c r="GU49" s="96"/>
      <c r="GV49" s="96"/>
    </row>
    <row r="50" spans="1:248" ht="13.8" x14ac:dyDescent="0.3">
      <c r="A50" s="132">
        <v>35</v>
      </c>
      <c r="B50" s="182"/>
      <c r="C50" s="150"/>
      <c r="D50" s="222"/>
      <c r="E50" s="222"/>
      <c r="F50" s="146">
        <f>IF(C50="",INDEX(Matl!$C$15:$K$15,MATCH(D50,Matl!$C$2:$K$2,0)),C50)</f>
        <v>0</v>
      </c>
      <c r="G50" s="147"/>
      <c r="H50" s="212" t="s">
        <v>159</v>
      </c>
      <c r="I50" s="208">
        <f ca="1">I25</f>
        <v>215972.95897208672</v>
      </c>
      <c r="J50" s="149"/>
      <c r="K50" s="148"/>
      <c r="W50" s="48">
        <f t="shared" si="3"/>
        <v>0</v>
      </c>
      <c r="X50" s="48"/>
      <c r="Y50" s="48"/>
      <c r="Z50" s="48"/>
      <c r="AA50" s="48" t="str">
        <f t="shared" si="4"/>
        <v/>
      </c>
      <c r="AB50" s="48" t="str">
        <f>IF(B50="","",IF(OR(D50=CV14,D50=CV16,D50=CV17,D50=CV18,D50=CV20)=TRUE,0.5,1))</f>
        <v/>
      </c>
      <c r="AC50" s="51" t="str">
        <f t="shared" si="5"/>
        <v/>
      </c>
      <c r="AD50" s="77">
        <f t="shared" si="6"/>
        <v>0</v>
      </c>
      <c r="AE50" s="77">
        <f>IF(D50="",0,SUM(F15:F50))</f>
        <v>0</v>
      </c>
      <c r="AF50" s="77">
        <f>IF(D50="",0,SUM(F16:F50)/2-AE50)</f>
        <v>0</v>
      </c>
      <c r="AG50" s="77">
        <f t="shared" si="7"/>
        <v>0</v>
      </c>
      <c r="AH50" s="77">
        <f>IF(D50="",0,(AE50+AE49)/2-SUM(F16:F50)/2)</f>
        <v>0</v>
      </c>
      <c r="AI50" s="58">
        <f ca="1">IF(D50="",0,INDEX(INDIRECT(CW32),MATCH(AI14,Matl!$B$3:$B$17,0),MATCH(D50,Matl!$D$2:$K$2,0)))</f>
        <v>0</v>
      </c>
      <c r="AJ50" s="58">
        <f ca="1">IF(D50="",0,INDEX(INDIRECT(CW32),MATCH(AJ14,Matl!$B$3:$B$17,0),MATCH(D50,Matl!$D$2:$K$2,0)))</f>
        <v>0</v>
      </c>
      <c r="AK50" s="58">
        <f ca="1">IF(D50="",0,INDEX(INDIRECT(CW32),MATCH(AK14,Matl!$B$3:$B$15,0),MATCH(D50,Matl!$D$2:$K$2,0)))</f>
        <v>0</v>
      </c>
      <c r="AL50" s="80">
        <f t="shared" si="8"/>
        <v>0</v>
      </c>
      <c r="AM50" s="58">
        <f ca="1">IF(D50="",0,INDEX(INDIRECT(CW32),MATCH(AM14,Matl!$B$3:$B$15,0),MATCH(D50,Matl!$D$2:$K$2,0)))</f>
        <v>0</v>
      </c>
      <c r="AN50" s="81">
        <f ca="1">IF(D50="",0,INDEX(INDIRECT(CW32),MATCH(AN14,Matl!$B$3:$B$15,0),MATCH(D50,Matl!$D$2:$K$2,0)))</f>
        <v>0</v>
      </c>
      <c r="AO50" s="81">
        <f ca="1">IF(D50="",0,INDEX(INDIRECT(CW32),MATCH(AO14,Matl!$B$3:$B$15,0),MATCH(D50,Matl!$D$2:$K$2,0)))</f>
        <v>0</v>
      </c>
      <c r="AP50" s="81">
        <f ca="1">IF(D50="",0,INDEX(INDIRECT(CW32),MATCH(AP14,Matl!$B$3:$B$15,0),MATCH(D50,Matl!$D$2:$K$2,0)))</f>
        <v>0</v>
      </c>
      <c r="AQ50" s="81">
        <f ca="1">IF(D50="",0,INDEX(INDIRECT(CW32),MATCH(AQ14,Matl!$B$3:$B$15,0),MATCH(D50,Matl!$D$2:$K$2,0)))</f>
        <v>0</v>
      </c>
      <c r="AR50" s="81">
        <f ca="1">IF(D50="",0,INDEX(INDIRECT(CW32),MATCH(AR14,Matl!$B$3:$B$15,0),MATCH(D50,Matl!$D$2:$K$2,0)))</f>
        <v>0</v>
      </c>
      <c r="AS50" s="58"/>
      <c r="AT50" s="58"/>
      <c r="AU50" s="82">
        <f t="shared" ca="1" si="9"/>
        <v>0</v>
      </c>
      <c r="AV50" s="76">
        <f t="shared" ca="1" si="10"/>
        <v>0</v>
      </c>
      <c r="AW50" s="76">
        <f t="shared" ca="1" si="11"/>
        <v>0</v>
      </c>
      <c r="AX50" s="76">
        <f t="shared" ca="1" si="12"/>
        <v>0</v>
      </c>
      <c r="AY50" s="61">
        <v>0</v>
      </c>
      <c r="AZ50" s="61">
        <v>0</v>
      </c>
      <c r="BA50" s="61">
        <v>0</v>
      </c>
      <c r="BB50" s="61">
        <v>0</v>
      </c>
      <c r="BC50" s="62">
        <f t="shared" ca="1" si="13"/>
        <v>0</v>
      </c>
      <c r="BD50" s="63"/>
      <c r="BE50" s="82">
        <f t="shared" ca="1" si="14"/>
        <v>0</v>
      </c>
      <c r="BF50" s="76">
        <f t="shared" ca="1" si="15"/>
        <v>0</v>
      </c>
      <c r="BG50" s="76">
        <f t="shared" ca="1" si="16"/>
        <v>0</v>
      </c>
      <c r="BH50" s="76">
        <f t="shared" ca="1" si="17"/>
        <v>0</v>
      </c>
      <c r="BI50" s="76">
        <f t="shared" ca="1" si="48"/>
        <v>0</v>
      </c>
      <c r="BJ50" s="76">
        <f t="shared" ca="1" si="18"/>
        <v>0</v>
      </c>
      <c r="BK50" s="76">
        <f t="shared" ca="1" si="19"/>
        <v>0</v>
      </c>
      <c r="BL50" s="76">
        <f t="shared" ca="1" si="20"/>
        <v>0</v>
      </c>
      <c r="BM50" s="83">
        <f t="shared" ca="1" si="49"/>
        <v>0</v>
      </c>
      <c r="BN50" s="84"/>
      <c r="BO50" s="82">
        <f t="shared" ca="1" si="21"/>
        <v>0</v>
      </c>
      <c r="BP50" s="76">
        <f t="shared" ca="1" si="22"/>
        <v>0</v>
      </c>
      <c r="BQ50" s="76">
        <f t="shared" ca="1" si="23"/>
        <v>0</v>
      </c>
      <c r="BR50" s="76">
        <f t="shared" ca="1" si="24"/>
        <v>0</v>
      </c>
      <c r="BS50" s="76">
        <f t="shared" ca="1" si="25"/>
        <v>0</v>
      </c>
      <c r="BT50" s="76">
        <f t="shared" ca="1" si="26"/>
        <v>0</v>
      </c>
      <c r="BU50" s="76">
        <f t="shared" ca="1" si="27"/>
        <v>0</v>
      </c>
      <c r="BV50" s="76">
        <f t="shared" ca="1" si="28"/>
        <v>0</v>
      </c>
      <c r="BW50" s="83">
        <f t="shared" ca="1" si="29"/>
        <v>0</v>
      </c>
      <c r="BX50" s="84"/>
      <c r="BY50" s="76">
        <f t="shared" ca="1" si="30"/>
        <v>0</v>
      </c>
      <c r="BZ50" s="76">
        <f t="shared" ca="1" si="31"/>
        <v>0</v>
      </c>
      <c r="CA50" s="76">
        <f t="shared" ca="1" si="32"/>
        <v>0</v>
      </c>
      <c r="CB50" s="76">
        <f t="shared" ca="1" si="33"/>
        <v>0</v>
      </c>
      <c r="CC50" s="76">
        <f t="shared" ca="1" si="34"/>
        <v>0</v>
      </c>
      <c r="CD50" s="76">
        <f t="shared" ca="1" si="35"/>
        <v>0</v>
      </c>
      <c r="CE50" s="76">
        <f t="shared" ca="1" si="36"/>
        <v>0</v>
      </c>
      <c r="CF50" s="76">
        <f t="shared" ca="1" si="37"/>
        <v>0</v>
      </c>
      <c r="CG50" s="76">
        <f t="shared" ca="1" si="38"/>
        <v>0</v>
      </c>
      <c r="CH50" s="84"/>
      <c r="CI50" s="85">
        <f t="shared" ca="1" si="39"/>
        <v>0</v>
      </c>
      <c r="CJ50" s="86">
        <f t="shared" ca="1" si="40"/>
        <v>0</v>
      </c>
      <c r="CK50" s="86">
        <f t="shared" ca="1" si="41"/>
        <v>0</v>
      </c>
      <c r="CL50" s="86">
        <f t="shared" ca="1" si="42"/>
        <v>0</v>
      </c>
      <c r="CM50" s="86">
        <f t="shared" ca="1" si="43"/>
        <v>0</v>
      </c>
      <c r="CN50" s="86">
        <f t="shared" ca="1" si="44"/>
        <v>0</v>
      </c>
      <c r="CO50" s="86">
        <f t="shared" ca="1" si="45"/>
        <v>0</v>
      </c>
      <c r="CP50" s="86">
        <f t="shared" ca="1" si="46"/>
        <v>0</v>
      </c>
      <c r="CQ50" s="87">
        <f t="shared" ca="1" si="47"/>
        <v>0</v>
      </c>
      <c r="CR50" s="61" t="str">
        <f ca="1">IF(D50="","",INDEX(INDIRECT(CW32),MATCH(CR14,Matl!$B$3:$B$29,0),MATCH(D50,Matl!$D$2:$K$2,0)))</f>
        <v/>
      </c>
      <c r="CS50" s="48" t="str">
        <f ca="1">IF(D50="","",INDEX(INDIRECT(CW32),MATCH(CS14,Matl!$B$3:$B$29,0),MATCH(D50,Matl!$D$2:$K$2,0)))</f>
        <v/>
      </c>
      <c r="CV50" s="88"/>
      <c r="CW50" s="108"/>
      <c r="CY50" s="76"/>
      <c r="CZ50" s="76"/>
      <c r="DA50" s="76"/>
      <c r="DC50" s="109"/>
      <c r="DE50" s="89"/>
      <c r="DF50" s="89"/>
      <c r="DG50" s="89"/>
      <c r="DH50" s="89"/>
      <c r="DI50" s="89"/>
      <c r="DJ50" s="89"/>
      <c r="DN50" s="88"/>
      <c r="DO50" s="108"/>
      <c r="DR50" s="88"/>
      <c r="DS50" s="108"/>
      <c r="DU50" s="76"/>
      <c r="DV50" s="76"/>
      <c r="DW50" s="76"/>
      <c r="DY50" s="110"/>
      <c r="DZ50" s="110"/>
      <c r="EA50" s="110"/>
      <c r="EC50" s="90"/>
      <c r="ED50" s="90"/>
      <c r="EE50" s="90"/>
      <c r="EF50" s="90"/>
      <c r="EG50" s="90"/>
      <c r="EH50" s="90"/>
      <c r="EI50" s="90"/>
      <c r="EJ50" s="90"/>
      <c r="EK50" s="90"/>
      <c r="EL50" s="90"/>
      <c r="EM50" s="90"/>
      <c r="EN50" s="90"/>
      <c r="EO50" s="90"/>
      <c r="EP50" s="90"/>
      <c r="EQ50" s="90"/>
      <c r="ER50" s="76"/>
      <c r="ES50" s="76"/>
      <c r="ET50" s="76"/>
      <c r="EU50" s="76"/>
      <c r="EV50" s="76"/>
      <c r="EW50" s="76"/>
      <c r="EX50" s="76"/>
      <c r="EY50" s="76"/>
      <c r="EZ50" s="137"/>
      <c r="FA50" s="137"/>
      <c r="FB50" s="61"/>
      <c r="FC50" s="138"/>
      <c r="FD50" s="61"/>
      <c r="FE50" s="61"/>
      <c r="FF50" s="91"/>
      <c r="FI50" s="91"/>
      <c r="FK50" s="92"/>
      <c r="FL50" s="92"/>
      <c r="FM50" s="92"/>
      <c r="FN50" s="92"/>
      <c r="FO50" s="92"/>
      <c r="FP50" s="92"/>
      <c r="FQ50" s="92"/>
      <c r="FS50" s="106"/>
      <c r="FT50" s="65"/>
      <c r="FU50" s="65"/>
      <c r="FV50" s="65"/>
      <c r="FW50" s="65"/>
      <c r="FX50" s="65"/>
      <c r="FY50" s="65"/>
      <c r="FZ50" s="106"/>
      <c r="GA50" s="90"/>
      <c r="GB50" s="65"/>
      <c r="GC50" s="61"/>
      <c r="GD50" s="94"/>
      <c r="GE50" s="65"/>
      <c r="GF50" s="94"/>
      <c r="GG50" s="106"/>
      <c r="GH50" s="90"/>
      <c r="GI50" s="65"/>
      <c r="GJ50" s="90"/>
      <c r="GK50" s="94"/>
      <c r="GL50" s="90"/>
      <c r="GM50" s="94"/>
      <c r="GO50" s="65"/>
      <c r="GP50" s="96"/>
      <c r="GQ50" s="96"/>
      <c r="GR50" s="96"/>
      <c r="GS50" s="96"/>
      <c r="GT50" s="96"/>
      <c r="GU50" s="96"/>
      <c r="GV50" s="96"/>
    </row>
    <row r="51" spans="1:248" ht="13.8" x14ac:dyDescent="0.3">
      <c r="A51" s="126"/>
      <c r="B51" s="151"/>
      <c r="C51" s="151"/>
      <c r="D51" s="148"/>
      <c r="E51" s="152" t="s">
        <v>14</v>
      </c>
      <c r="F51" s="153">
        <f>SUM(F16:F50)</f>
        <v>0.12401574803149604</v>
      </c>
      <c r="G51" s="154"/>
      <c r="H51" s="213" t="s">
        <v>160</v>
      </c>
      <c r="I51" s="214">
        <f ca="1">J27</f>
        <v>235953.42884578463</v>
      </c>
      <c r="J51" s="151"/>
      <c r="K51" s="151"/>
      <c r="W51" s="48">
        <f>SUM(W16:W50)</f>
        <v>8.6811023622047234E-2</v>
      </c>
      <c r="X51" s="48"/>
      <c r="Y51" s="48"/>
      <c r="Z51" s="48"/>
      <c r="AA51" s="48"/>
      <c r="AB51" s="48"/>
      <c r="AC51" s="51">
        <f>SUM(AC16:AC50)</f>
        <v>3.7204724409448824E-2</v>
      </c>
      <c r="CK51" s="51"/>
      <c r="CL51" s="51"/>
      <c r="CM51" s="51"/>
      <c r="CN51" s="51"/>
      <c r="CO51" s="51"/>
      <c r="CP51" s="51"/>
      <c r="CQ51" s="51"/>
      <c r="CR51" s="51"/>
      <c r="CV51" s="88"/>
      <c r="CW51" s="108"/>
      <c r="CY51" s="76"/>
      <c r="CZ51" s="76"/>
      <c r="DA51" s="76"/>
      <c r="DC51" s="109"/>
      <c r="DE51" s="89"/>
      <c r="DF51" s="89"/>
      <c r="DG51" s="89"/>
      <c r="DH51" s="89"/>
      <c r="DI51" s="89"/>
      <c r="DJ51" s="89"/>
      <c r="DN51" s="88"/>
      <c r="DO51" s="108"/>
      <c r="DR51" s="88"/>
      <c r="DS51" s="108"/>
      <c r="DU51" s="76"/>
      <c r="DV51" s="76"/>
      <c r="DW51" s="76"/>
      <c r="DY51" s="110"/>
      <c r="DZ51" s="110"/>
      <c r="EA51" s="110"/>
      <c r="EC51" s="90"/>
      <c r="ED51" s="90"/>
      <c r="EE51" s="90"/>
      <c r="EF51" s="90"/>
      <c r="EG51" s="90"/>
      <c r="EH51" s="90"/>
      <c r="EI51" s="90"/>
      <c r="EJ51" s="90"/>
      <c r="EK51" s="90"/>
      <c r="EL51" s="90"/>
      <c r="EM51" s="90"/>
      <c r="EN51" s="90"/>
      <c r="EO51" s="90"/>
      <c r="EP51" s="90"/>
      <c r="EQ51" s="90"/>
      <c r="ER51" s="76"/>
      <c r="ES51" s="76"/>
      <c r="ET51" s="76"/>
      <c r="EU51" s="76"/>
      <c r="EV51" s="76"/>
      <c r="EW51" s="76"/>
      <c r="EX51" s="76"/>
      <c r="EY51" s="76"/>
      <c r="EZ51" s="137"/>
      <c r="FA51" s="137"/>
      <c r="FB51" s="61"/>
      <c r="FC51" s="138"/>
      <c r="FD51" s="61"/>
      <c r="FE51" s="61"/>
      <c r="FF51" s="91"/>
      <c r="FI51" s="91"/>
      <c r="FK51" s="92"/>
      <c r="FL51" s="92"/>
      <c r="FM51" s="92"/>
      <c r="FN51" s="92"/>
      <c r="FO51" s="92"/>
      <c r="FP51" s="92"/>
      <c r="FQ51" s="92"/>
      <c r="FS51" s="106"/>
      <c r="FT51" s="61"/>
      <c r="FU51" s="65"/>
      <c r="FV51" s="61"/>
      <c r="FW51" s="65"/>
      <c r="FX51" s="65"/>
      <c r="FY51" s="65"/>
      <c r="FZ51" s="106"/>
      <c r="GA51" s="61"/>
      <c r="GB51" s="65"/>
      <c r="GC51" s="61"/>
      <c r="GD51" s="94"/>
      <c r="GE51" s="61"/>
      <c r="GF51" s="94"/>
      <c r="GG51" s="106"/>
      <c r="GH51" s="90"/>
      <c r="GI51" s="65"/>
      <c r="GJ51" s="94"/>
      <c r="GK51" s="94"/>
      <c r="GL51" s="94"/>
      <c r="GM51" s="94"/>
      <c r="GO51" s="65"/>
      <c r="GP51" s="96"/>
      <c r="GQ51" s="96"/>
      <c r="GR51" s="96"/>
      <c r="GS51" s="96"/>
      <c r="GT51" s="96"/>
      <c r="GU51" s="96"/>
      <c r="GV51" s="96"/>
    </row>
    <row r="52" spans="1:248" ht="13.8" x14ac:dyDescent="0.3">
      <c r="A52" s="126"/>
      <c r="B52" s="160" t="str">
        <f>INT(Y57)&amp;"/"&amp;INT(Y58)&amp;"/"&amp;INT(Y59)</f>
        <v>30/20/20</v>
      </c>
      <c r="C52" s="151"/>
      <c r="D52" s="148"/>
      <c r="E52" s="152" t="s">
        <v>13</v>
      </c>
      <c r="F52" s="155" t="s">
        <v>137</v>
      </c>
      <c r="G52" s="155"/>
      <c r="H52" s="155"/>
      <c r="I52" s="155"/>
      <c r="J52" s="154"/>
      <c r="K52" s="151"/>
      <c r="V52" s="156"/>
      <c r="W52" s="157"/>
      <c r="X52" s="157"/>
      <c r="Y52" s="157"/>
      <c r="Z52" s="157"/>
      <c r="AA52" s="48"/>
      <c r="AB52" s="48"/>
      <c r="AC52" s="100">
        <f>AC51/F51</f>
        <v>0.3000000000000001</v>
      </c>
      <c r="CK52" s="51"/>
      <c r="CL52" s="51"/>
      <c r="CM52" s="51"/>
      <c r="CN52" s="51"/>
      <c r="CO52" s="51"/>
      <c r="CP52" s="51"/>
      <c r="CQ52" s="51"/>
      <c r="CR52" s="51"/>
      <c r="CV52" s="88"/>
      <c r="CW52" s="108"/>
      <c r="CY52" s="76"/>
      <c r="CZ52" s="76"/>
      <c r="DA52" s="76"/>
      <c r="DC52" s="109"/>
      <c r="DE52" s="89"/>
      <c r="DF52" s="89"/>
      <c r="DG52" s="89"/>
      <c r="DH52" s="89"/>
      <c r="DI52" s="89"/>
      <c r="DJ52" s="89"/>
      <c r="DN52" s="88"/>
      <c r="DO52" s="108"/>
      <c r="DR52" s="88"/>
      <c r="DS52" s="108"/>
      <c r="DU52" s="76"/>
      <c r="DV52" s="76"/>
      <c r="DW52" s="76"/>
      <c r="DY52" s="110"/>
      <c r="DZ52" s="110"/>
      <c r="EA52" s="110"/>
      <c r="EC52" s="90"/>
      <c r="ED52" s="90"/>
      <c r="EE52" s="90"/>
      <c r="EF52" s="90"/>
      <c r="EG52" s="90"/>
      <c r="EH52" s="90"/>
      <c r="EI52" s="90"/>
      <c r="EJ52" s="90"/>
      <c r="EK52" s="90"/>
      <c r="EL52" s="90"/>
      <c r="EM52" s="90"/>
      <c r="EN52" s="90"/>
      <c r="EO52" s="90"/>
      <c r="EP52" s="90"/>
      <c r="EQ52" s="90"/>
      <c r="ER52" s="76"/>
      <c r="ES52" s="76"/>
      <c r="ET52" s="76"/>
      <c r="EU52" s="76"/>
      <c r="EV52" s="76"/>
      <c r="EW52" s="76"/>
      <c r="EX52" s="76"/>
      <c r="EY52" s="76"/>
      <c r="EZ52" s="137"/>
      <c r="FA52" s="137"/>
      <c r="FB52" s="61"/>
      <c r="FC52" s="138"/>
      <c r="FD52" s="61"/>
      <c r="FE52" s="61"/>
      <c r="FF52" s="91"/>
      <c r="FI52" s="91"/>
      <c r="FK52" s="92"/>
      <c r="FL52" s="92"/>
      <c r="FM52" s="92"/>
      <c r="FN52" s="92"/>
      <c r="FO52" s="92"/>
      <c r="FP52" s="92"/>
      <c r="FQ52" s="92"/>
      <c r="FS52" s="106"/>
      <c r="FT52" s="61"/>
      <c r="FU52" s="65"/>
      <c r="FV52" s="61"/>
      <c r="FW52" s="65"/>
      <c r="FX52" s="65"/>
      <c r="FY52" s="65"/>
      <c r="FZ52" s="106"/>
      <c r="GA52" s="61"/>
      <c r="GB52" s="65"/>
      <c r="GC52" s="93"/>
      <c r="GD52" s="94"/>
      <c r="GE52" s="61"/>
      <c r="GF52" s="94"/>
      <c r="GG52" s="106"/>
      <c r="GH52" s="90"/>
      <c r="GI52" s="65"/>
      <c r="GJ52" s="94"/>
      <c r="GK52" s="94"/>
      <c r="GL52" s="94"/>
      <c r="GM52" s="94"/>
      <c r="GN52" s="106"/>
      <c r="GO52" s="65"/>
      <c r="GP52" s="96"/>
      <c r="GQ52" s="96"/>
      <c r="GR52" s="96"/>
      <c r="GS52" s="96"/>
      <c r="GT52" s="96"/>
      <c r="GU52" s="96"/>
      <c r="GV52" s="96"/>
    </row>
    <row r="53" spans="1:248" ht="8.25" customHeight="1" x14ac:dyDescent="0.3">
      <c r="A53" s="126"/>
      <c r="B53" s="126"/>
      <c r="C53" s="126"/>
      <c r="D53" s="51"/>
      <c r="E53" s="51"/>
      <c r="F53" s="51"/>
      <c r="G53" s="51"/>
      <c r="H53" s="51"/>
      <c r="I53" s="51"/>
      <c r="J53" s="128"/>
      <c r="K53" s="128"/>
      <c r="V53" s="156"/>
      <c r="W53" s="157"/>
      <c r="X53" s="157"/>
      <c r="Y53" s="157"/>
      <c r="Z53" s="157"/>
      <c r="AA53" s="48"/>
      <c r="AB53" s="48"/>
      <c r="AC53" s="100">
        <f>W51/F51</f>
        <v>0.70000000000000007</v>
      </c>
      <c r="CK53" s="51"/>
      <c r="CL53" s="51"/>
      <c r="CM53" s="51"/>
      <c r="CN53" s="51"/>
      <c r="CO53" s="51"/>
      <c r="CP53" s="51"/>
      <c r="CQ53" s="51"/>
      <c r="CR53" s="51">
        <f ca="1">MIN(CR16:CR50)</f>
        <v>3000</v>
      </c>
      <c r="CS53" s="51">
        <f ca="1">MIN(CS16:CS50)</f>
        <v>4500</v>
      </c>
      <c r="CV53" s="88"/>
      <c r="CW53" s="108"/>
      <c r="CY53" s="76"/>
      <c r="CZ53" s="76"/>
      <c r="DA53" s="76"/>
      <c r="DC53" s="109"/>
      <c r="DE53" s="89"/>
      <c r="DF53" s="89"/>
      <c r="DG53" s="89"/>
      <c r="DH53" s="89"/>
      <c r="DI53" s="89"/>
      <c r="DJ53" s="89"/>
      <c r="DN53" s="88"/>
      <c r="DO53" s="108"/>
      <c r="DR53" s="88"/>
      <c r="DS53" s="108"/>
      <c r="DU53" s="76"/>
      <c r="DV53" s="76"/>
      <c r="DW53" s="76"/>
      <c r="DY53" s="110"/>
      <c r="DZ53" s="110"/>
      <c r="EA53" s="110"/>
      <c r="EC53" s="90"/>
      <c r="ED53" s="90"/>
      <c r="EE53" s="90"/>
      <c r="EF53" s="90"/>
      <c r="EG53" s="90"/>
      <c r="EH53" s="90"/>
      <c r="EI53" s="90"/>
      <c r="EJ53" s="90"/>
      <c r="EK53" s="90"/>
      <c r="EL53" s="90"/>
      <c r="EM53" s="90"/>
      <c r="EN53" s="90"/>
      <c r="EO53" s="90"/>
      <c r="EP53" s="90"/>
      <c r="EQ53" s="90"/>
      <c r="ER53" s="76"/>
      <c r="ES53" s="76"/>
      <c r="ET53" s="76"/>
      <c r="EU53" s="76"/>
      <c r="EV53" s="76"/>
      <c r="EW53" s="76"/>
      <c r="EX53" s="76"/>
      <c r="EY53" s="76"/>
      <c r="EZ53" s="137"/>
      <c r="FA53" s="137"/>
      <c r="FB53" s="61"/>
      <c r="FC53" s="138"/>
      <c r="FD53" s="61"/>
      <c r="FE53" s="61"/>
      <c r="FF53" s="91"/>
      <c r="FI53" s="91"/>
      <c r="FK53" s="92"/>
      <c r="FL53" s="92"/>
      <c r="FM53" s="92"/>
      <c r="FN53" s="92"/>
      <c r="FO53" s="92"/>
      <c r="FP53" s="92"/>
      <c r="FQ53" s="92"/>
      <c r="FS53" s="106"/>
      <c r="FT53" s="65"/>
      <c r="FU53" s="65"/>
      <c r="FV53" s="65"/>
      <c r="FW53" s="65"/>
      <c r="FX53" s="65"/>
      <c r="FY53" s="65"/>
      <c r="FZ53" s="106"/>
      <c r="GA53" s="90"/>
      <c r="GB53" s="65"/>
      <c r="GC53" s="61"/>
      <c r="GD53" s="94"/>
      <c r="GE53" s="65"/>
      <c r="GF53" s="94"/>
      <c r="GG53" s="106"/>
      <c r="GH53" s="90"/>
      <c r="GI53" s="65"/>
      <c r="GJ53" s="90"/>
      <c r="GK53" s="94"/>
      <c r="GL53" s="90"/>
      <c r="GM53" s="94"/>
      <c r="GO53" s="65"/>
      <c r="GP53" s="96"/>
      <c r="GQ53" s="96"/>
      <c r="GR53" s="96"/>
      <c r="GS53" s="96"/>
      <c r="GT53" s="96"/>
      <c r="GU53" s="96"/>
      <c r="GV53" s="96"/>
    </row>
    <row r="54" spans="1:248" ht="13.8" x14ac:dyDescent="0.3">
      <c r="A54" s="51"/>
      <c r="B54" s="51"/>
      <c r="C54" s="51"/>
      <c r="D54" s="51"/>
      <c r="E54" s="51"/>
      <c r="F54" s="51"/>
      <c r="G54" s="51"/>
      <c r="H54" s="78"/>
      <c r="I54" s="51"/>
      <c r="J54" s="51"/>
      <c r="K54" s="78"/>
      <c r="V54" s="156"/>
      <c r="W54" s="157"/>
      <c r="X54" s="157"/>
      <c r="Y54" s="157"/>
      <c r="Z54" s="157"/>
      <c r="AA54" s="48"/>
      <c r="AB54" s="48"/>
      <c r="CK54" s="51"/>
      <c r="CL54" s="51"/>
      <c r="CM54" s="51"/>
      <c r="CN54" s="51"/>
      <c r="CO54" s="51"/>
      <c r="CP54" s="51"/>
      <c r="CQ54" s="51"/>
      <c r="CR54" s="51">
        <f ca="1">MAX(CR16:CR50)</f>
        <v>3000</v>
      </c>
      <c r="CS54" s="51">
        <f ca="1">MAX(CS16:CS50)</f>
        <v>4500</v>
      </c>
      <c r="CV54" s="88"/>
      <c r="CW54" s="108"/>
      <c r="CY54" s="76"/>
      <c r="CZ54" s="76"/>
      <c r="DA54" s="76"/>
      <c r="DC54" s="109"/>
      <c r="DE54" s="89"/>
      <c r="DF54" s="89"/>
      <c r="DG54" s="89"/>
      <c r="DH54" s="89"/>
      <c r="DI54" s="89"/>
      <c r="DJ54" s="89"/>
      <c r="DN54" s="88"/>
      <c r="DO54" s="108"/>
      <c r="DR54" s="88"/>
      <c r="DS54" s="108"/>
      <c r="DU54" s="76"/>
      <c r="DV54" s="76"/>
      <c r="DW54" s="76"/>
      <c r="DY54" s="110"/>
      <c r="DZ54" s="110"/>
      <c r="EA54" s="110"/>
      <c r="EC54" s="90"/>
      <c r="ED54" s="90"/>
      <c r="EE54" s="90"/>
      <c r="EF54" s="90"/>
      <c r="EG54" s="90"/>
      <c r="EH54" s="90"/>
      <c r="EI54" s="90"/>
      <c r="EJ54" s="90"/>
      <c r="EK54" s="90"/>
      <c r="EL54" s="90"/>
      <c r="EM54" s="90"/>
      <c r="EN54" s="90"/>
      <c r="EO54" s="90"/>
      <c r="EP54" s="90"/>
      <c r="EQ54" s="90"/>
      <c r="ER54" s="76"/>
      <c r="ES54" s="76"/>
      <c r="ET54" s="76"/>
      <c r="EU54" s="76"/>
      <c r="EV54" s="76"/>
      <c r="EW54" s="76"/>
      <c r="EX54" s="76"/>
      <c r="EY54" s="76"/>
      <c r="EZ54" s="137"/>
      <c r="FA54" s="137"/>
      <c r="FB54" s="61"/>
      <c r="FC54" s="138"/>
      <c r="FD54" s="61"/>
      <c r="FE54" s="61"/>
      <c r="FF54" s="91"/>
      <c r="FI54" s="91"/>
      <c r="FK54" s="92"/>
      <c r="FL54" s="92"/>
      <c r="FM54" s="92"/>
      <c r="FN54" s="92"/>
      <c r="FO54" s="92"/>
      <c r="FP54" s="92"/>
      <c r="FQ54" s="92"/>
      <c r="FS54" s="106"/>
      <c r="FT54" s="65"/>
      <c r="FU54" s="65"/>
      <c r="FV54" s="65"/>
      <c r="FW54" s="65"/>
      <c r="FX54" s="65"/>
      <c r="FY54" s="65"/>
      <c r="FZ54" s="106"/>
      <c r="GA54" s="90"/>
      <c r="GB54" s="65"/>
      <c r="GC54" s="61"/>
      <c r="GD54" s="94"/>
      <c r="GE54" s="65"/>
      <c r="GF54" s="94"/>
      <c r="GG54" s="106"/>
      <c r="GH54" s="90"/>
      <c r="GI54" s="65"/>
      <c r="GJ54" s="90"/>
      <c r="GK54" s="94"/>
      <c r="GL54" s="90"/>
      <c r="GM54" s="94"/>
      <c r="GO54" s="65"/>
      <c r="GP54" s="96"/>
      <c r="GQ54" s="96"/>
      <c r="GR54" s="96"/>
      <c r="GS54" s="96"/>
      <c r="GT54" s="96"/>
      <c r="GU54" s="96"/>
      <c r="GV54" s="96"/>
    </row>
    <row r="55" spans="1:248" ht="13.8" x14ac:dyDescent="0.3">
      <c r="A55" s="51"/>
      <c r="B55" s="51"/>
      <c r="C55" s="51"/>
      <c r="D55" s="51"/>
      <c r="E55" s="51"/>
      <c r="F55" s="51"/>
      <c r="G55" s="51"/>
      <c r="H55" s="51"/>
      <c r="I55" s="51"/>
      <c r="J55" s="51"/>
      <c r="K55" s="51"/>
      <c r="V55" s="156"/>
      <c r="W55" s="157"/>
      <c r="X55" s="157"/>
      <c r="Y55" s="157"/>
      <c r="Z55" s="157"/>
      <c r="CK55" s="51"/>
      <c r="CL55" s="51"/>
      <c r="CM55" s="51"/>
      <c r="CN55" s="51"/>
      <c r="CO55" s="51"/>
      <c r="CP55" s="51"/>
      <c r="CQ55" s="51"/>
      <c r="CR55" s="51">
        <f ca="1">AVERAGE(CR16:CR50)</f>
        <v>3000</v>
      </c>
      <c r="CS55" s="51">
        <f ca="1">AVERAGE(CS16:CS50)</f>
        <v>4500</v>
      </c>
      <c r="CV55" s="88"/>
      <c r="CW55" s="108"/>
      <c r="CY55" s="76"/>
      <c r="CZ55" s="76"/>
      <c r="DA55" s="76"/>
      <c r="DC55" s="109"/>
      <c r="DE55" s="89"/>
      <c r="DF55" s="89"/>
      <c r="DG55" s="89"/>
      <c r="DH55" s="89"/>
      <c r="DI55" s="89"/>
      <c r="DJ55" s="89"/>
      <c r="DN55" s="88"/>
      <c r="DO55" s="108"/>
      <c r="DR55" s="88"/>
      <c r="DS55" s="108"/>
      <c r="DU55" s="76"/>
      <c r="DV55" s="76"/>
      <c r="DW55" s="76"/>
      <c r="DY55" s="110"/>
      <c r="DZ55" s="110"/>
      <c r="EA55" s="110"/>
      <c r="EB55" s="103"/>
      <c r="EC55" s="103"/>
      <c r="ED55" s="103"/>
      <c r="EE55" s="103"/>
      <c r="EF55" s="103"/>
      <c r="EG55" s="103"/>
      <c r="EH55" s="103"/>
      <c r="EI55" s="103"/>
      <c r="EJ55" s="103"/>
      <c r="EK55" s="103"/>
      <c r="EL55" s="103"/>
      <c r="EM55" s="103"/>
      <c r="EN55" s="103"/>
      <c r="EO55" s="103"/>
      <c r="EP55" s="103"/>
      <c r="EQ55" s="103"/>
      <c r="ER55" s="103"/>
      <c r="ES55" s="103"/>
      <c r="ET55" s="103"/>
      <c r="EU55" s="103"/>
      <c r="EV55" s="103"/>
      <c r="EW55" s="103"/>
      <c r="EX55" s="103"/>
      <c r="EY55" s="103"/>
      <c r="EZ55" s="103"/>
      <c r="FA55" s="103"/>
      <c r="FB55" s="103"/>
      <c r="FC55" s="103"/>
      <c r="FD55" s="103"/>
      <c r="FE55" s="103"/>
      <c r="FF55" s="103"/>
      <c r="FG55" s="103"/>
      <c r="FH55" s="103"/>
      <c r="FI55" s="103"/>
      <c r="FJ55" s="103"/>
      <c r="FK55" s="92"/>
      <c r="FL55" s="92"/>
      <c r="FM55" s="92"/>
      <c r="FN55" s="92"/>
      <c r="FO55" s="92"/>
      <c r="FP55" s="92"/>
      <c r="FQ55" s="92"/>
      <c r="FR55" s="103"/>
      <c r="FS55" s="106"/>
      <c r="FT55" s="65"/>
      <c r="FU55" s="65"/>
      <c r="FV55" s="65"/>
      <c r="FW55" s="65"/>
      <c r="FX55" s="65"/>
      <c r="FY55" s="65"/>
      <c r="FZ55" s="106"/>
      <c r="GA55" s="90"/>
      <c r="GB55" s="65"/>
      <c r="GC55" s="61"/>
      <c r="GD55" s="94"/>
      <c r="GE55" s="65"/>
      <c r="GF55" s="94"/>
      <c r="GG55" s="106"/>
      <c r="GH55" s="90"/>
      <c r="GI55" s="65"/>
      <c r="GJ55" s="90"/>
      <c r="GK55" s="94"/>
      <c r="GL55" s="90"/>
      <c r="GM55" s="94"/>
      <c r="GO55" s="65"/>
      <c r="GP55" s="96"/>
      <c r="GQ55" s="96"/>
      <c r="GR55" s="96"/>
      <c r="GS55" s="96"/>
      <c r="GT55" s="96"/>
      <c r="GU55" s="96"/>
      <c r="GV55" s="96"/>
      <c r="GW55" s="103"/>
      <c r="GX55" s="103"/>
      <c r="GY55" s="103"/>
      <c r="GZ55" s="103"/>
      <c r="HA55" s="103"/>
      <c r="HB55" s="103"/>
      <c r="HC55" s="103"/>
      <c r="HD55" s="103"/>
      <c r="HE55" s="103"/>
      <c r="HF55" s="103"/>
      <c r="HG55" s="103"/>
      <c r="IJ55" s="103"/>
      <c r="IK55" s="103"/>
      <c r="IL55" s="103"/>
      <c r="IM55" s="103"/>
      <c r="IN55" s="103"/>
    </row>
    <row r="56" spans="1:248" ht="13.8" x14ac:dyDescent="0.3">
      <c r="A56" s="51"/>
      <c r="B56" s="79" t="s">
        <v>148</v>
      </c>
      <c r="C56" s="51" t="str">
        <f ca="1">[1]!xlv(C58)</f>
        <v>1 + √[(2 / A₂₂) × (√[A₁₁ × A₁₂] - A₁₂ + (A₁₁ × A₂₂ - A₁₂²) / (2 × A₃₃))]</v>
      </c>
      <c r="D56" s="51"/>
      <c r="E56" s="51"/>
      <c r="F56" s="51"/>
      <c r="G56" s="51"/>
      <c r="H56" s="51"/>
      <c r="I56" s="51"/>
      <c r="J56" s="51"/>
      <c r="K56" s="51"/>
      <c r="V56" s="156"/>
      <c r="W56" s="158" t="s">
        <v>121</v>
      </c>
      <c r="X56" s="157">
        <f>COUNTA(B16:B50)</f>
        <v>20</v>
      </c>
      <c r="Y56" s="157"/>
      <c r="Z56" s="157"/>
      <c r="CK56" s="51"/>
      <c r="CL56" s="51"/>
      <c r="CM56" s="51"/>
      <c r="CN56" s="51"/>
      <c r="CO56" s="51"/>
      <c r="CP56" s="51"/>
      <c r="CQ56" s="51"/>
      <c r="CR56" s="51"/>
      <c r="CV56" s="88"/>
      <c r="CW56" s="108"/>
      <c r="CY56" s="76"/>
      <c r="CZ56" s="76"/>
      <c r="DA56" s="76"/>
      <c r="DC56" s="109"/>
      <c r="DE56" s="89"/>
      <c r="DF56" s="89"/>
      <c r="DG56" s="89"/>
      <c r="DH56" s="89"/>
      <c r="DI56" s="89"/>
      <c r="DJ56" s="89"/>
      <c r="DN56" s="88"/>
      <c r="DO56" s="108"/>
      <c r="DR56" s="88"/>
      <c r="DS56" s="108"/>
      <c r="DU56" s="76"/>
      <c r="DV56" s="76"/>
      <c r="DW56" s="76"/>
      <c r="DY56" s="110"/>
      <c r="DZ56" s="110"/>
      <c r="EA56" s="110"/>
      <c r="FK56" s="92"/>
      <c r="FL56" s="92"/>
      <c r="FM56" s="92"/>
      <c r="FN56" s="92"/>
      <c r="FO56" s="92"/>
      <c r="FP56" s="92"/>
      <c r="FQ56" s="92"/>
      <c r="FS56" s="106"/>
      <c r="FT56" s="61"/>
      <c r="FU56" s="65"/>
      <c r="FV56" s="61"/>
      <c r="FW56" s="65"/>
      <c r="FX56" s="65"/>
      <c r="FY56" s="65"/>
      <c r="FZ56" s="106"/>
      <c r="GA56" s="61"/>
      <c r="GB56" s="65"/>
      <c r="GC56" s="61"/>
      <c r="GD56" s="94"/>
      <c r="GE56" s="61"/>
      <c r="GF56" s="94"/>
      <c r="GG56" s="106"/>
      <c r="GH56" s="90"/>
      <c r="GI56" s="65"/>
      <c r="GJ56" s="94"/>
      <c r="GK56" s="94"/>
      <c r="GL56" s="94"/>
      <c r="GM56" s="94"/>
      <c r="GO56" s="65"/>
      <c r="GP56" s="96"/>
      <c r="GQ56" s="96"/>
      <c r="GR56" s="96"/>
      <c r="GS56" s="96"/>
      <c r="GT56" s="96"/>
      <c r="GU56" s="96"/>
      <c r="GV56" s="96"/>
    </row>
    <row r="57" spans="1:248" ht="13.8" x14ac:dyDescent="0.3">
      <c r="A57" s="51"/>
      <c r="B57" s="79" t="s">
        <v>148</v>
      </c>
      <c r="C57" s="51" t="str">
        <f ca="1">[1]!xln(C58)</f>
        <v>1 + √[(2 / 995373) × (√[1208845 × 215973] - 215973 + (1208845 × 995373 - 215973²) / (2 × 235953))]</v>
      </c>
      <c r="D57" s="51"/>
      <c r="E57" s="51"/>
      <c r="F57" s="51"/>
      <c r="G57" s="51"/>
      <c r="H57" s="51"/>
      <c r="I57" s="51"/>
      <c r="J57" s="51"/>
      <c r="K57" s="51"/>
      <c r="L57" s="51"/>
      <c r="V57" s="156"/>
      <c r="W57" s="158" t="s">
        <v>122</v>
      </c>
      <c r="X57" s="159">
        <f>COUNTIF(B16:B50,0)</f>
        <v>6</v>
      </c>
      <c r="Y57" s="157">
        <f>X57/X56*100</f>
        <v>30</v>
      </c>
      <c r="Z57" s="157"/>
      <c r="AA57" s="129" t="s">
        <v>8</v>
      </c>
      <c r="AB57" s="130" t="s">
        <v>55</v>
      </c>
      <c r="CN57" s="88"/>
      <c r="CO57" s="108"/>
      <c r="CQ57" s="76"/>
      <c r="CR57" s="76"/>
      <c r="CS57" s="76"/>
      <c r="CU57" s="109"/>
      <c r="CW57" s="89"/>
      <c r="CX57" s="89"/>
      <c r="CY57" s="89"/>
      <c r="CZ57" s="89"/>
      <c r="DA57" s="89"/>
      <c r="DB57" s="89"/>
      <c r="DF57" s="88"/>
      <c r="DG57" s="108"/>
      <c r="DJ57" s="88"/>
      <c r="DK57" s="108"/>
      <c r="DM57" s="76"/>
      <c r="DN57" s="76"/>
      <c r="DO57" s="76"/>
      <c r="DQ57" s="110"/>
      <c r="DR57" s="110"/>
      <c r="DS57" s="110"/>
      <c r="FC57" s="92"/>
      <c r="FD57" s="92"/>
      <c r="FE57" s="92"/>
      <c r="FF57" s="92"/>
      <c r="FG57" s="92"/>
      <c r="FH57" s="92"/>
      <c r="FI57" s="92"/>
      <c r="FK57" s="106"/>
      <c r="FL57" s="61"/>
      <c r="FM57" s="65"/>
      <c r="FN57" s="61"/>
      <c r="FO57" s="65"/>
      <c r="FP57" s="65"/>
      <c r="FQ57" s="65"/>
      <c r="FR57" s="106"/>
      <c r="FS57" s="61"/>
      <c r="FT57" s="65"/>
      <c r="FU57" s="61"/>
      <c r="FV57" s="94"/>
      <c r="FW57" s="61"/>
      <c r="FX57" s="94"/>
      <c r="FY57" s="106"/>
      <c r="FZ57" s="90"/>
      <c r="GA57" s="65"/>
      <c r="GB57" s="94"/>
      <c r="GC57" s="94"/>
      <c r="GD57" s="94"/>
      <c r="GE57" s="94"/>
      <c r="GG57" s="65"/>
      <c r="GH57" s="96"/>
      <c r="GI57" s="96"/>
      <c r="GJ57" s="96"/>
      <c r="GK57" s="96"/>
      <c r="GL57" s="96"/>
      <c r="GM57" s="96"/>
      <c r="GN57" s="96"/>
    </row>
    <row r="58" spans="1:248" ht="13.8" x14ac:dyDescent="0.3">
      <c r="A58" s="51"/>
      <c r="B58" s="79" t="s">
        <v>148</v>
      </c>
      <c r="C58" s="215">
        <f ca="1">1+SQRT((2/I49)*(SQRT(I48*I50)-I50+(I48*I49-I50^2)/(2*I51)))</f>
        <v>3.3489025404341159</v>
      </c>
      <c r="D58" s="51"/>
      <c r="E58" s="51"/>
      <c r="F58" s="51"/>
      <c r="G58" s="51"/>
      <c r="H58" s="51"/>
      <c r="I58" s="51"/>
      <c r="J58" s="51"/>
      <c r="K58" s="51"/>
      <c r="L58" s="51"/>
      <c r="V58" s="156"/>
      <c r="W58" s="156"/>
      <c r="X58" s="156">
        <f>COUNTIF(B16:B50,45)</f>
        <v>4</v>
      </c>
      <c r="Y58" s="156">
        <f>X58/X56*100</f>
        <v>20</v>
      </c>
      <c r="Z58" s="156"/>
      <c r="AA58" s="129" t="s">
        <v>55</v>
      </c>
      <c r="AB58" s="130" t="s">
        <v>117</v>
      </c>
      <c r="AC58" s="141">
        <f t="shared" ref="AC58:AE60" ca="1" si="53">CV40</f>
        <v>1.6825651982799172E-11</v>
      </c>
      <c r="AD58" s="76">
        <f t="shared" ca="1" si="53"/>
        <v>2.0463630789890885E-12</v>
      </c>
      <c r="AE58" s="83">
        <f t="shared" ca="1" si="53"/>
        <v>0</v>
      </c>
      <c r="CN58" s="88"/>
      <c r="CO58" s="108"/>
      <c r="CQ58" s="76"/>
      <c r="CR58" s="76"/>
      <c r="CS58" s="76"/>
      <c r="CU58" s="109"/>
      <c r="CW58" s="89"/>
      <c r="CX58" s="89"/>
      <c r="CY58" s="89"/>
      <c r="CZ58" s="89"/>
      <c r="DA58" s="89"/>
      <c r="DB58" s="89"/>
      <c r="DF58" s="88"/>
      <c r="DG58" s="108"/>
      <c r="DJ58" s="88"/>
      <c r="DK58" s="108"/>
      <c r="DM58" s="76"/>
      <c r="DN58" s="76"/>
      <c r="DO58" s="76"/>
      <c r="DQ58" s="110"/>
      <c r="DR58" s="110"/>
      <c r="DS58" s="110"/>
      <c r="FC58" s="92"/>
      <c r="FD58" s="92"/>
      <c r="FE58" s="92"/>
      <c r="FF58" s="92"/>
      <c r="FG58" s="92"/>
      <c r="FH58" s="92"/>
      <c r="FI58" s="92"/>
      <c r="FK58" s="106"/>
      <c r="FL58" s="61"/>
      <c r="FM58" s="65"/>
      <c r="FN58" s="61"/>
      <c r="FO58" s="65"/>
      <c r="FP58" s="65"/>
      <c r="FQ58" s="65"/>
      <c r="FR58" s="106"/>
      <c r="FS58" s="61"/>
      <c r="FT58" s="65"/>
      <c r="FU58" s="61"/>
      <c r="FV58" s="94"/>
      <c r="FW58" s="61"/>
      <c r="FX58" s="94"/>
      <c r="FY58" s="106"/>
      <c r="FZ58" s="90"/>
      <c r="GA58" s="65"/>
      <c r="GB58" s="94"/>
      <c r="GC58" s="94"/>
      <c r="GD58" s="94"/>
      <c r="GE58" s="94"/>
      <c r="GG58" s="65"/>
      <c r="GH58" s="96"/>
      <c r="GI58" s="96"/>
      <c r="GJ58" s="96"/>
      <c r="GK58" s="96"/>
      <c r="GL58" s="96"/>
      <c r="GM58" s="96"/>
      <c r="GN58" s="96"/>
    </row>
    <row r="59" spans="1:248" x14ac:dyDescent="0.3">
      <c r="A59" s="51"/>
      <c r="F59" s="51"/>
      <c r="G59" s="51"/>
      <c r="H59" s="51"/>
      <c r="I59" s="51"/>
      <c r="J59" s="51"/>
      <c r="K59" s="51"/>
      <c r="L59" s="51"/>
      <c r="V59" s="156"/>
      <c r="W59" s="156"/>
      <c r="X59" s="156">
        <f>COUNTIF(B16:B50,90)</f>
        <v>4</v>
      </c>
      <c r="Y59" s="156">
        <f>X59/X56*100</f>
        <v>20</v>
      </c>
      <c r="Z59" s="156"/>
      <c r="AC59" s="141">
        <f t="shared" ca="1" si="53"/>
        <v>2.0463630789890885E-12</v>
      </c>
      <c r="AD59" s="76">
        <f t="shared" ca="1" si="53"/>
        <v>1.8189894035458565E-12</v>
      </c>
      <c r="AE59" s="83">
        <f t="shared" ca="1" si="53"/>
        <v>6.8212102632969618E-13</v>
      </c>
      <c r="CN59" s="88"/>
      <c r="CO59" s="108"/>
      <c r="CQ59" s="76"/>
      <c r="CR59" s="76"/>
      <c r="CS59" s="76"/>
      <c r="CU59" s="109"/>
      <c r="CW59" s="89"/>
      <c r="CX59" s="89"/>
      <c r="CY59" s="89"/>
      <c r="CZ59" s="89"/>
      <c r="DA59" s="89"/>
      <c r="DB59" s="89"/>
      <c r="DF59" s="88"/>
      <c r="DG59" s="108"/>
      <c r="DJ59" s="88"/>
      <c r="DK59" s="108"/>
      <c r="DM59" s="76"/>
      <c r="DN59" s="76"/>
      <c r="DO59" s="76"/>
      <c r="DQ59" s="110"/>
      <c r="DR59" s="110"/>
      <c r="DS59" s="110"/>
      <c r="FC59" s="92"/>
      <c r="FD59" s="92"/>
      <c r="FE59" s="92"/>
      <c r="FF59" s="92"/>
      <c r="FG59" s="92"/>
      <c r="FH59" s="92"/>
      <c r="FI59" s="92"/>
      <c r="FK59" s="106"/>
      <c r="FL59" s="61"/>
      <c r="FM59" s="65"/>
      <c r="FN59" s="61"/>
      <c r="FO59" s="65"/>
      <c r="FP59" s="65"/>
      <c r="FQ59" s="65"/>
      <c r="FR59" s="106"/>
      <c r="FS59" s="61"/>
      <c r="FT59" s="65"/>
      <c r="FU59" s="93"/>
      <c r="FV59" s="94"/>
      <c r="FW59" s="61"/>
      <c r="FX59" s="94"/>
      <c r="FY59" s="106"/>
      <c r="FZ59" s="90"/>
      <c r="GA59" s="65"/>
      <c r="GB59" s="94"/>
      <c r="GC59" s="94"/>
      <c r="GD59" s="94"/>
      <c r="GE59" s="94"/>
      <c r="GF59" s="106"/>
      <c r="GG59" s="65"/>
      <c r="GH59" s="96"/>
      <c r="GI59" s="96"/>
      <c r="GJ59" s="96"/>
      <c r="GK59" s="96"/>
      <c r="GL59" s="96"/>
      <c r="GM59" s="96"/>
      <c r="GN59" s="96"/>
    </row>
    <row r="60" spans="1:248" ht="4.8" customHeight="1" x14ac:dyDescent="0.3">
      <c r="A60" s="51"/>
      <c r="F60" s="51"/>
      <c r="G60" s="51"/>
      <c r="H60" s="51"/>
      <c r="I60" s="51"/>
      <c r="J60" s="51"/>
      <c r="K60" s="51"/>
      <c r="L60" s="51"/>
      <c r="AC60" s="142">
        <f t="shared" ca="1" si="53"/>
        <v>0</v>
      </c>
      <c r="AD60" s="143">
        <f t="shared" ca="1" si="53"/>
        <v>6.8212102632969618E-13</v>
      </c>
      <c r="AE60" s="144">
        <f t="shared" ca="1" si="53"/>
        <v>1.8189894035458565E-12</v>
      </c>
      <c r="CN60" s="88"/>
      <c r="CO60" s="108"/>
      <c r="CQ60" s="76"/>
      <c r="CR60" s="76"/>
      <c r="CS60" s="76"/>
      <c r="CU60" s="109"/>
      <c r="CW60" s="89"/>
      <c r="CX60" s="89"/>
      <c r="CY60" s="89"/>
      <c r="CZ60" s="89"/>
      <c r="DA60" s="89"/>
      <c r="DB60" s="89"/>
      <c r="DF60" s="88"/>
      <c r="DG60" s="108"/>
      <c r="DJ60" s="88"/>
      <c r="DK60" s="108"/>
      <c r="DM60" s="76"/>
      <c r="DN60" s="76"/>
      <c r="DO60" s="76"/>
      <c r="DQ60" s="110"/>
      <c r="DR60" s="110"/>
      <c r="DS60" s="110"/>
      <c r="FC60" s="92"/>
      <c r="FD60" s="92"/>
      <c r="FE60" s="92"/>
      <c r="FF60" s="92"/>
      <c r="FG60" s="92"/>
      <c r="FH60" s="92"/>
      <c r="FI60" s="92"/>
      <c r="FK60" s="106"/>
      <c r="FL60" s="65"/>
      <c r="FM60" s="65"/>
      <c r="FN60" s="65"/>
      <c r="FO60" s="65"/>
      <c r="FP60" s="65"/>
      <c r="FQ60" s="65"/>
      <c r="FR60" s="106"/>
      <c r="FS60" s="90"/>
      <c r="FT60" s="65"/>
      <c r="FU60" s="61"/>
      <c r="FV60" s="94"/>
      <c r="FW60" s="65"/>
      <c r="FX60" s="94"/>
      <c r="FY60" s="106"/>
      <c r="FZ60" s="90"/>
      <c r="GA60" s="65"/>
      <c r="GB60" s="90"/>
      <c r="GC60" s="94"/>
      <c r="GD60" s="90"/>
      <c r="GE60" s="94"/>
      <c r="GG60" s="65"/>
      <c r="GH60" s="96"/>
      <c r="GI60" s="96"/>
      <c r="GJ60" s="96"/>
      <c r="GK60" s="96"/>
      <c r="GL60" s="96"/>
      <c r="GM60" s="96"/>
      <c r="GN60" s="96"/>
    </row>
    <row r="61" spans="1:248" ht="4.8" customHeight="1" x14ac:dyDescent="0.3">
      <c r="A61" s="78"/>
      <c r="B61" s="189"/>
      <c r="C61" s="190"/>
      <c r="D61" s="78"/>
      <c r="E61" s="78"/>
      <c r="F61" s="78"/>
      <c r="G61" s="190"/>
      <c r="H61" s="78"/>
      <c r="I61" s="78"/>
      <c r="J61" s="78"/>
      <c r="K61" s="78"/>
      <c r="CN61" s="88"/>
      <c r="CO61" s="108"/>
      <c r="CQ61" s="76"/>
      <c r="CR61" s="76"/>
      <c r="CS61" s="76"/>
      <c r="CU61" s="109"/>
      <c r="CW61" s="89"/>
      <c r="CX61" s="89"/>
      <c r="CY61" s="89"/>
      <c r="CZ61" s="89"/>
      <c r="DA61" s="89"/>
      <c r="DB61" s="89"/>
      <c r="DF61" s="88"/>
      <c r="DG61" s="108"/>
      <c r="DJ61" s="88"/>
      <c r="DK61" s="108"/>
      <c r="DM61" s="76"/>
      <c r="DN61" s="76"/>
      <c r="DO61" s="76"/>
      <c r="DQ61" s="110"/>
      <c r="DR61" s="110"/>
      <c r="DS61" s="110"/>
      <c r="FC61" s="92"/>
      <c r="FD61" s="92"/>
      <c r="FE61" s="92"/>
      <c r="FF61" s="92"/>
      <c r="FG61" s="92"/>
      <c r="FH61" s="92"/>
      <c r="FI61" s="92"/>
      <c r="FK61" s="106"/>
      <c r="FL61" s="65"/>
      <c r="FM61" s="65"/>
      <c r="FN61" s="65"/>
      <c r="FO61" s="65"/>
      <c r="FP61" s="65"/>
      <c r="FQ61" s="65"/>
      <c r="FR61" s="106"/>
      <c r="FS61" s="90"/>
      <c r="FT61" s="65"/>
      <c r="FU61" s="61"/>
      <c r="FV61" s="94"/>
      <c r="FW61" s="65"/>
      <c r="FX61" s="94"/>
      <c r="FY61" s="106"/>
      <c r="FZ61" s="90"/>
      <c r="GA61" s="65"/>
      <c r="GB61" s="90"/>
      <c r="GC61" s="94"/>
      <c r="GD61" s="90"/>
      <c r="GE61" s="94"/>
      <c r="GG61" s="65"/>
      <c r="GH61" s="96"/>
      <c r="GI61" s="96"/>
      <c r="GJ61" s="96"/>
      <c r="GK61" s="96"/>
      <c r="GL61" s="96"/>
      <c r="GM61" s="96"/>
      <c r="GN61" s="96"/>
    </row>
    <row r="62" spans="1:248" ht="13.8" x14ac:dyDescent="0.3">
      <c r="A62" s="78"/>
      <c r="B62" s="191"/>
      <c r="C62" s="190"/>
      <c r="D62" s="192"/>
      <c r="E62" s="192"/>
      <c r="F62" s="193" t="s">
        <v>142</v>
      </c>
      <c r="G62" s="190"/>
      <c r="H62" s="192"/>
      <c r="I62" s="192"/>
      <c r="J62" s="192"/>
      <c r="K62" s="78"/>
      <c r="U62" s="48"/>
      <c r="V62" s="61"/>
      <c r="W62" s="61"/>
      <c r="X62" s="61"/>
      <c r="Y62" s="61"/>
      <c r="Z62" s="61"/>
      <c r="AA62" s="61"/>
      <c r="AB62" s="48"/>
      <c r="CN62" s="88"/>
      <c r="CO62" s="108"/>
      <c r="CQ62" s="76"/>
      <c r="CR62" s="76"/>
      <c r="CS62" s="76"/>
      <c r="CU62" s="109"/>
      <c r="DF62" s="88"/>
      <c r="DG62" s="108"/>
      <c r="DJ62" s="88"/>
      <c r="DK62" s="108"/>
      <c r="DM62" s="76"/>
      <c r="DN62" s="76"/>
      <c r="DO62" s="76"/>
      <c r="DQ62" s="110"/>
      <c r="DR62" s="110"/>
      <c r="DS62" s="110"/>
    </row>
    <row r="63" spans="1:248" ht="13.8" x14ac:dyDescent="0.3">
      <c r="A63" s="78"/>
      <c r="B63" s="192"/>
      <c r="C63" s="192"/>
      <c r="D63" s="192"/>
      <c r="E63" s="192"/>
      <c r="F63" s="194" t="s">
        <v>143</v>
      </c>
      <c r="G63" s="192"/>
      <c r="H63" s="192"/>
      <c r="I63" s="192"/>
      <c r="J63" s="192"/>
      <c r="K63" s="78"/>
      <c r="U63" s="48"/>
      <c r="V63" s="61"/>
      <c r="W63" s="61"/>
      <c r="X63" s="61"/>
      <c r="Y63" s="61"/>
      <c r="Z63" s="61"/>
      <c r="AA63" s="61"/>
      <c r="AB63" s="48"/>
      <c r="CN63" s="88"/>
      <c r="CO63" s="108"/>
      <c r="CQ63" s="76"/>
      <c r="CR63" s="76"/>
      <c r="CS63" s="76"/>
      <c r="CU63" s="109"/>
      <c r="DF63" s="88"/>
      <c r="DG63" s="108"/>
      <c r="DJ63" s="88"/>
      <c r="DK63" s="108"/>
      <c r="DM63" s="76"/>
      <c r="DN63" s="76"/>
      <c r="DO63" s="76"/>
      <c r="DQ63" s="110"/>
      <c r="DR63" s="110"/>
      <c r="DS63" s="110"/>
    </row>
    <row r="64" spans="1:248" x14ac:dyDescent="0.3">
      <c r="A64" s="112"/>
      <c r="B64" s="112"/>
      <c r="C64" s="112"/>
      <c r="D64" s="112"/>
      <c r="E64" s="112"/>
      <c r="F64" s="101"/>
      <c r="G64" s="112"/>
      <c r="H64" s="112"/>
      <c r="I64" s="112"/>
      <c r="J64" s="112"/>
      <c r="K64" s="112"/>
      <c r="U64" s="48"/>
      <c r="V64" s="61"/>
      <c r="W64" s="61"/>
      <c r="X64" s="61"/>
      <c r="Y64" s="61"/>
      <c r="Z64" s="61"/>
      <c r="AA64" s="61"/>
      <c r="AB64" s="48"/>
      <c r="CN64" s="88"/>
      <c r="CO64" s="108"/>
      <c r="CQ64" s="76"/>
      <c r="CR64" s="76"/>
      <c r="CS64" s="76"/>
      <c r="CU64" s="109"/>
      <c r="DF64" s="88"/>
      <c r="DG64" s="108"/>
      <c r="DJ64" s="88"/>
      <c r="DK64" s="108"/>
      <c r="DM64" s="76"/>
      <c r="DN64" s="76"/>
      <c r="DO64" s="76"/>
      <c r="DQ64" s="110"/>
      <c r="DR64" s="110"/>
      <c r="DS64" s="110"/>
    </row>
    <row r="65" spans="1:123" x14ac:dyDescent="0.3">
      <c r="A65" s="112"/>
      <c r="B65" s="112"/>
      <c r="C65" s="112"/>
      <c r="D65" s="112"/>
      <c r="E65" s="112"/>
      <c r="F65" s="101"/>
      <c r="G65" s="112"/>
      <c r="H65" s="112"/>
      <c r="I65" s="112"/>
      <c r="J65" s="112"/>
      <c r="K65" s="112"/>
      <c r="U65" s="48"/>
      <c r="V65" s="61"/>
      <c r="W65" s="61"/>
      <c r="X65" s="61"/>
      <c r="Y65" s="61"/>
      <c r="Z65" s="61"/>
      <c r="AA65" s="61"/>
      <c r="AB65" s="48"/>
      <c r="CN65" s="88"/>
      <c r="CO65" s="108"/>
      <c r="CQ65" s="76"/>
      <c r="CR65" s="76"/>
      <c r="CS65" s="76"/>
      <c r="CU65" s="109"/>
      <c r="DF65" s="88"/>
      <c r="DG65" s="108"/>
      <c r="DJ65" s="88"/>
      <c r="DK65" s="108"/>
      <c r="DM65" s="76"/>
      <c r="DN65" s="76"/>
      <c r="DO65" s="76"/>
      <c r="DQ65" s="110"/>
      <c r="DR65" s="110"/>
      <c r="DS65" s="110"/>
    </row>
    <row r="66" spans="1:123" x14ac:dyDescent="0.3">
      <c r="A66" s="112"/>
      <c r="B66" s="112"/>
      <c r="C66" s="112"/>
      <c r="D66" s="112"/>
      <c r="E66" s="112"/>
      <c r="F66" s="51"/>
      <c r="G66" s="112"/>
      <c r="H66" s="112"/>
      <c r="I66" s="112"/>
      <c r="J66" s="112"/>
      <c r="K66" s="112"/>
      <c r="U66" s="48"/>
      <c r="V66" s="61"/>
      <c r="W66" s="61"/>
      <c r="X66" s="61"/>
      <c r="Y66" s="61"/>
      <c r="Z66" s="61"/>
      <c r="AA66" s="61"/>
      <c r="AB66" s="48"/>
      <c r="CN66" s="88"/>
      <c r="CO66" s="108"/>
      <c r="CQ66" s="76"/>
      <c r="CR66" s="76"/>
      <c r="CS66" s="76"/>
      <c r="CU66" s="109"/>
      <c r="DF66" s="88"/>
      <c r="DG66" s="108"/>
      <c r="DJ66" s="88"/>
      <c r="DK66" s="108"/>
      <c r="DM66" s="76"/>
      <c r="DN66" s="76"/>
      <c r="DO66" s="76"/>
      <c r="DQ66" s="110"/>
      <c r="DR66" s="110"/>
      <c r="DS66" s="110"/>
    </row>
    <row r="67" spans="1:123" x14ac:dyDescent="0.3">
      <c r="A67" s="112"/>
      <c r="B67" s="112"/>
      <c r="C67" s="112"/>
      <c r="D67" s="112"/>
      <c r="E67" s="112"/>
      <c r="F67" s="51"/>
      <c r="G67" s="112"/>
      <c r="H67" s="112"/>
      <c r="I67" s="112"/>
      <c r="J67" s="112"/>
      <c r="K67" s="112"/>
      <c r="U67" s="48"/>
      <c r="V67" s="61"/>
      <c r="W67" s="61"/>
      <c r="X67" s="61"/>
      <c r="Y67" s="61"/>
      <c r="Z67" s="61"/>
      <c r="AA67" s="61"/>
      <c r="AB67" s="48"/>
      <c r="CN67" s="88"/>
      <c r="CO67" s="108"/>
      <c r="CQ67" s="76"/>
      <c r="CR67" s="76"/>
      <c r="CS67" s="76"/>
      <c r="CU67" s="109"/>
      <c r="DF67" s="88"/>
      <c r="DG67" s="108"/>
      <c r="DJ67" s="88"/>
      <c r="DK67" s="108"/>
      <c r="DM67" s="76"/>
      <c r="DN67" s="76"/>
      <c r="DO67" s="76"/>
      <c r="DQ67" s="110"/>
      <c r="DR67" s="110"/>
      <c r="DS67" s="110"/>
    </row>
    <row r="68" spans="1:123" x14ac:dyDescent="0.3">
      <c r="A68" s="112"/>
      <c r="B68" s="112"/>
      <c r="C68" s="112"/>
      <c r="D68" s="112"/>
      <c r="E68" s="112"/>
      <c r="F68" s="112"/>
      <c r="G68" s="112"/>
      <c r="H68" s="112"/>
      <c r="I68" s="112"/>
      <c r="J68" s="112"/>
      <c r="K68" s="112"/>
      <c r="U68" s="48"/>
      <c r="V68" s="61"/>
      <c r="W68" s="61"/>
      <c r="X68" s="61"/>
      <c r="Y68" s="61"/>
      <c r="Z68" s="61"/>
      <c r="AA68" s="61"/>
      <c r="AB68" s="48"/>
      <c r="CN68" s="88"/>
      <c r="CO68" s="108"/>
      <c r="CQ68" s="76"/>
      <c r="CR68" s="76"/>
      <c r="CS68" s="76"/>
      <c r="CU68" s="109"/>
      <c r="DF68" s="88"/>
      <c r="DG68" s="108"/>
      <c r="DJ68" s="88"/>
      <c r="DK68" s="108"/>
      <c r="DM68" s="76"/>
      <c r="DN68" s="76"/>
      <c r="DO68" s="76"/>
      <c r="DQ68" s="110"/>
      <c r="DR68" s="110"/>
      <c r="DS68" s="110"/>
    </row>
    <row r="69" spans="1:123" x14ac:dyDescent="0.3">
      <c r="A69" s="112"/>
      <c r="B69" s="112"/>
      <c r="C69" s="112"/>
      <c r="D69" s="112"/>
      <c r="E69" s="112"/>
      <c r="F69" s="112"/>
      <c r="G69" s="112"/>
      <c r="H69" s="112"/>
      <c r="I69" s="112"/>
      <c r="J69" s="112"/>
      <c r="K69" s="112"/>
      <c r="U69" s="48"/>
      <c r="V69" s="61"/>
      <c r="W69" s="61"/>
      <c r="X69" s="61"/>
      <c r="Y69" s="61"/>
      <c r="Z69" s="61"/>
      <c r="AA69" s="61"/>
      <c r="AB69" s="48"/>
      <c r="CN69" s="88"/>
      <c r="CO69" s="108"/>
      <c r="CQ69" s="76"/>
      <c r="CR69" s="76"/>
      <c r="CS69" s="76"/>
      <c r="CU69" s="109"/>
      <c r="DF69" s="88"/>
      <c r="DG69" s="108"/>
      <c r="DJ69" s="88"/>
      <c r="DK69" s="108"/>
      <c r="DM69" s="76"/>
      <c r="DN69" s="76"/>
      <c r="DO69" s="76"/>
      <c r="DQ69" s="110"/>
      <c r="DR69" s="110"/>
      <c r="DS69" s="110"/>
    </row>
    <row r="70" spans="1:123" x14ac:dyDescent="0.3">
      <c r="A70" s="112"/>
      <c r="B70" s="112"/>
      <c r="C70" s="112"/>
      <c r="D70" s="112"/>
      <c r="E70" s="112"/>
      <c r="F70" s="112"/>
      <c r="G70" s="112"/>
      <c r="H70" s="112"/>
      <c r="I70" s="112"/>
      <c r="J70" s="112"/>
      <c r="K70" s="112"/>
      <c r="U70" s="48"/>
      <c r="V70" s="61"/>
      <c r="W70" s="61"/>
      <c r="X70" s="61"/>
      <c r="Y70" s="61"/>
      <c r="Z70" s="61"/>
      <c r="AA70" s="61"/>
      <c r="AB70" s="48"/>
      <c r="CN70" s="88"/>
      <c r="CO70" s="108"/>
      <c r="CQ70" s="76"/>
      <c r="CR70" s="76"/>
      <c r="CS70" s="76"/>
      <c r="CU70" s="109"/>
      <c r="DF70" s="88"/>
      <c r="DG70" s="108"/>
      <c r="DJ70" s="88"/>
      <c r="DK70" s="108"/>
      <c r="DM70" s="76"/>
      <c r="DN70" s="76"/>
      <c r="DO70" s="76"/>
      <c r="DQ70" s="110"/>
      <c r="DR70" s="110"/>
      <c r="DS70" s="110"/>
    </row>
    <row r="71" spans="1:123" x14ac:dyDescent="0.3">
      <c r="A71" s="112"/>
      <c r="B71" s="112"/>
      <c r="C71" s="112"/>
      <c r="D71" s="112"/>
      <c r="E71" s="112"/>
      <c r="F71" s="112"/>
      <c r="G71" s="112"/>
      <c r="H71" s="112"/>
      <c r="I71" s="112"/>
      <c r="J71" s="112"/>
      <c r="K71" s="112"/>
      <c r="U71" s="48"/>
      <c r="V71" s="61"/>
      <c r="W71" s="61"/>
      <c r="X71" s="61"/>
      <c r="Y71" s="61"/>
      <c r="Z71" s="61"/>
      <c r="AA71" s="61"/>
      <c r="AB71" s="48"/>
      <c r="CN71" s="88"/>
      <c r="CO71" s="108"/>
      <c r="CQ71" s="76"/>
      <c r="CR71" s="76"/>
      <c r="CS71" s="76"/>
      <c r="CU71" s="109"/>
      <c r="DF71" s="88"/>
      <c r="DG71" s="108"/>
      <c r="DJ71" s="88"/>
      <c r="DK71" s="108"/>
      <c r="DM71" s="76"/>
      <c r="DN71" s="76"/>
      <c r="DO71" s="76"/>
      <c r="DQ71" s="110"/>
      <c r="DR71" s="110"/>
      <c r="DS71" s="110"/>
    </row>
    <row r="72" spans="1:123" x14ac:dyDescent="0.3">
      <c r="A72" s="112"/>
      <c r="B72" s="112"/>
      <c r="C72" s="112"/>
      <c r="D72" s="112"/>
      <c r="E72" s="112"/>
      <c r="F72" s="112"/>
      <c r="G72" s="112"/>
      <c r="H72" s="112"/>
      <c r="I72" s="112"/>
      <c r="J72" s="112"/>
      <c r="K72" s="112"/>
      <c r="U72" s="48"/>
      <c r="V72" s="61"/>
      <c r="W72" s="61"/>
      <c r="X72" s="61"/>
      <c r="Y72" s="61"/>
      <c r="Z72" s="61"/>
      <c r="AA72" s="61"/>
      <c r="AB72" s="48"/>
      <c r="CN72" s="88"/>
      <c r="CO72" s="108"/>
      <c r="CQ72" s="76"/>
      <c r="CR72" s="76"/>
      <c r="CS72" s="76"/>
      <c r="CU72" s="109"/>
      <c r="DF72" s="88"/>
      <c r="DG72" s="108"/>
      <c r="DJ72" s="88"/>
      <c r="DK72" s="108"/>
      <c r="DM72" s="76"/>
      <c r="DN72" s="76"/>
      <c r="DO72" s="76"/>
      <c r="DQ72" s="110"/>
      <c r="DR72" s="110"/>
      <c r="DS72" s="110"/>
    </row>
    <row r="73" spans="1:123" x14ac:dyDescent="0.3">
      <c r="A73" s="112"/>
      <c r="B73" s="112"/>
      <c r="C73" s="112"/>
      <c r="D73" s="112"/>
      <c r="E73" s="112"/>
      <c r="F73" s="112"/>
      <c r="G73" s="112"/>
      <c r="H73" s="112"/>
      <c r="I73" s="112"/>
      <c r="J73" s="112"/>
      <c r="K73" s="112"/>
      <c r="U73" s="48"/>
      <c r="V73" s="61"/>
      <c r="W73" s="61"/>
      <c r="X73" s="61"/>
      <c r="Y73" s="61"/>
      <c r="Z73" s="61"/>
      <c r="AA73" s="61"/>
      <c r="AB73" s="48"/>
      <c r="CN73" s="88"/>
      <c r="CO73" s="108"/>
      <c r="CQ73" s="76"/>
      <c r="CR73" s="76"/>
      <c r="CS73" s="76"/>
      <c r="CU73" s="109"/>
      <c r="DF73" s="88"/>
      <c r="DG73" s="108"/>
      <c r="DJ73" s="88"/>
      <c r="DK73" s="108"/>
      <c r="DM73" s="76"/>
      <c r="DN73" s="76"/>
      <c r="DO73" s="76"/>
      <c r="DQ73" s="110"/>
      <c r="DR73" s="110"/>
      <c r="DS73" s="110"/>
    </row>
    <row r="74" spans="1:123" x14ac:dyDescent="0.3">
      <c r="A74" s="112"/>
      <c r="B74" s="112"/>
      <c r="C74" s="112"/>
      <c r="D74" s="112"/>
      <c r="E74" s="112"/>
      <c r="F74" s="112"/>
      <c r="G74" s="112"/>
      <c r="H74" s="112"/>
      <c r="I74" s="112"/>
      <c r="J74" s="112"/>
      <c r="K74" s="112"/>
      <c r="U74" s="48"/>
      <c r="V74" s="48"/>
      <c r="W74" s="48"/>
      <c r="X74" s="48"/>
      <c r="Y74" s="48"/>
      <c r="Z74" s="48"/>
      <c r="AA74" s="48"/>
      <c r="AB74" s="48"/>
      <c r="CN74" s="88"/>
      <c r="CO74" s="108"/>
      <c r="CQ74" s="76"/>
      <c r="CR74" s="76"/>
      <c r="CS74" s="76"/>
      <c r="CU74" s="109"/>
      <c r="DF74" s="88"/>
      <c r="DG74" s="108"/>
      <c r="DJ74" s="88"/>
      <c r="DK74" s="108"/>
      <c r="DM74" s="76"/>
      <c r="DN74" s="76"/>
      <c r="DO74" s="76"/>
      <c r="DQ74" s="110"/>
      <c r="DR74" s="110"/>
      <c r="DS74" s="110"/>
    </row>
    <row r="75" spans="1:123" x14ac:dyDescent="0.3">
      <c r="A75" s="112"/>
      <c r="B75" s="112"/>
      <c r="C75" s="112"/>
      <c r="D75" s="112"/>
      <c r="E75" s="112"/>
      <c r="F75" s="112"/>
      <c r="G75" s="112"/>
      <c r="H75" s="112"/>
      <c r="I75" s="112"/>
      <c r="J75" s="112"/>
      <c r="K75" s="112"/>
      <c r="U75" s="48"/>
      <c r="V75" s="48"/>
      <c r="W75" s="48"/>
      <c r="X75" s="48"/>
      <c r="Y75" s="48"/>
      <c r="Z75" s="48"/>
      <c r="AA75" s="48"/>
      <c r="AB75" s="48"/>
      <c r="CN75" s="88"/>
      <c r="CO75" s="108"/>
      <c r="CQ75" s="76"/>
      <c r="CR75" s="76"/>
      <c r="CS75" s="76"/>
      <c r="CU75" s="109"/>
      <c r="DF75" s="88"/>
      <c r="DG75" s="108"/>
      <c r="DJ75" s="88"/>
      <c r="DK75" s="108"/>
      <c r="DM75" s="76"/>
      <c r="DN75" s="76"/>
      <c r="DO75" s="76"/>
      <c r="DQ75" s="110"/>
      <c r="DR75" s="110"/>
      <c r="DS75" s="110"/>
    </row>
    <row r="76" spans="1:123" x14ac:dyDescent="0.3">
      <c r="A76" s="112"/>
      <c r="B76" s="112"/>
      <c r="C76" s="112"/>
      <c r="D76" s="112"/>
      <c r="E76" s="112"/>
      <c r="F76" s="112"/>
      <c r="G76" s="112"/>
      <c r="H76" s="112"/>
      <c r="I76" s="112"/>
      <c r="J76" s="112"/>
      <c r="K76" s="112"/>
      <c r="U76" s="48"/>
      <c r="V76" s="48"/>
      <c r="W76" s="48"/>
      <c r="X76" s="48"/>
      <c r="Y76" s="48"/>
      <c r="Z76" s="48"/>
      <c r="AA76" s="48"/>
      <c r="AB76" s="48"/>
      <c r="CN76" s="88"/>
      <c r="CO76" s="108"/>
      <c r="CQ76" s="76"/>
      <c r="CR76" s="76"/>
      <c r="CS76" s="76"/>
      <c r="CU76" s="109"/>
      <c r="DF76" s="88"/>
      <c r="DG76" s="108"/>
      <c r="DJ76" s="88"/>
      <c r="DK76" s="108"/>
      <c r="DM76" s="76"/>
      <c r="DN76" s="76"/>
      <c r="DO76" s="76"/>
      <c r="DQ76" s="110"/>
      <c r="DR76" s="110"/>
      <c r="DS76" s="110"/>
    </row>
    <row r="77" spans="1:123" x14ac:dyDescent="0.3">
      <c r="A77" s="112"/>
      <c r="B77" s="112"/>
      <c r="C77" s="112"/>
      <c r="D77" s="112"/>
      <c r="E77" s="112"/>
      <c r="F77" s="112"/>
      <c r="G77" s="112"/>
      <c r="H77" s="112"/>
      <c r="I77" s="112"/>
      <c r="J77" s="112"/>
      <c r="K77" s="112"/>
      <c r="U77" s="48"/>
      <c r="V77" s="48"/>
      <c r="W77" s="48"/>
      <c r="X77" s="48"/>
      <c r="Y77" s="48"/>
      <c r="Z77" s="48"/>
      <c r="AA77" s="48"/>
      <c r="AB77" s="48"/>
      <c r="CN77" s="88"/>
      <c r="CO77" s="108"/>
      <c r="CQ77" s="76"/>
      <c r="CR77" s="76"/>
      <c r="CS77" s="76"/>
      <c r="CU77" s="109"/>
      <c r="DF77" s="88"/>
      <c r="DG77" s="108"/>
      <c r="DJ77" s="88"/>
      <c r="DK77" s="108"/>
      <c r="DM77" s="76"/>
      <c r="DN77" s="76"/>
      <c r="DO77" s="76"/>
      <c r="DQ77" s="110"/>
      <c r="DR77" s="110"/>
      <c r="DS77" s="110"/>
    </row>
    <row r="78" spans="1:123" x14ac:dyDescent="0.3">
      <c r="A78" s="112"/>
      <c r="B78" s="112"/>
      <c r="C78" s="112"/>
      <c r="D78" s="112"/>
      <c r="E78" s="112"/>
      <c r="F78" s="112"/>
      <c r="G78" s="112"/>
      <c r="H78" s="112"/>
      <c r="I78" s="112"/>
      <c r="J78" s="112"/>
      <c r="K78" s="112"/>
      <c r="U78" s="48"/>
      <c r="V78" s="48"/>
      <c r="W78" s="48"/>
      <c r="X78" s="48"/>
      <c r="Y78" s="48"/>
      <c r="Z78" s="48"/>
      <c r="AA78" s="48"/>
      <c r="AB78" s="48"/>
      <c r="CN78" s="88"/>
      <c r="CO78" s="108"/>
      <c r="CQ78" s="76"/>
      <c r="CR78" s="76"/>
      <c r="CS78" s="76"/>
      <c r="CU78" s="109"/>
      <c r="DF78" s="88"/>
      <c r="DG78" s="108"/>
      <c r="DJ78" s="88"/>
      <c r="DK78" s="108"/>
      <c r="DM78" s="76"/>
      <c r="DN78" s="76"/>
      <c r="DO78" s="76"/>
      <c r="DQ78" s="110"/>
      <c r="DR78" s="110"/>
      <c r="DS78" s="110"/>
    </row>
    <row r="79" spans="1:123" x14ac:dyDescent="0.3">
      <c r="A79" s="112"/>
      <c r="B79" s="112"/>
      <c r="C79" s="112"/>
      <c r="D79" s="112"/>
      <c r="E79" s="112"/>
      <c r="F79" s="112"/>
      <c r="G79" s="112"/>
      <c r="H79" s="112"/>
      <c r="I79" s="112"/>
      <c r="J79" s="112"/>
      <c r="K79" s="112"/>
      <c r="CN79" s="88"/>
      <c r="CO79" s="108"/>
      <c r="CQ79" s="76"/>
      <c r="CR79" s="76"/>
      <c r="CS79" s="76"/>
      <c r="CU79" s="109"/>
      <c r="DF79" s="88"/>
      <c r="DG79" s="108"/>
      <c r="DJ79" s="88"/>
      <c r="DK79" s="108"/>
      <c r="DM79" s="76"/>
      <c r="DN79" s="76"/>
      <c r="DO79" s="76"/>
      <c r="DQ79" s="110"/>
      <c r="DR79" s="110"/>
      <c r="DS79" s="110"/>
    </row>
    <row r="80" spans="1:123" x14ac:dyDescent="0.3">
      <c r="A80" s="54"/>
      <c r="B80" s="54"/>
      <c r="C80" s="54"/>
      <c r="D80" s="54"/>
      <c r="E80" s="54"/>
      <c r="F80" s="54"/>
      <c r="G80" s="54"/>
      <c r="H80" s="54"/>
      <c r="I80" s="54"/>
      <c r="J80" s="54"/>
      <c r="K80" s="54"/>
      <c r="CN80" s="88"/>
      <c r="CO80" s="108"/>
      <c r="CQ80" s="76"/>
      <c r="CR80" s="76"/>
      <c r="CS80" s="76"/>
      <c r="CU80" s="109"/>
      <c r="DF80" s="88"/>
      <c r="DG80" s="108"/>
      <c r="DJ80" s="88"/>
      <c r="DK80" s="108"/>
      <c r="DM80" s="76"/>
      <c r="DN80" s="76"/>
      <c r="DO80" s="76"/>
      <c r="DQ80" s="110"/>
      <c r="DR80" s="110"/>
      <c r="DS80" s="110"/>
    </row>
    <row r="81" spans="1:123" ht="13.8" x14ac:dyDescent="0.3">
      <c r="A81" s="113"/>
      <c r="B81" s="114"/>
      <c r="C81" s="114"/>
      <c r="D81" s="114"/>
      <c r="E81" s="114"/>
      <c r="F81" s="114"/>
      <c r="G81" s="114"/>
      <c r="H81" s="114"/>
      <c r="I81" s="114"/>
      <c r="J81" s="114"/>
      <c r="K81" s="113"/>
      <c r="CN81" s="88"/>
      <c r="CO81" s="108"/>
      <c r="CQ81" s="76"/>
      <c r="CR81" s="76"/>
      <c r="CS81" s="76"/>
      <c r="CU81" s="109"/>
      <c r="DF81" s="88"/>
      <c r="DG81" s="108"/>
      <c r="DJ81" s="88"/>
      <c r="DK81" s="108"/>
      <c r="DM81" s="76"/>
      <c r="DN81" s="76"/>
      <c r="DO81" s="76"/>
      <c r="DQ81" s="110"/>
      <c r="DR81" s="110"/>
      <c r="DS81" s="110"/>
    </row>
    <row r="82" spans="1:123" x14ac:dyDescent="0.3">
      <c r="CN82" s="88"/>
      <c r="CO82" s="108"/>
      <c r="CQ82" s="76"/>
      <c r="CR82" s="76"/>
      <c r="CS82" s="76"/>
      <c r="CU82" s="109"/>
      <c r="DF82" s="88"/>
      <c r="DG82" s="108"/>
      <c r="DJ82" s="88"/>
      <c r="DK82" s="108"/>
      <c r="DM82" s="76"/>
      <c r="DN82" s="76"/>
      <c r="DO82" s="76"/>
      <c r="DQ82" s="110"/>
      <c r="DR82" s="110"/>
      <c r="DS82" s="110"/>
    </row>
    <row r="83" spans="1:123" x14ac:dyDescent="0.3">
      <c r="CN83" s="88"/>
      <c r="CO83" s="108"/>
      <c r="CQ83" s="76"/>
      <c r="CR83" s="76"/>
      <c r="CS83" s="76"/>
      <c r="CU83" s="109"/>
      <c r="DF83" s="88"/>
      <c r="DG83" s="108"/>
      <c r="DJ83" s="88"/>
      <c r="DK83" s="108"/>
      <c r="DM83" s="76"/>
      <c r="DN83" s="76"/>
      <c r="DO83" s="76"/>
      <c r="DQ83" s="110"/>
      <c r="DR83" s="110"/>
      <c r="DS83" s="110"/>
    </row>
    <row r="84" spans="1:123" x14ac:dyDescent="0.3">
      <c r="CN84" s="88"/>
      <c r="CO84" s="108"/>
      <c r="CQ84" s="76"/>
      <c r="CR84" s="76"/>
      <c r="CS84" s="76"/>
      <c r="CU84" s="109"/>
      <c r="DF84" s="88"/>
      <c r="DG84" s="108"/>
      <c r="DJ84" s="88"/>
      <c r="DK84" s="108"/>
      <c r="DM84" s="76"/>
      <c r="DN84" s="76"/>
      <c r="DO84" s="76"/>
      <c r="DQ84" s="110"/>
      <c r="DR84" s="110"/>
      <c r="DS84" s="110"/>
    </row>
    <row r="85" spans="1:123" x14ac:dyDescent="0.3">
      <c r="CN85" s="88"/>
      <c r="CO85" s="108"/>
      <c r="CQ85" s="76"/>
      <c r="CR85" s="76"/>
      <c r="CS85" s="76"/>
      <c r="CU85" s="109"/>
      <c r="DF85" s="88"/>
      <c r="DG85" s="108"/>
      <c r="DJ85" s="88"/>
      <c r="DK85" s="108"/>
      <c r="DM85" s="76"/>
      <c r="DN85" s="76"/>
      <c r="DO85" s="76"/>
      <c r="DQ85" s="110"/>
      <c r="DR85" s="110"/>
      <c r="DS85" s="110"/>
    </row>
    <row r="86" spans="1:123" x14ac:dyDescent="0.3">
      <c r="CN86" s="88"/>
      <c r="CO86" s="108"/>
      <c r="CQ86" s="76"/>
      <c r="CR86" s="76"/>
      <c r="CS86" s="76"/>
      <c r="CU86" s="109"/>
      <c r="DF86" s="88"/>
      <c r="DG86" s="108"/>
      <c r="DJ86" s="88"/>
      <c r="DK86" s="108"/>
      <c r="DM86" s="76"/>
      <c r="DN86" s="76"/>
      <c r="DO86" s="76"/>
      <c r="DQ86" s="110"/>
      <c r="DR86" s="110"/>
      <c r="DS86" s="110"/>
    </row>
    <row r="87" spans="1:123" x14ac:dyDescent="0.3">
      <c r="CN87" s="88"/>
      <c r="CO87" s="108"/>
      <c r="CQ87" s="76"/>
      <c r="CR87" s="76"/>
      <c r="CS87" s="76"/>
      <c r="CU87" s="109"/>
      <c r="DF87" s="88"/>
      <c r="DG87" s="108"/>
      <c r="DJ87" s="88"/>
      <c r="DK87" s="108"/>
      <c r="DM87" s="76"/>
      <c r="DN87" s="76"/>
      <c r="DO87" s="76"/>
      <c r="DQ87" s="110"/>
      <c r="DR87" s="110"/>
      <c r="DS87" s="110"/>
    </row>
    <row r="88" spans="1:123" x14ac:dyDescent="0.3">
      <c r="CN88" s="88"/>
      <c r="CO88" s="108"/>
      <c r="CQ88" s="76"/>
      <c r="CR88" s="76"/>
      <c r="CS88" s="76"/>
      <c r="CU88" s="109"/>
      <c r="DF88" s="88"/>
      <c r="DG88" s="108"/>
      <c r="DJ88" s="88"/>
      <c r="DK88" s="108"/>
      <c r="DM88" s="76"/>
      <c r="DN88" s="76"/>
      <c r="DO88" s="76"/>
      <c r="DQ88" s="110"/>
      <c r="DR88" s="110"/>
      <c r="DS88" s="110"/>
    </row>
    <row r="89" spans="1:123" x14ac:dyDescent="0.3">
      <c r="CN89" s="88"/>
      <c r="CO89" s="108"/>
      <c r="CQ89" s="76"/>
      <c r="CR89" s="76"/>
      <c r="CS89" s="76"/>
      <c r="CU89" s="109"/>
      <c r="DF89" s="88"/>
      <c r="DG89" s="108"/>
      <c r="DJ89" s="88"/>
      <c r="DK89" s="108"/>
      <c r="DM89" s="76"/>
      <c r="DN89" s="76"/>
      <c r="DO89" s="76"/>
      <c r="DQ89" s="110"/>
      <c r="DR89" s="110"/>
      <c r="DS89" s="110"/>
    </row>
    <row r="90" spans="1:123" x14ac:dyDescent="0.3">
      <c r="CN90" s="88"/>
      <c r="CO90" s="108"/>
      <c r="CQ90" s="76"/>
      <c r="CR90" s="76"/>
      <c r="CS90" s="76"/>
      <c r="CU90" s="109"/>
      <c r="DF90" s="88"/>
      <c r="DG90" s="108"/>
      <c r="DJ90" s="88"/>
      <c r="DK90" s="108"/>
      <c r="DM90" s="76"/>
      <c r="DN90" s="76"/>
      <c r="DO90" s="76"/>
      <c r="DQ90" s="110"/>
      <c r="DR90" s="110"/>
      <c r="DS90" s="110"/>
    </row>
    <row r="91" spans="1:123" x14ac:dyDescent="0.3">
      <c r="CN91" s="88"/>
      <c r="CO91" s="108"/>
      <c r="CQ91" s="76"/>
      <c r="CR91" s="76"/>
      <c r="CS91" s="76"/>
      <c r="CU91" s="109"/>
      <c r="DF91" s="88"/>
      <c r="DG91" s="108"/>
      <c r="DJ91" s="88"/>
      <c r="DK91" s="108"/>
      <c r="DM91" s="76"/>
      <c r="DN91" s="76"/>
      <c r="DO91" s="76"/>
      <c r="DQ91" s="110"/>
      <c r="DR91" s="110"/>
      <c r="DS91" s="110"/>
    </row>
    <row r="92" spans="1:123" x14ac:dyDescent="0.3">
      <c r="CN92" s="88"/>
      <c r="CO92" s="108"/>
      <c r="CQ92" s="76"/>
      <c r="CR92" s="76"/>
      <c r="CS92" s="76"/>
      <c r="CU92" s="109"/>
      <c r="DF92" s="88"/>
      <c r="DG92" s="108"/>
      <c r="DJ92" s="88"/>
      <c r="DK92" s="108"/>
      <c r="DM92" s="76"/>
      <c r="DN92" s="76"/>
      <c r="DO92" s="76"/>
      <c r="DQ92" s="110"/>
      <c r="DR92" s="110"/>
      <c r="DS92" s="110"/>
    </row>
    <row r="93" spans="1:123" x14ac:dyDescent="0.3">
      <c r="CN93" s="88"/>
      <c r="CO93" s="108"/>
      <c r="CQ93" s="76"/>
      <c r="CR93" s="76"/>
      <c r="CS93" s="76"/>
      <c r="CU93" s="109"/>
      <c r="DF93" s="88"/>
      <c r="DG93" s="108"/>
      <c r="DJ93" s="88"/>
      <c r="DK93" s="108"/>
      <c r="DM93" s="76"/>
      <c r="DN93" s="76"/>
      <c r="DO93" s="76"/>
      <c r="DQ93" s="110"/>
      <c r="DR93" s="110"/>
      <c r="DS93" s="110"/>
    </row>
    <row r="94" spans="1:123" x14ac:dyDescent="0.3">
      <c r="CN94" s="88"/>
      <c r="CO94" s="108"/>
      <c r="CQ94" s="76"/>
      <c r="CR94" s="76"/>
      <c r="CS94" s="76"/>
      <c r="CU94" s="109"/>
      <c r="DF94" s="88"/>
      <c r="DG94" s="108"/>
      <c r="DJ94" s="88"/>
      <c r="DK94" s="108"/>
      <c r="DM94" s="76"/>
      <c r="DN94" s="76"/>
      <c r="DO94" s="76"/>
      <c r="DQ94" s="110"/>
      <c r="DR94" s="110"/>
      <c r="DS94" s="110"/>
    </row>
    <row r="95" spans="1:123" x14ac:dyDescent="0.3">
      <c r="CU95" s="109"/>
      <c r="DG95" s="136"/>
      <c r="DK95" s="136"/>
      <c r="DQ95" s="110"/>
      <c r="DR95" s="110"/>
      <c r="DS95" s="110"/>
    </row>
    <row r="96" spans="1:123" x14ac:dyDescent="0.3">
      <c r="CU96" s="109"/>
      <c r="DG96" s="136"/>
      <c r="DK96" s="136"/>
      <c r="DQ96" s="110"/>
      <c r="DR96" s="110"/>
      <c r="DS96" s="110"/>
    </row>
    <row r="97" spans="99:123" x14ac:dyDescent="0.3">
      <c r="CU97" s="109"/>
      <c r="DG97" s="136"/>
      <c r="DK97" s="136"/>
      <c r="DQ97" s="110"/>
      <c r="DR97" s="110"/>
      <c r="DS97" s="110"/>
    </row>
    <row r="98" spans="99:123" x14ac:dyDescent="0.3">
      <c r="CU98" s="109"/>
      <c r="DG98" s="136"/>
      <c r="DK98" s="136"/>
      <c r="DQ98" s="110"/>
      <c r="DR98" s="110"/>
      <c r="DS98" s="110"/>
    </row>
    <row r="99" spans="99:123" x14ac:dyDescent="0.3">
      <c r="CU99" s="109"/>
      <c r="DG99" s="136"/>
      <c r="DK99" s="136"/>
      <c r="DQ99" s="110"/>
      <c r="DR99" s="110"/>
      <c r="DS99" s="110"/>
    </row>
    <row r="100" spans="99:123" x14ac:dyDescent="0.3">
      <c r="CU100" s="109"/>
      <c r="DG100" s="136"/>
      <c r="DK100" s="136"/>
      <c r="DQ100" s="110"/>
      <c r="DR100" s="110"/>
      <c r="DS100" s="110"/>
    </row>
    <row r="101" spans="99:123" x14ac:dyDescent="0.3">
      <c r="CU101" s="109"/>
      <c r="DG101" s="136"/>
      <c r="DK101" s="136"/>
      <c r="DQ101" s="110"/>
      <c r="DR101" s="110"/>
      <c r="DS101" s="110"/>
    </row>
    <row r="102" spans="99:123" x14ac:dyDescent="0.3">
      <c r="CU102" s="109"/>
      <c r="DG102" s="136"/>
      <c r="DK102" s="136"/>
      <c r="DQ102" s="110"/>
      <c r="DR102" s="110"/>
      <c r="DS102" s="110"/>
    </row>
    <row r="103" spans="99:123" x14ac:dyDescent="0.3">
      <c r="CU103" s="109"/>
      <c r="DG103" s="136"/>
      <c r="DK103" s="136"/>
      <c r="DQ103" s="110"/>
      <c r="DR103" s="110"/>
      <c r="DS103" s="110"/>
    </row>
    <row r="104" spans="99:123" x14ac:dyDescent="0.3">
      <c r="CU104" s="109"/>
      <c r="DG104" s="136"/>
      <c r="DK104" s="136"/>
      <c r="DQ104" s="110"/>
      <c r="DR104" s="110"/>
      <c r="DS104" s="110"/>
    </row>
    <row r="105" spans="99:123" x14ac:dyDescent="0.3">
      <c r="CU105" s="109"/>
      <c r="DG105" s="136"/>
      <c r="DK105" s="136"/>
      <c r="DQ105" s="110"/>
      <c r="DR105" s="110"/>
      <c r="DS105" s="110"/>
    </row>
    <row r="106" spans="99:123" x14ac:dyDescent="0.3">
      <c r="CU106" s="109"/>
      <c r="DG106" s="136"/>
      <c r="DK106" s="136"/>
      <c r="DQ106" s="110"/>
      <c r="DR106" s="110"/>
      <c r="DS106" s="110"/>
    </row>
    <row r="107" spans="99:123" x14ac:dyDescent="0.3">
      <c r="CU107" s="109"/>
      <c r="DG107" s="136"/>
      <c r="DK107" s="136"/>
      <c r="DQ107" s="110"/>
      <c r="DR107" s="110"/>
      <c r="DS107" s="110"/>
    </row>
    <row r="108" spans="99:123" x14ac:dyDescent="0.3">
      <c r="CU108" s="109"/>
      <c r="DG108" s="136"/>
      <c r="DK108" s="136"/>
      <c r="DQ108" s="110"/>
      <c r="DR108" s="110"/>
      <c r="DS108" s="110"/>
    </row>
    <row r="109" spans="99:123" x14ac:dyDescent="0.3">
      <c r="CU109" s="109"/>
      <c r="DG109" s="136"/>
      <c r="DK109" s="136"/>
      <c r="DQ109" s="110"/>
      <c r="DR109" s="110"/>
      <c r="DS109" s="110"/>
    </row>
    <row r="110" spans="99:123" x14ac:dyDescent="0.3">
      <c r="CU110" s="109"/>
      <c r="DG110" s="136"/>
      <c r="DK110" s="136"/>
      <c r="DQ110" s="110"/>
      <c r="DR110" s="110"/>
      <c r="DS110" s="110"/>
    </row>
    <row r="111" spans="99:123" x14ac:dyDescent="0.3">
      <c r="CU111" s="109"/>
      <c r="DG111" s="136"/>
      <c r="DK111" s="136"/>
      <c r="DQ111" s="110"/>
      <c r="DR111" s="110"/>
      <c r="DS111" s="110"/>
    </row>
    <row r="112" spans="99:123" x14ac:dyDescent="0.3">
      <c r="CU112" s="109"/>
      <c r="DG112" s="136"/>
      <c r="DK112" s="136"/>
      <c r="DQ112" s="110"/>
      <c r="DR112" s="110"/>
      <c r="DS112" s="110"/>
    </row>
    <row r="113" spans="99:123" x14ac:dyDescent="0.3">
      <c r="CU113" s="109"/>
      <c r="DG113" s="136"/>
      <c r="DK113" s="136"/>
      <c r="DQ113" s="110"/>
      <c r="DR113" s="110"/>
      <c r="DS113" s="110"/>
    </row>
    <row r="114" spans="99:123" x14ac:dyDescent="0.3">
      <c r="CU114" s="109"/>
      <c r="DG114" s="136"/>
      <c r="DK114" s="136"/>
      <c r="DQ114" s="110"/>
      <c r="DR114" s="110"/>
      <c r="DS114" s="110"/>
    </row>
    <row r="115" spans="99:123" x14ac:dyDescent="0.3">
      <c r="CU115" s="109"/>
      <c r="DG115" s="136"/>
      <c r="DK115" s="136"/>
      <c r="DQ115" s="110"/>
      <c r="DR115" s="110"/>
      <c r="DS115" s="110"/>
    </row>
    <row r="116" spans="99:123" x14ac:dyDescent="0.3">
      <c r="CU116" s="109"/>
      <c r="DG116" s="136"/>
      <c r="DK116" s="136"/>
      <c r="DQ116" s="110"/>
      <c r="DR116" s="110"/>
      <c r="DS116" s="110"/>
    </row>
    <row r="117" spans="99:123" x14ac:dyDescent="0.3">
      <c r="CU117" s="109"/>
      <c r="DG117" s="136"/>
      <c r="DK117" s="136"/>
      <c r="DQ117" s="110"/>
      <c r="DR117" s="110"/>
      <c r="DS117" s="110"/>
    </row>
    <row r="118" spans="99:123" x14ac:dyDescent="0.3">
      <c r="CU118" s="109"/>
      <c r="DG118" s="136"/>
      <c r="DK118" s="136"/>
      <c r="DQ118" s="110"/>
      <c r="DR118" s="110"/>
      <c r="DS118" s="110"/>
    </row>
    <row r="119" spans="99:123" x14ac:dyDescent="0.3">
      <c r="CU119" s="109"/>
      <c r="DG119" s="136"/>
      <c r="DK119" s="136"/>
      <c r="DQ119" s="110"/>
      <c r="DR119" s="110"/>
      <c r="DS119" s="110"/>
    </row>
    <row r="120" spans="99:123" x14ac:dyDescent="0.3">
      <c r="CU120" s="109"/>
      <c r="DG120" s="136"/>
      <c r="DK120" s="136"/>
      <c r="DQ120" s="110"/>
      <c r="DR120" s="110"/>
      <c r="DS120" s="110"/>
    </row>
    <row r="121" spans="99:123" x14ac:dyDescent="0.3">
      <c r="CU121" s="109"/>
      <c r="DG121" s="136"/>
      <c r="DK121" s="136"/>
      <c r="DQ121" s="110"/>
      <c r="DR121" s="110"/>
      <c r="DS121" s="110"/>
    </row>
    <row r="122" spans="99:123" x14ac:dyDescent="0.3">
      <c r="CU122" s="109"/>
      <c r="DG122" s="136"/>
      <c r="DK122" s="136"/>
      <c r="DQ122" s="110"/>
      <c r="DR122" s="110"/>
      <c r="DS122" s="110"/>
    </row>
    <row r="123" spans="99:123" x14ac:dyDescent="0.3">
      <c r="CU123" s="109"/>
      <c r="DG123" s="136"/>
      <c r="DK123" s="136"/>
      <c r="DQ123" s="110"/>
      <c r="DR123" s="110"/>
      <c r="DS123" s="110"/>
    </row>
    <row r="124" spans="99:123" x14ac:dyDescent="0.3">
      <c r="CU124" s="109"/>
      <c r="DG124" s="136"/>
      <c r="DK124" s="136"/>
      <c r="DQ124" s="110"/>
      <c r="DR124" s="110"/>
      <c r="DS124" s="110"/>
    </row>
    <row r="125" spans="99:123" x14ac:dyDescent="0.3">
      <c r="CU125" s="109"/>
      <c r="DG125" s="136"/>
      <c r="DK125" s="136"/>
      <c r="DQ125" s="110"/>
      <c r="DR125" s="110"/>
      <c r="DS125" s="110"/>
    </row>
    <row r="126" spans="99:123" x14ac:dyDescent="0.3">
      <c r="CU126" s="109"/>
      <c r="DG126" s="136"/>
      <c r="DK126" s="136"/>
      <c r="DQ126" s="110"/>
      <c r="DR126" s="110"/>
      <c r="DS126" s="110"/>
    </row>
    <row r="127" spans="99:123" x14ac:dyDescent="0.3">
      <c r="CU127" s="109"/>
      <c r="DG127" s="136"/>
      <c r="DK127" s="136"/>
      <c r="DQ127" s="110"/>
      <c r="DR127" s="110"/>
      <c r="DS127" s="110"/>
    </row>
    <row r="128" spans="99:123" x14ac:dyDescent="0.3">
      <c r="CU128" s="109"/>
      <c r="DG128" s="136"/>
      <c r="DK128" s="136"/>
      <c r="DQ128" s="110"/>
      <c r="DR128" s="110"/>
      <c r="DS128" s="110"/>
    </row>
    <row r="129" spans="99:123" x14ac:dyDescent="0.3">
      <c r="CU129" s="109"/>
      <c r="DG129" s="136"/>
      <c r="DK129" s="136"/>
      <c r="DQ129" s="110"/>
      <c r="DR129" s="110"/>
      <c r="DS129" s="110"/>
    </row>
    <row r="130" spans="99:123" x14ac:dyDescent="0.3">
      <c r="CU130" s="109"/>
      <c r="DG130" s="136"/>
      <c r="DK130" s="136"/>
      <c r="DQ130" s="110"/>
      <c r="DR130" s="110"/>
      <c r="DS130" s="110"/>
    </row>
    <row r="131" spans="99:123" x14ac:dyDescent="0.3">
      <c r="CU131" s="109"/>
      <c r="DG131" s="136"/>
      <c r="DK131" s="136"/>
      <c r="DQ131" s="110"/>
      <c r="DR131" s="110"/>
      <c r="DS131" s="110"/>
    </row>
    <row r="132" spans="99:123" x14ac:dyDescent="0.3">
      <c r="CU132" s="109"/>
      <c r="DG132" s="136"/>
      <c r="DK132" s="136"/>
      <c r="DQ132" s="110"/>
      <c r="DR132" s="110"/>
      <c r="DS132" s="110"/>
    </row>
    <row r="133" spans="99:123" x14ac:dyDescent="0.3">
      <c r="CU133" s="109"/>
      <c r="DG133" s="136"/>
      <c r="DK133" s="136"/>
      <c r="DQ133" s="110"/>
      <c r="DR133" s="110"/>
      <c r="DS133" s="110"/>
    </row>
    <row r="134" spans="99:123" x14ac:dyDescent="0.3">
      <c r="CU134" s="109"/>
      <c r="DG134" s="136"/>
      <c r="DK134" s="136"/>
      <c r="DQ134" s="110"/>
      <c r="DR134" s="110"/>
      <c r="DS134" s="110"/>
    </row>
    <row r="135" spans="99:123" x14ac:dyDescent="0.3">
      <c r="CU135" s="109"/>
      <c r="DG135" s="136"/>
      <c r="DK135" s="136"/>
      <c r="DQ135" s="110"/>
      <c r="DR135" s="110"/>
      <c r="DS135" s="110"/>
    </row>
    <row r="136" spans="99:123" x14ac:dyDescent="0.3">
      <c r="CU136" s="109"/>
      <c r="DG136" s="136"/>
      <c r="DK136" s="136"/>
      <c r="DQ136" s="110"/>
      <c r="DR136" s="110"/>
      <c r="DS136" s="110"/>
    </row>
    <row r="137" spans="99:123" x14ac:dyDescent="0.3">
      <c r="CU137" s="109"/>
      <c r="DG137" s="136"/>
      <c r="DK137" s="136"/>
      <c r="DQ137" s="110"/>
      <c r="DR137" s="110"/>
      <c r="DS137" s="110"/>
    </row>
    <row r="138" spans="99:123" x14ac:dyDescent="0.3">
      <c r="CU138" s="109"/>
      <c r="DG138" s="136"/>
      <c r="DK138" s="136"/>
      <c r="DQ138" s="110"/>
      <c r="DR138" s="110"/>
      <c r="DS138" s="110"/>
    </row>
    <row r="139" spans="99:123" x14ac:dyDescent="0.3">
      <c r="CU139" s="109"/>
      <c r="DG139" s="136"/>
      <c r="DK139" s="136"/>
      <c r="DQ139" s="110"/>
      <c r="DR139" s="110"/>
      <c r="DS139" s="110"/>
    </row>
    <row r="140" spans="99:123" x14ac:dyDescent="0.3">
      <c r="CU140" s="109"/>
      <c r="DG140" s="136"/>
      <c r="DK140" s="136"/>
      <c r="DQ140" s="110"/>
      <c r="DR140" s="110"/>
      <c r="DS140" s="110"/>
    </row>
    <row r="141" spans="99:123" x14ac:dyDescent="0.3">
      <c r="CU141" s="109"/>
      <c r="DG141" s="136"/>
      <c r="DK141" s="136"/>
      <c r="DQ141" s="110"/>
      <c r="DR141" s="110"/>
      <c r="DS141" s="110"/>
    </row>
    <row r="142" spans="99:123" x14ac:dyDescent="0.3">
      <c r="CU142" s="109"/>
      <c r="DG142" s="136"/>
      <c r="DK142" s="136"/>
      <c r="DQ142" s="110"/>
      <c r="DR142" s="110"/>
      <c r="DS142" s="110"/>
    </row>
    <row r="143" spans="99:123" x14ac:dyDescent="0.3">
      <c r="CU143" s="109"/>
      <c r="DG143" s="136"/>
      <c r="DK143" s="136"/>
      <c r="DQ143" s="110"/>
      <c r="DR143" s="110"/>
      <c r="DS143" s="110"/>
    </row>
    <row r="144" spans="99:123" x14ac:dyDescent="0.3">
      <c r="CU144" s="109"/>
      <c r="DG144" s="136"/>
      <c r="DK144" s="136"/>
      <c r="DQ144" s="110"/>
      <c r="DR144" s="110"/>
      <c r="DS144" s="110"/>
    </row>
    <row r="145" spans="99:123" x14ac:dyDescent="0.3">
      <c r="CU145" s="109"/>
      <c r="DG145" s="136"/>
      <c r="DK145" s="136"/>
      <c r="DQ145" s="110"/>
      <c r="DR145" s="110"/>
      <c r="DS145" s="110"/>
    </row>
    <row r="146" spans="99:123" x14ac:dyDescent="0.3">
      <c r="CU146" s="109"/>
      <c r="DG146" s="136"/>
      <c r="DK146" s="136"/>
      <c r="DQ146" s="110"/>
      <c r="DR146" s="110"/>
      <c r="DS146" s="110"/>
    </row>
    <row r="147" spans="99:123" x14ac:dyDescent="0.3">
      <c r="CU147" s="109"/>
      <c r="DG147" s="136"/>
      <c r="DK147" s="136"/>
      <c r="DQ147" s="110"/>
      <c r="DR147" s="110"/>
      <c r="DS147" s="110"/>
    </row>
    <row r="148" spans="99:123" x14ac:dyDescent="0.3">
      <c r="CU148" s="109"/>
      <c r="DG148" s="136"/>
      <c r="DK148" s="136"/>
      <c r="DQ148" s="110"/>
      <c r="DR148" s="110"/>
      <c r="DS148" s="110"/>
    </row>
    <row r="149" spans="99:123" x14ac:dyDescent="0.3">
      <c r="CU149" s="109"/>
      <c r="DG149" s="136"/>
      <c r="DK149" s="136"/>
      <c r="DQ149" s="110"/>
      <c r="DR149" s="110"/>
      <c r="DS149" s="110"/>
    </row>
    <row r="150" spans="99:123" x14ac:dyDescent="0.3">
      <c r="CU150" s="109"/>
      <c r="DG150" s="136"/>
      <c r="DK150" s="136"/>
      <c r="DQ150" s="110"/>
      <c r="DR150" s="110"/>
      <c r="DS150" s="110"/>
    </row>
    <row r="151" spans="99:123" x14ac:dyDescent="0.3">
      <c r="CU151" s="109"/>
      <c r="DG151" s="136"/>
      <c r="DK151" s="136"/>
      <c r="DQ151" s="110"/>
      <c r="DR151" s="110"/>
      <c r="DS151" s="110"/>
    </row>
    <row r="152" spans="99:123" x14ac:dyDescent="0.3">
      <c r="CU152" s="109"/>
      <c r="DG152" s="136"/>
      <c r="DK152" s="136"/>
      <c r="DQ152" s="110"/>
      <c r="DR152" s="110"/>
      <c r="DS152" s="110"/>
    </row>
    <row r="153" spans="99:123" x14ac:dyDescent="0.3">
      <c r="CU153" s="109"/>
      <c r="DG153" s="136"/>
      <c r="DK153" s="136"/>
      <c r="DQ153" s="110"/>
      <c r="DR153" s="110"/>
      <c r="DS153" s="110"/>
    </row>
    <row r="154" spans="99:123" x14ac:dyDescent="0.3">
      <c r="CU154" s="109"/>
      <c r="DG154" s="136"/>
      <c r="DK154" s="136"/>
      <c r="DQ154" s="110"/>
      <c r="DR154" s="110"/>
      <c r="DS154" s="110"/>
    </row>
    <row r="155" spans="99:123" x14ac:dyDescent="0.3">
      <c r="CU155" s="109"/>
      <c r="DG155" s="136"/>
      <c r="DK155" s="136"/>
      <c r="DQ155" s="110"/>
      <c r="DR155" s="110"/>
      <c r="DS155" s="110"/>
    </row>
    <row r="156" spans="99:123" x14ac:dyDescent="0.3">
      <c r="CU156" s="109"/>
      <c r="DG156" s="136"/>
      <c r="DK156" s="136"/>
      <c r="DQ156" s="110"/>
      <c r="DR156" s="110"/>
      <c r="DS156" s="110"/>
    </row>
    <row r="157" spans="99:123" x14ac:dyDescent="0.3">
      <c r="CU157" s="109"/>
      <c r="DG157" s="136"/>
      <c r="DK157" s="136"/>
      <c r="DQ157" s="110"/>
      <c r="DR157" s="110"/>
      <c r="DS157" s="110"/>
    </row>
    <row r="158" spans="99:123" x14ac:dyDescent="0.3">
      <c r="CU158" s="109"/>
      <c r="DG158" s="136"/>
      <c r="DK158" s="136"/>
      <c r="DQ158" s="110"/>
      <c r="DR158" s="110"/>
      <c r="DS158" s="110"/>
    </row>
    <row r="159" spans="99:123" x14ac:dyDescent="0.3">
      <c r="CU159" s="109"/>
      <c r="DG159" s="136"/>
      <c r="DK159" s="136"/>
      <c r="DQ159" s="110"/>
      <c r="DR159" s="110"/>
      <c r="DS159" s="110"/>
    </row>
    <row r="160" spans="99:123" x14ac:dyDescent="0.3">
      <c r="CU160" s="109"/>
      <c r="DG160" s="136"/>
      <c r="DK160" s="136"/>
      <c r="DQ160" s="110"/>
      <c r="DR160" s="110"/>
      <c r="DS160" s="110"/>
    </row>
    <row r="161" spans="99:123" x14ac:dyDescent="0.3">
      <c r="CU161" s="109"/>
      <c r="DG161" s="136"/>
      <c r="DK161" s="136"/>
      <c r="DQ161" s="110"/>
      <c r="DR161" s="110"/>
      <c r="DS161" s="110"/>
    </row>
    <row r="162" spans="99:123" x14ac:dyDescent="0.3">
      <c r="CU162" s="109"/>
      <c r="DG162" s="136"/>
      <c r="DK162" s="136"/>
      <c r="DQ162" s="110"/>
      <c r="DR162" s="110"/>
      <c r="DS162" s="110"/>
    </row>
    <row r="163" spans="99:123" x14ac:dyDescent="0.3">
      <c r="CU163" s="109"/>
      <c r="DG163" s="136"/>
      <c r="DK163" s="136"/>
      <c r="DQ163" s="110"/>
      <c r="DR163" s="110"/>
      <c r="DS163" s="110"/>
    </row>
    <row r="164" spans="99:123" x14ac:dyDescent="0.3">
      <c r="CU164" s="109"/>
      <c r="DG164" s="136"/>
      <c r="DK164" s="136"/>
      <c r="DQ164" s="110"/>
      <c r="DR164" s="110"/>
      <c r="DS164" s="110"/>
    </row>
    <row r="165" spans="99:123" x14ac:dyDescent="0.3">
      <c r="CU165" s="109"/>
      <c r="DG165" s="136"/>
      <c r="DK165" s="136"/>
      <c r="DQ165" s="110"/>
      <c r="DR165" s="110"/>
      <c r="DS165" s="110"/>
    </row>
    <row r="166" spans="99:123" x14ac:dyDescent="0.3">
      <c r="CU166" s="109"/>
      <c r="DG166" s="136"/>
      <c r="DK166" s="136"/>
      <c r="DQ166" s="110"/>
      <c r="DR166" s="110"/>
      <c r="DS166" s="110"/>
    </row>
    <row r="167" spans="99:123" x14ac:dyDescent="0.3">
      <c r="CU167" s="109"/>
      <c r="DG167" s="136"/>
      <c r="DK167" s="136"/>
      <c r="DQ167" s="110"/>
      <c r="DR167" s="110"/>
      <c r="DS167" s="110"/>
    </row>
    <row r="168" spans="99:123" x14ac:dyDescent="0.3">
      <c r="CU168" s="109"/>
      <c r="DG168" s="136"/>
      <c r="DK168" s="136"/>
      <c r="DQ168" s="110"/>
      <c r="DR168" s="110"/>
      <c r="DS168" s="110"/>
    </row>
    <row r="169" spans="99:123" x14ac:dyDescent="0.3">
      <c r="CU169" s="109"/>
      <c r="DG169" s="136"/>
      <c r="DK169" s="136"/>
      <c r="DQ169" s="110"/>
      <c r="DR169" s="110"/>
      <c r="DS169" s="110"/>
    </row>
    <row r="170" spans="99:123" x14ac:dyDescent="0.3">
      <c r="CU170" s="109"/>
      <c r="DG170" s="136"/>
      <c r="DK170" s="136"/>
      <c r="DQ170" s="110"/>
      <c r="DR170" s="110"/>
      <c r="DS170" s="110"/>
    </row>
    <row r="171" spans="99:123" x14ac:dyDescent="0.3">
      <c r="CU171" s="109"/>
      <c r="DG171" s="136"/>
      <c r="DK171" s="136"/>
      <c r="DQ171" s="110"/>
      <c r="DR171" s="110"/>
      <c r="DS171" s="110"/>
    </row>
    <row r="172" spans="99:123" x14ac:dyDescent="0.3">
      <c r="CU172" s="109"/>
      <c r="DG172" s="136"/>
      <c r="DK172" s="136"/>
      <c r="DQ172" s="110"/>
      <c r="DR172" s="110"/>
      <c r="DS172" s="110"/>
    </row>
    <row r="173" spans="99:123" x14ac:dyDescent="0.3">
      <c r="CU173" s="109"/>
      <c r="DG173" s="136"/>
      <c r="DK173" s="136"/>
      <c r="DQ173" s="110"/>
      <c r="DR173" s="110"/>
      <c r="DS173" s="110"/>
    </row>
    <row r="174" spans="99:123" x14ac:dyDescent="0.3">
      <c r="CU174" s="109"/>
      <c r="DG174" s="136"/>
      <c r="DK174" s="136"/>
      <c r="DQ174" s="110"/>
      <c r="DR174" s="110"/>
      <c r="DS174" s="110"/>
    </row>
    <row r="175" spans="99:123" x14ac:dyDescent="0.3">
      <c r="CU175" s="109"/>
      <c r="DG175" s="136"/>
      <c r="DK175" s="136"/>
      <c r="DQ175" s="110"/>
      <c r="DR175" s="110"/>
      <c r="DS175" s="110"/>
    </row>
    <row r="176" spans="99:123" x14ac:dyDescent="0.3">
      <c r="CU176" s="109"/>
      <c r="DG176" s="136"/>
      <c r="DK176" s="136"/>
      <c r="DQ176" s="110"/>
      <c r="DR176" s="110"/>
      <c r="DS176" s="110"/>
    </row>
    <row r="177" spans="99:123" x14ac:dyDescent="0.3">
      <c r="CU177" s="109"/>
      <c r="DG177" s="136"/>
      <c r="DK177" s="136"/>
      <c r="DQ177" s="110"/>
      <c r="DR177" s="110"/>
      <c r="DS177" s="110"/>
    </row>
    <row r="178" spans="99:123" x14ac:dyDescent="0.3">
      <c r="CU178" s="109"/>
      <c r="DG178" s="136"/>
      <c r="DK178" s="136"/>
      <c r="DQ178" s="110"/>
      <c r="DR178" s="110"/>
      <c r="DS178" s="110"/>
    </row>
    <row r="179" spans="99:123" x14ac:dyDescent="0.3">
      <c r="CU179" s="109"/>
      <c r="DG179" s="136"/>
      <c r="DK179" s="136"/>
      <c r="DQ179" s="110"/>
      <c r="DR179" s="110"/>
      <c r="DS179" s="110"/>
    </row>
    <row r="180" spans="99:123" x14ac:dyDescent="0.3">
      <c r="CU180" s="109"/>
      <c r="DG180" s="136"/>
      <c r="DK180" s="136"/>
      <c r="DQ180" s="110"/>
      <c r="DR180" s="110"/>
      <c r="DS180" s="110"/>
    </row>
    <row r="181" spans="99:123" x14ac:dyDescent="0.3">
      <c r="CU181" s="109"/>
      <c r="DG181" s="136"/>
      <c r="DK181" s="136"/>
      <c r="DQ181" s="110"/>
      <c r="DR181" s="110"/>
      <c r="DS181" s="110"/>
    </row>
  </sheetData>
  <mergeCells count="36">
    <mergeCell ref="D36:E36"/>
    <mergeCell ref="D25:E25"/>
    <mergeCell ref="D26:E26"/>
    <mergeCell ref="D27:E27"/>
    <mergeCell ref="D28:E28"/>
    <mergeCell ref="D29:E29"/>
    <mergeCell ref="D30:E30"/>
    <mergeCell ref="D31:E31"/>
    <mergeCell ref="D32:E32"/>
    <mergeCell ref="D33:E33"/>
    <mergeCell ref="D34:E34"/>
    <mergeCell ref="D35:E35"/>
    <mergeCell ref="D49:E49"/>
    <mergeCell ref="D50:E50"/>
    <mergeCell ref="D45:E45"/>
    <mergeCell ref="D46:E46"/>
    <mergeCell ref="D47:E47"/>
    <mergeCell ref="D48:E48"/>
    <mergeCell ref="D43:E43"/>
    <mergeCell ref="D44:E44"/>
    <mergeCell ref="D37:E37"/>
    <mergeCell ref="D38:E38"/>
    <mergeCell ref="D39:E39"/>
    <mergeCell ref="D40:E40"/>
    <mergeCell ref="D41:E41"/>
    <mergeCell ref="D42:E42"/>
    <mergeCell ref="D24:E24"/>
    <mergeCell ref="D14:E14"/>
    <mergeCell ref="D16:E16"/>
    <mergeCell ref="D19:E19"/>
    <mergeCell ref="D20:E20"/>
    <mergeCell ref="D21:E21"/>
    <mergeCell ref="D22:E22"/>
    <mergeCell ref="D23:E23"/>
    <mergeCell ref="D18:E18"/>
    <mergeCell ref="D17:E17"/>
  </mergeCells>
  <conditionalFormatting sqref="AD48:AE48 C74:K74 F48">
    <cfRule type="cellIs" dxfId="2" priority="1" stopIfTrue="1" operator="between">
      <formula>"S"</formula>
      <formula>"s"</formula>
    </cfRule>
    <cfRule type="cellIs" dxfId="1" priority="2" stopIfTrue="1" operator="equal">
      <formula>"-"</formula>
    </cfRule>
    <cfRule type="cellIs" dxfId="0" priority="3" stopIfTrue="1" operator="between">
      <formula>"I"</formula>
      <formula>"i"</formula>
    </cfRule>
  </conditionalFormatting>
  <dataValidations count="2">
    <dataValidation type="list" allowBlank="1" showInputMessage="1" showErrorMessage="1" sqref="F52">
      <formula1>"HOT WET,HOT,ROOM TEMP,COLD,MINIMUM"</formula1>
    </dataValidation>
    <dataValidation type="list" allowBlank="1" showInputMessage="1" showErrorMessage="1" sqref="D16:D50">
      <formula1>$CV$14:$CV$22</formula1>
    </dataValidation>
  </dataValidations>
  <hyperlinks>
    <hyperlink ref="F63" r:id="rId1"/>
  </hyperlinks>
  <pageMargins left="0.76" right="0.38" top="0.54" bottom="0.65" header="0.23" footer="0.28999999999999998"/>
  <pageSetup orientation="portrait" r:id="rId2"/>
  <headerFooter alignWithMargins="0">
    <oddHeader>&amp;C&amp;"Arial,Bold"&amp;14CONFIDENTIAL</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145"/>
  <sheetViews>
    <sheetView zoomScale="115" zoomScaleNormal="115" workbookViewId="0">
      <selection activeCell="B89" sqref="B89"/>
    </sheetView>
  </sheetViews>
  <sheetFormatPr defaultRowHeight="13.2" x14ac:dyDescent="0.25"/>
  <cols>
    <col min="2" max="2" width="28.5546875" customWidth="1"/>
    <col min="3" max="3" width="14.33203125" style="6" customWidth="1"/>
    <col min="4" max="11" width="12.44140625" customWidth="1"/>
    <col min="17" max="17" width="3.5546875" customWidth="1"/>
  </cols>
  <sheetData>
    <row r="1" spans="2:24" ht="13.8" thickBot="1" x14ac:dyDescent="0.3">
      <c r="B1" s="4" t="s">
        <v>137</v>
      </c>
      <c r="C1" s="5">
        <v>0</v>
      </c>
      <c r="D1" s="3">
        <v>1</v>
      </c>
      <c r="E1" s="3">
        <v>2</v>
      </c>
      <c r="F1" s="3">
        <v>3</v>
      </c>
      <c r="G1" s="26">
        <v>4</v>
      </c>
      <c r="H1" s="3">
        <v>5</v>
      </c>
      <c r="I1" s="26">
        <v>6</v>
      </c>
      <c r="J1" s="3">
        <v>7</v>
      </c>
      <c r="K1" s="26">
        <v>8</v>
      </c>
      <c r="L1" s="3">
        <v>9</v>
      </c>
      <c r="M1" s="5">
        <v>10</v>
      </c>
      <c r="N1" s="3">
        <v>11</v>
      </c>
      <c r="O1" s="5">
        <v>12</v>
      </c>
      <c r="Q1" s="3">
        <v>1</v>
      </c>
      <c r="R1" s="3">
        <v>2</v>
      </c>
      <c r="S1" s="3">
        <v>3</v>
      </c>
      <c r="T1" s="26">
        <v>4</v>
      </c>
      <c r="U1" s="3">
        <v>5</v>
      </c>
      <c r="V1" s="26">
        <v>6</v>
      </c>
      <c r="W1" s="3">
        <v>7</v>
      </c>
      <c r="X1" s="26">
        <v>8</v>
      </c>
    </row>
    <row r="2" spans="2:24" ht="13.8" thickTop="1" x14ac:dyDescent="0.25">
      <c r="C2" s="5">
        <v>0</v>
      </c>
      <c r="D2" s="20" t="s">
        <v>49</v>
      </c>
      <c r="E2" s="20" t="s">
        <v>50</v>
      </c>
      <c r="F2" s="20" t="s">
        <v>59</v>
      </c>
      <c r="G2" s="20" t="s">
        <v>51</v>
      </c>
      <c r="H2" s="20" t="s">
        <v>53</v>
      </c>
      <c r="I2" s="20" t="s">
        <v>52</v>
      </c>
      <c r="J2" s="20" t="s">
        <v>118</v>
      </c>
      <c r="K2" s="20" t="s">
        <v>54</v>
      </c>
      <c r="L2" s="20" t="s">
        <v>58</v>
      </c>
      <c r="M2" s="1"/>
      <c r="N2" s="1"/>
      <c r="O2" s="1"/>
    </row>
    <row r="3" spans="2:24" ht="13.8" x14ac:dyDescent="0.3">
      <c r="B3" s="12" t="s">
        <v>15</v>
      </c>
      <c r="C3" s="5">
        <v>0</v>
      </c>
      <c r="D3" s="10">
        <v>90213.473035999996</v>
      </c>
      <c r="E3" s="27">
        <v>261328.99632839998</v>
      </c>
      <c r="F3" s="13"/>
      <c r="G3" s="13">
        <v>42815.140257599996</v>
      </c>
      <c r="H3" s="27">
        <v>86297.454109999991</v>
      </c>
      <c r="I3" s="27">
        <v>290365.55147599999</v>
      </c>
      <c r="J3" s="27">
        <f>448.22*145.0377</f>
        <v>65008.797894000003</v>
      </c>
      <c r="K3" s="27">
        <v>149.38887013999999</v>
      </c>
      <c r="L3" s="2"/>
      <c r="M3" s="2"/>
      <c r="N3" s="2"/>
      <c r="O3" s="2"/>
      <c r="Q3" s="38">
        <f>D3/D4</f>
        <v>1.0366666666666666E-2</v>
      </c>
      <c r="R3" s="38">
        <f>E3/E4</f>
        <v>1.6379999999999999E-2</v>
      </c>
      <c r="S3" s="38"/>
      <c r="T3" s="38">
        <f>G3/G4</f>
        <v>1.1576470588235294E-2</v>
      </c>
      <c r="U3" s="38">
        <f>H3/H4</f>
        <v>1.1203796109740713E-2</v>
      </c>
      <c r="V3" s="38">
        <f>I3/I4</f>
        <v>1.5619392388471921E-2</v>
      </c>
      <c r="W3" s="38">
        <f>J3/J4</f>
        <v>1.2991884057971014E-2</v>
      </c>
    </row>
    <row r="4" spans="2:24" ht="13.8" x14ac:dyDescent="0.3">
      <c r="B4" s="12" t="s">
        <v>16</v>
      </c>
      <c r="C4" s="5">
        <v>0</v>
      </c>
      <c r="D4" s="10">
        <v>8702264.2799999993</v>
      </c>
      <c r="E4" s="27">
        <v>15954151.18</v>
      </c>
      <c r="F4" s="13"/>
      <c r="G4" s="13">
        <v>3698462.3189999997</v>
      </c>
      <c r="H4" s="27">
        <v>7702519.151965999</v>
      </c>
      <c r="I4" s="27">
        <v>18590067.030412</v>
      </c>
      <c r="J4" s="27">
        <f>34500*145.0377</f>
        <v>5003800.6500000004</v>
      </c>
      <c r="K4" s="27">
        <v>5700.0005079285593</v>
      </c>
      <c r="L4" s="2"/>
      <c r="M4" s="2"/>
      <c r="N4" s="2"/>
      <c r="O4" s="2"/>
      <c r="Q4" s="38"/>
      <c r="R4" s="38"/>
      <c r="S4" s="38"/>
      <c r="T4" s="38"/>
      <c r="U4" s="38"/>
      <c r="V4" s="38"/>
      <c r="W4" s="38"/>
    </row>
    <row r="5" spans="2:24" ht="13.8" x14ac:dyDescent="0.3">
      <c r="B5" s="12" t="s">
        <v>17</v>
      </c>
      <c r="C5" s="5">
        <v>0</v>
      </c>
      <c r="D5" s="10">
        <v>76434.887925999996</v>
      </c>
      <c r="E5" s="27">
        <v>1696.9415346000001</v>
      </c>
      <c r="F5" s="13"/>
      <c r="G5" s="13">
        <v>34335.267175866669</v>
      </c>
      <c r="H5" s="27">
        <v>70488.34066799999</v>
      </c>
      <c r="I5" s="27">
        <v>1885.4905939999999</v>
      </c>
      <c r="J5" s="27">
        <f>J3</f>
        <v>65008.797894000003</v>
      </c>
      <c r="K5" s="27">
        <v>149.38887013999999</v>
      </c>
      <c r="L5" s="2"/>
      <c r="M5" s="2"/>
      <c r="N5" s="2"/>
      <c r="O5" s="2"/>
      <c r="Q5" s="38">
        <f>D5/D6</f>
        <v>8.783333333333334E-3</v>
      </c>
      <c r="R5" s="38">
        <f>E5/E6</f>
        <v>1.8497143034780679E-3</v>
      </c>
      <c r="S5" s="38"/>
      <c r="T5" s="38">
        <f>G5/G6</f>
        <v>9.2836601307189556E-3</v>
      </c>
      <c r="U5" s="38">
        <f>H5/H6</f>
        <v>9.1513359820739257E-3</v>
      </c>
      <c r="V5" s="38">
        <f>I5/I6</f>
        <v>1.2404580152671756E-3</v>
      </c>
      <c r="W5" s="38">
        <f>J5/J6</f>
        <v>1.2991884057971014E-2</v>
      </c>
    </row>
    <row r="6" spans="2:24" ht="13.8" x14ac:dyDescent="0.3">
      <c r="B6" s="12" t="s">
        <v>18</v>
      </c>
      <c r="C6" s="5">
        <v>0</v>
      </c>
      <c r="D6" s="10">
        <v>8702264.2799999993</v>
      </c>
      <c r="E6" s="27">
        <v>917407.3701053157</v>
      </c>
      <c r="F6" s="13"/>
      <c r="G6" s="13">
        <v>3698462.3189999997</v>
      </c>
      <c r="H6" s="27">
        <v>7702519.151965999</v>
      </c>
      <c r="I6" s="27">
        <v>1519995.4942399999</v>
      </c>
      <c r="J6" s="27">
        <f>J4</f>
        <v>5003800.6500000004</v>
      </c>
      <c r="K6" s="27">
        <v>5700.0005079285593</v>
      </c>
      <c r="L6" s="2"/>
      <c r="M6" s="2"/>
      <c r="N6" s="2"/>
      <c r="O6" s="2"/>
      <c r="Q6" s="38"/>
      <c r="R6" s="38"/>
      <c r="S6" s="38"/>
      <c r="T6" s="38"/>
      <c r="U6" s="38"/>
      <c r="V6" s="38"/>
      <c r="W6" s="38"/>
    </row>
    <row r="7" spans="2:24" ht="13.8" x14ac:dyDescent="0.3">
      <c r="B7" s="12" t="s">
        <v>19</v>
      </c>
      <c r="C7" s="5">
        <v>0</v>
      </c>
      <c r="D7" s="22">
        <v>0.03</v>
      </c>
      <c r="E7" s="28">
        <v>0.314</v>
      </c>
      <c r="F7" s="25"/>
      <c r="G7" s="25">
        <v>0.157</v>
      </c>
      <c r="H7" s="28">
        <v>5.8999999999999997E-2</v>
      </c>
      <c r="I7" s="29">
        <v>0.31900000000000001</v>
      </c>
      <c r="J7" s="28">
        <v>0.1</v>
      </c>
      <c r="K7" s="28">
        <v>0.37</v>
      </c>
      <c r="L7" s="2"/>
      <c r="M7" s="2"/>
      <c r="N7" s="2"/>
      <c r="O7" s="2"/>
      <c r="Q7" s="38"/>
      <c r="R7" s="38"/>
      <c r="S7" s="38"/>
      <c r="T7" s="38"/>
      <c r="U7" s="38"/>
      <c r="V7" s="38"/>
      <c r="W7" s="38"/>
    </row>
    <row r="8" spans="2:24" ht="13.8" x14ac:dyDescent="0.3">
      <c r="B8" s="12" t="s">
        <v>20</v>
      </c>
      <c r="C8" s="5">
        <v>0</v>
      </c>
      <c r="D8" s="10">
        <v>54824.264963999995</v>
      </c>
      <c r="E8" s="27">
        <v>81061.591768199985</v>
      </c>
      <c r="F8" s="13"/>
      <c r="G8" s="13">
        <v>48191.205746133324</v>
      </c>
      <c r="H8" s="27">
        <v>52068.547941999997</v>
      </c>
      <c r="I8" s="27">
        <v>90068.435297999997</v>
      </c>
      <c r="J8" s="27">
        <f>J5</f>
        <v>65008.797894000003</v>
      </c>
      <c r="K8" s="27">
        <v>91.37377493999999</v>
      </c>
      <c r="L8" s="2"/>
      <c r="M8" s="2"/>
      <c r="N8" s="2"/>
      <c r="O8" s="2"/>
      <c r="Q8" s="38">
        <f>D8/D9</f>
        <v>6.3E-3</v>
      </c>
      <c r="R8" s="38">
        <f>E8/E9</f>
        <v>5.0809090909090899E-3</v>
      </c>
      <c r="S8" s="38"/>
      <c r="T8" s="38">
        <f>G8/G9</f>
        <v>1.3030065359477122E-2</v>
      </c>
      <c r="U8" s="38">
        <f>H8/H9</f>
        <v>6.7599374847006994E-3</v>
      </c>
      <c r="V8" s="38">
        <f>I8/I9</f>
        <v>4.8449763602602712E-3</v>
      </c>
      <c r="W8" s="38">
        <f>J8/J9</f>
        <v>1.2991884057971014E-2</v>
      </c>
    </row>
    <row r="9" spans="2:24" x14ac:dyDescent="0.25">
      <c r="B9" s="11" t="s">
        <v>9</v>
      </c>
      <c r="C9" s="5">
        <v>0</v>
      </c>
      <c r="D9" s="10">
        <v>8702264.2799999993</v>
      </c>
      <c r="E9" s="27">
        <v>15954151.18</v>
      </c>
      <c r="F9" s="13"/>
      <c r="G9" s="13">
        <v>3698462.3189999997</v>
      </c>
      <c r="H9" s="27">
        <v>7702519.151965999</v>
      </c>
      <c r="I9" s="27">
        <v>18590067.030412</v>
      </c>
      <c r="J9" s="27">
        <f>J6</f>
        <v>5003800.6500000004</v>
      </c>
      <c r="K9" s="27">
        <v>5700.0005079285593</v>
      </c>
      <c r="L9" s="2"/>
      <c r="M9" s="2"/>
      <c r="N9" s="2"/>
      <c r="O9" s="2"/>
      <c r="Q9" s="38"/>
      <c r="R9" s="38"/>
      <c r="S9" s="38"/>
      <c r="T9" s="38"/>
      <c r="U9" s="38"/>
      <c r="V9" s="38"/>
      <c r="W9" s="38"/>
    </row>
    <row r="10" spans="2:24" ht="13.8" x14ac:dyDescent="0.3">
      <c r="B10" s="12" t="s">
        <v>21</v>
      </c>
      <c r="C10" s="5">
        <v>0</v>
      </c>
      <c r="D10" s="10">
        <v>50763.208299999998</v>
      </c>
      <c r="E10" s="27">
        <v>9790.0473149999998</v>
      </c>
      <c r="F10" s="13"/>
      <c r="G10" s="13">
        <v>48191.205746133324</v>
      </c>
      <c r="H10" s="27">
        <v>48297.566753999999</v>
      </c>
      <c r="I10" s="27">
        <v>10877.83035</v>
      </c>
      <c r="J10" s="27">
        <f>J5</f>
        <v>65008.797894000003</v>
      </c>
      <c r="K10" s="27">
        <v>91.37377493999999</v>
      </c>
      <c r="L10" s="2"/>
      <c r="M10" s="2"/>
      <c r="N10" s="2"/>
      <c r="O10" s="2"/>
      <c r="Q10" s="38">
        <f>D10/D11</f>
        <v>5.8333333333333336E-3</v>
      </c>
      <c r="R10" s="38">
        <f>E10/E11</f>
        <v>9.5049006922976811E-3</v>
      </c>
      <c r="S10" s="38"/>
      <c r="T10" s="38">
        <f>G10/G11</f>
        <v>1.3030065359477122E-2</v>
      </c>
      <c r="U10" s="38">
        <f>H10/H11</f>
        <v>6.2703598395691725E-3</v>
      </c>
      <c r="V10" s="38">
        <f>I10/I11</f>
        <v>7.1564885496183213E-3</v>
      </c>
      <c r="W10" s="38">
        <f>J10/J11</f>
        <v>1.2991884057971014E-2</v>
      </c>
    </row>
    <row r="11" spans="2:24" x14ac:dyDescent="0.25">
      <c r="B11" s="11" t="s">
        <v>10</v>
      </c>
      <c r="C11" s="5">
        <v>0</v>
      </c>
      <c r="D11" s="10">
        <v>8702264.2799999993</v>
      </c>
      <c r="E11" s="27">
        <v>1029999.9581198557</v>
      </c>
      <c r="F11" s="13"/>
      <c r="G11" s="13">
        <v>3698462.3189999997</v>
      </c>
      <c r="H11" s="27">
        <v>7702519.151965999</v>
      </c>
      <c r="I11" s="27">
        <v>1519995.4942399999</v>
      </c>
      <c r="J11" s="27">
        <f>J9</f>
        <v>5003800.6500000004</v>
      </c>
      <c r="K11" s="27">
        <v>5700.0005079285593</v>
      </c>
      <c r="L11" s="2"/>
      <c r="M11" s="2"/>
      <c r="N11" s="2"/>
      <c r="O11" s="2"/>
    </row>
    <row r="12" spans="2:24" ht="13.8" x14ac:dyDescent="0.3">
      <c r="B12" s="12" t="s">
        <v>22</v>
      </c>
      <c r="C12" s="5">
        <v>0</v>
      </c>
      <c r="D12" s="10">
        <v>7106.8491619999995</v>
      </c>
      <c r="E12" s="27">
        <v>8223.6397445999992</v>
      </c>
      <c r="F12" s="13"/>
      <c r="G12" s="13">
        <v>11254.928468800001</v>
      </c>
      <c r="H12" s="27">
        <v>11167.905825999998</v>
      </c>
      <c r="I12" s="27">
        <v>9137.3774940000003</v>
      </c>
      <c r="J12" s="27">
        <f>70.17*145.0377</f>
        <v>10177.295409</v>
      </c>
      <c r="K12" s="27">
        <v>69.618114239999997</v>
      </c>
      <c r="L12" s="2"/>
      <c r="M12" s="2"/>
      <c r="N12" s="2"/>
      <c r="O12" s="2"/>
    </row>
    <row r="13" spans="2:24" ht="13.8" x14ac:dyDescent="0.3">
      <c r="B13" s="12" t="s">
        <v>23</v>
      </c>
      <c r="C13" s="5">
        <v>0</v>
      </c>
      <c r="D13" s="10">
        <v>391601.89259999996</v>
      </c>
      <c r="E13" s="27">
        <v>379998.87355999998</v>
      </c>
      <c r="F13" s="13"/>
      <c r="G13" s="13">
        <v>638166.04719999991</v>
      </c>
      <c r="H13" s="27">
        <v>559990.70641799993</v>
      </c>
      <c r="I13" s="27">
        <v>650059.14171599993</v>
      </c>
      <c r="J13" s="27">
        <f>3170*145.0377</f>
        <v>459769.50900000002</v>
      </c>
      <c r="K13" s="27">
        <v>2175.0004228217999</v>
      </c>
      <c r="L13" s="2"/>
      <c r="M13" s="2"/>
      <c r="N13" s="2"/>
      <c r="O13" s="2"/>
    </row>
    <row r="14" spans="2:24" x14ac:dyDescent="0.25">
      <c r="B14" s="8" t="s">
        <v>11</v>
      </c>
      <c r="C14" s="5">
        <v>0</v>
      </c>
      <c r="D14" s="10" t="s">
        <v>24</v>
      </c>
      <c r="E14" s="27">
        <v>0</v>
      </c>
      <c r="F14" s="13"/>
      <c r="G14" s="13"/>
      <c r="H14" s="27" t="s">
        <v>24</v>
      </c>
      <c r="I14" s="27" t="s">
        <v>24</v>
      </c>
      <c r="J14" s="27" t="s">
        <v>24</v>
      </c>
      <c r="K14" s="27"/>
      <c r="L14" s="19"/>
      <c r="M14" s="2"/>
      <c r="N14" s="2"/>
      <c r="O14" s="2"/>
    </row>
    <row r="15" spans="2:24" x14ac:dyDescent="0.25">
      <c r="B15" s="8" t="s">
        <v>2</v>
      </c>
      <c r="C15" s="5"/>
      <c r="D15" s="23">
        <v>9.2519685039370077E-3</v>
      </c>
      <c r="E15" s="30">
        <v>1.6929133858267716E-2</v>
      </c>
      <c r="F15" s="14"/>
      <c r="G15" s="14">
        <v>1.1811023622047244E-2</v>
      </c>
      <c r="H15" s="37">
        <v>8.5984251968503952E-3</v>
      </c>
      <c r="I15" s="37">
        <v>6.2007874015748039E-3</v>
      </c>
      <c r="J15" s="31">
        <f>0.2286/25.4</f>
        <v>9.0000000000000011E-3</v>
      </c>
      <c r="K15" s="28">
        <v>0</v>
      </c>
      <c r="L15" s="2"/>
      <c r="M15" s="2"/>
      <c r="N15" s="2"/>
      <c r="O15" s="2"/>
    </row>
    <row r="16" spans="2:24" ht="13.8" x14ac:dyDescent="0.3">
      <c r="B16" s="12" t="s">
        <v>29</v>
      </c>
      <c r="D16" s="7">
        <v>8702264.2799999993</v>
      </c>
      <c r="E16" s="7">
        <v>15954151.18</v>
      </c>
      <c r="F16" s="7"/>
      <c r="G16" s="7">
        <v>3698462.3189999997</v>
      </c>
      <c r="H16" s="7">
        <v>7702519.151965999</v>
      </c>
      <c r="I16" s="7">
        <v>18590067.030412</v>
      </c>
      <c r="J16" s="7">
        <f>AVERAGE(J4,J9)</f>
        <v>5003800.6500000004</v>
      </c>
      <c r="K16" s="7">
        <v>5700.0005079285593</v>
      </c>
    </row>
    <row r="17" spans="1:23" ht="13.8" x14ac:dyDescent="0.3">
      <c r="B17" s="12" t="s">
        <v>30</v>
      </c>
      <c r="D17" s="7">
        <v>8702264.2799999993</v>
      </c>
      <c r="E17" s="7">
        <v>973703.66411258571</v>
      </c>
      <c r="F17" s="7"/>
      <c r="G17" s="7">
        <v>3698462.3189999997</v>
      </c>
      <c r="H17" s="7">
        <v>7702519.151965999</v>
      </c>
      <c r="I17" s="7">
        <v>1519995.4942399999</v>
      </c>
      <c r="J17" s="7">
        <f>AVERAGE(J11,J6)</f>
        <v>5003800.6500000004</v>
      </c>
      <c r="K17" s="7">
        <v>5700.0005079285593</v>
      </c>
    </row>
    <row r="18" spans="1:23" x14ac:dyDescent="0.25">
      <c r="A18" t="s">
        <v>34</v>
      </c>
      <c r="B18" s="12" t="s">
        <v>31</v>
      </c>
      <c r="D18" s="7">
        <v>3000</v>
      </c>
      <c r="E18" s="7">
        <v>3000</v>
      </c>
      <c r="F18" s="7"/>
      <c r="G18" s="7">
        <v>6000</v>
      </c>
      <c r="H18" s="7">
        <v>3000</v>
      </c>
      <c r="I18" s="7">
        <v>3000</v>
      </c>
      <c r="J18" s="7">
        <v>6000</v>
      </c>
      <c r="K18" s="131" t="s">
        <v>68</v>
      </c>
    </row>
    <row r="19" spans="1:23" x14ac:dyDescent="0.25">
      <c r="A19" t="s">
        <v>34</v>
      </c>
      <c r="B19" s="12" t="s">
        <v>32</v>
      </c>
      <c r="D19" s="7">
        <v>4500</v>
      </c>
      <c r="E19" s="7">
        <v>4500</v>
      </c>
      <c r="F19" s="7"/>
      <c r="G19" s="7">
        <v>8000</v>
      </c>
      <c r="H19" s="7">
        <v>4500</v>
      </c>
      <c r="I19" s="7">
        <v>4500</v>
      </c>
      <c r="J19" s="7">
        <v>8000</v>
      </c>
      <c r="K19" s="131" t="s">
        <v>68</v>
      </c>
    </row>
    <row r="20" spans="1:23" x14ac:dyDescent="0.25">
      <c r="A20" t="s">
        <v>34</v>
      </c>
      <c r="B20" s="12" t="s">
        <v>35</v>
      </c>
      <c r="D20" s="7"/>
      <c r="E20" s="7"/>
      <c r="F20" s="7"/>
      <c r="G20" s="7"/>
      <c r="H20" s="7"/>
      <c r="I20" s="7"/>
      <c r="J20" s="7"/>
      <c r="K20" s="7"/>
    </row>
    <row r="21" spans="1:23" x14ac:dyDescent="0.25">
      <c r="A21" t="s">
        <v>34</v>
      </c>
      <c r="B21" s="24" t="s">
        <v>36</v>
      </c>
      <c r="D21" s="7">
        <v>21329.24975028</v>
      </c>
      <c r="E21" s="7">
        <v>23274.205816860002</v>
      </c>
      <c r="F21" s="21"/>
      <c r="G21" s="21"/>
      <c r="H21" s="7">
        <v>23699.1663892</v>
      </c>
      <c r="I21" s="7">
        <v>25860.228685400001</v>
      </c>
    </row>
    <row r="22" spans="1:23" x14ac:dyDescent="0.25">
      <c r="A22" t="s">
        <v>34</v>
      </c>
      <c r="B22" s="12" t="s">
        <v>37</v>
      </c>
      <c r="D22" s="7"/>
      <c r="E22" s="7"/>
      <c r="F22" s="7"/>
      <c r="G22" s="7"/>
      <c r="H22" s="7"/>
      <c r="I22" s="7"/>
      <c r="J22" s="7"/>
      <c r="K22" s="7"/>
    </row>
    <row r="23" spans="1:23" x14ac:dyDescent="0.25">
      <c r="A23" t="s">
        <v>34</v>
      </c>
      <c r="B23" s="12" t="s">
        <v>38</v>
      </c>
      <c r="D23" s="7">
        <v>33260.054078159999</v>
      </c>
      <c r="E23" s="7">
        <v>39969.499838039992</v>
      </c>
      <c r="F23" s="7"/>
      <c r="G23" s="7"/>
      <c r="H23" s="7">
        <v>36955.6156424</v>
      </c>
      <c r="I23" s="7">
        <v>44410.555375599994</v>
      </c>
      <c r="J23" s="7"/>
      <c r="K23" s="7"/>
    </row>
    <row r="24" spans="1:23" x14ac:dyDescent="0.25">
      <c r="A24" t="s">
        <v>34</v>
      </c>
      <c r="B24" s="12" t="s">
        <v>39</v>
      </c>
      <c r="D24" s="7"/>
      <c r="E24" s="7"/>
      <c r="F24" s="7"/>
      <c r="G24" s="7"/>
      <c r="H24" s="7"/>
      <c r="I24" s="7"/>
      <c r="J24" s="7"/>
      <c r="K24" s="7"/>
    </row>
    <row r="25" spans="1:23" x14ac:dyDescent="0.25">
      <c r="A25" t="s">
        <v>34</v>
      </c>
      <c r="B25" s="12" t="s">
        <v>40</v>
      </c>
      <c r="D25" s="7"/>
      <c r="E25" s="7"/>
      <c r="F25" s="7"/>
      <c r="G25" s="7"/>
      <c r="H25" s="7"/>
      <c r="I25" s="7"/>
      <c r="J25" s="7"/>
      <c r="K25" s="7"/>
    </row>
    <row r="26" spans="1:23" x14ac:dyDescent="0.25">
      <c r="A26" t="s">
        <v>34</v>
      </c>
      <c r="B26" s="12" t="s">
        <v>41</v>
      </c>
      <c r="D26" s="7"/>
      <c r="E26" s="7"/>
      <c r="F26" s="7"/>
      <c r="G26" s="7"/>
      <c r="H26" s="7"/>
      <c r="I26" s="7"/>
      <c r="J26" s="7"/>
      <c r="K26" s="7"/>
    </row>
    <row r="27" spans="1:23" x14ac:dyDescent="0.25">
      <c r="A27" t="s">
        <v>34</v>
      </c>
      <c r="B27" s="12" t="s">
        <v>42</v>
      </c>
      <c r="D27" s="7"/>
      <c r="E27" s="7"/>
      <c r="F27" s="7"/>
      <c r="G27" s="7"/>
      <c r="H27" s="7"/>
      <c r="I27" s="7"/>
      <c r="J27" s="7"/>
      <c r="K27" s="7"/>
    </row>
    <row r="28" spans="1:23" x14ac:dyDescent="0.25">
      <c r="A28" t="s">
        <v>34</v>
      </c>
      <c r="B28" s="12" t="s">
        <v>43</v>
      </c>
      <c r="D28" s="7">
        <v>73216.500519779991</v>
      </c>
      <c r="E28" s="7">
        <v>77798.242663199984</v>
      </c>
      <c r="F28" s="7"/>
      <c r="G28" s="7"/>
      <c r="H28" s="7">
        <v>81351.667244199998</v>
      </c>
      <c r="I28" s="7">
        <v>86442.491847999991</v>
      </c>
      <c r="J28" s="7"/>
      <c r="K28" s="7"/>
    </row>
    <row r="29" spans="1:23" x14ac:dyDescent="0.25">
      <c r="A29" t="s">
        <v>34</v>
      </c>
      <c r="B29" s="12" t="s">
        <v>33</v>
      </c>
      <c r="D29" s="7">
        <v>40413.315316320004</v>
      </c>
      <c r="E29" s="7">
        <v>37280.500175519999</v>
      </c>
      <c r="F29" s="7"/>
      <c r="G29" s="7"/>
      <c r="H29" s="7">
        <v>44903.683684800002</v>
      </c>
      <c r="I29" s="7">
        <v>41422.777972800002</v>
      </c>
      <c r="J29" s="7"/>
      <c r="K29" s="7"/>
    </row>
    <row r="30" spans="1:23" ht="13.8" thickBot="1" x14ac:dyDescent="0.3">
      <c r="B30" s="9" t="s">
        <v>138</v>
      </c>
      <c r="D30" s="3"/>
      <c r="E30" s="15"/>
      <c r="F30" s="15"/>
      <c r="G30" s="15"/>
      <c r="H30" s="15"/>
      <c r="I30" s="15"/>
      <c r="J30" s="15"/>
      <c r="K30" s="15"/>
    </row>
    <row r="31" spans="1:23" ht="13.8" thickTop="1" x14ac:dyDescent="0.25">
      <c r="D31" s="32" t="s">
        <v>49</v>
      </c>
      <c r="E31" s="32" t="s">
        <v>50</v>
      </c>
      <c r="F31" s="32">
        <v>0</v>
      </c>
      <c r="G31" s="32" t="s">
        <v>51</v>
      </c>
      <c r="H31" s="32" t="s">
        <v>53</v>
      </c>
      <c r="I31" s="32" t="s">
        <v>52</v>
      </c>
      <c r="J31" s="32" t="str">
        <f>J2</f>
        <v>Pre-Preg S-Glass Cloth</v>
      </c>
      <c r="K31" s="32" t="s">
        <v>54</v>
      </c>
      <c r="L31" s="20" t="str">
        <f>L2</f>
        <v>Blank</v>
      </c>
      <c r="M31" s="20">
        <f>M2</f>
        <v>0</v>
      </c>
      <c r="N31" s="20">
        <f>N2</f>
        <v>0</v>
      </c>
      <c r="O31" s="1"/>
    </row>
    <row r="32" spans="1:23" ht="13.8" x14ac:dyDescent="0.3">
      <c r="B32" s="12" t="s">
        <v>15</v>
      </c>
      <c r="D32" s="33">
        <v>98045.51088799999</v>
      </c>
      <c r="E32" s="27">
        <v>273599.18896320002</v>
      </c>
      <c r="F32" s="16"/>
      <c r="G32" s="13">
        <v>51169.313966399997</v>
      </c>
      <c r="H32" s="33">
        <v>82816.548397999999</v>
      </c>
      <c r="I32" s="33">
        <v>303999.09884799999</v>
      </c>
      <c r="J32" s="33">
        <f>J3</f>
        <v>65008.797894000003</v>
      </c>
      <c r="K32" s="33">
        <v>191.44981415999999</v>
      </c>
      <c r="Q32" s="38">
        <f>D32/D33</f>
        <v>1.1266666666666666E-2</v>
      </c>
      <c r="R32" s="38">
        <f>E32/E33</f>
        <v>1.7149090909090912E-2</v>
      </c>
      <c r="S32" s="38"/>
      <c r="T32" s="38">
        <f>G32/G33</f>
        <v>1.3835294117647058E-2</v>
      </c>
      <c r="U32" s="38">
        <f>H32/H33</f>
        <v>1.0751878283465457E-2</v>
      </c>
      <c r="V32" s="38">
        <f>I32/I33</f>
        <v>1.6352770452665907E-2</v>
      </c>
      <c r="W32" s="38">
        <f>J32/J33</f>
        <v>1.2991884057971014E-2</v>
      </c>
    </row>
    <row r="33" spans="1:23" ht="13.8" x14ac:dyDescent="0.3">
      <c r="B33" s="12" t="s">
        <v>16</v>
      </c>
      <c r="D33" s="33">
        <v>8702264.2799999993</v>
      </c>
      <c r="E33" s="33">
        <v>15954151.18</v>
      </c>
      <c r="F33" s="33"/>
      <c r="G33" s="16">
        <v>3698462.3189999997</v>
      </c>
      <c r="H33" s="27">
        <v>7702519.151965999</v>
      </c>
      <c r="I33" s="33">
        <v>18590067.030412</v>
      </c>
      <c r="J33" s="33">
        <f t="shared" ref="J33:J44" si="0">J4</f>
        <v>5003800.6500000004</v>
      </c>
      <c r="K33" s="33">
        <v>10442.717135999999</v>
      </c>
      <c r="Q33" s="38"/>
      <c r="R33" s="38"/>
      <c r="S33" s="38"/>
      <c r="T33" s="38"/>
      <c r="U33" s="38"/>
      <c r="V33" s="38"/>
      <c r="W33" s="38"/>
    </row>
    <row r="34" spans="1:23" ht="13.8" x14ac:dyDescent="0.3">
      <c r="B34" s="12" t="s">
        <v>17</v>
      </c>
      <c r="D34" s="33">
        <v>97320.322197999994</v>
      </c>
      <c r="E34" s="27">
        <v>3524.4170334</v>
      </c>
      <c r="F34" s="16"/>
      <c r="G34" s="13">
        <v>39421.257188399999</v>
      </c>
      <c r="H34" s="33">
        <v>70198.265191999992</v>
      </c>
      <c r="I34" s="33">
        <v>3916.0189259999997</v>
      </c>
      <c r="J34" s="33">
        <f t="shared" si="0"/>
        <v>65008.797894000003</v>
      </c>
      <c r="K34" s="33">
        <v>191.44981415999999</v>
      </c>
      <c r="Q34" s="38">
        <f>D34/D35</f>
        <v>1.1183333333333333E-2</v>
      </c>
      <c r="R34" s="38">
        <f>E34/E35</f>
        <v>3.8417143226082947E-3</v>
      </c>
      <c r="S34" s="38"/>
      <c r="T34" s="38">
        <f>G34/G35</f>
        <v>1.0658823529411766E-2</v>
      </c>
      <c r="U34" s="38">
        <f>H34/H35</f>
        <v>9.1136761632176558E-3</v>
      </c>
      <c r="V34" s="38">
        <f>I34/I35</f>
        <v>2.5763358778625955E-3</v>
      </c>
      <c r="W34" s="38">
        <f>J34/J35</f>
        <v>1.2991884057971014E-2</v>
      </c>
    </row>
    <row r="35" spans="1:23" ht="13.8" x14ac:dyDescent="0.3">
      <c r="B35" s="12" t="s">
        <v>18</v>
      </c>
      <c r="D35" s="33">
        <v>8702264.2799999993</v>
      </c>
      <c r="E35" s="33">
        <v>917407.3701053157</v>
      </c>
      <c r="F35" s="33"/>
      <c r="G35" s="16">
        <v>3698462.3189999997</v>
      </c>
      <c r="H35" s="27">
        <v>7702519.151965999</v>
      </c>
      <c r="I35" s="33">
        <v>1519995.4942399999</v>
      </c>
      <c r="J35" s="33">
        <f t="shared" si="0"/>
        <v>5003800.6500000004</v>
      </c>
      <c r="K35" s="33">
        <v>10442.717135999999</v>
      </c>
      <c r="Q35" s="38"/>
      <c r="R35" s="38"/>
      <c r="S35" s="38"/>
      <c r="T35" s="38"/>
      <c r="U35" s="38"/>
      <c r="V35" s="38"/>
      <c r="W35" s="38"/>
    </row>
    <row r="36" spans="1:23" ht="13.8" x14ac:dyDescent="0.3">
      <c r="B36" s="12" t="s">
        <v>19</v>
      </c>
      <c r="D36" s="29">
        <v>0.03</v>
      </c>
      <c r="E36" s="29">
        <v>0.314</v>
      </c>
      <c r="F36" s="29"/>
      <c r="G36" s="25">
        <v>0.157</v>
      </c>
      <c r="H36" s="28">
        <v>5.8999999999999997E-2</v>
      </c>
      <c r="I36" s="29">
        <v>0.31900000000000001</v>
      </c>
      <c r="J36" s="33">
        <f t="shared" si="0"/>
        <v>0.1</v>
      </c>
      <c r="K36" s="33">
        <v>0.37</v>
      </c>
      <c r="Q36" s="38"/>
      <c r="R36" s="38"/>
      <c r="S36" s="38"/>
      <c r="T36" s="38"/>
      <c r="U36" s="38"/>
      <c r="V36" s="38"/>
      <c r="W36" s="38"/>
    </row>
    <row r="37" spans="1:23" ht="13.8" x14ac:dyDescent="0.3">
      <c r="B37" s="12" t="s">
        <v>20</v>
      </c>
      <c r="D37" s="33">
        <v>65412.019837999993</v>
      </c>
      <c r="E37" s="27">
        <v>134319.4491618</v>
      </c>
      <c r="F37" s="16"/>
      <c r="G37" s="13">
        <v>51299.847930599994</v>
      </c>
      <c r="H37" s="33">
        <v>69328.038763999997</v>
      </c>
      <c r="I37" s="33">
        <v>149243.832402</v>
      </c>
      <c r="J37" s="33">
        <f t="shared" si="0"/>
        <v>65008.797894000003</v>
      </c>
      <c r="K37" s="33">
        <v>131.98434158000001</v>
      </c>
      <c r="Q37" s="38">
        <f>D37/D38</f>
        <v>7.5166666666666663E-3</v>
      </c>
      <c r="R37" s="38">
        <f>E37/E38</f>
        <v>8.4190909090909091E-3</v>
      </c>
      <c r="S37" s="38"/>
      <c r="T37" s="38">
        <f>G37/G38</f>
        <v>1.3870588235294117E-2</v>
      </c>
      <c r="U37" s="38">
        <f>H37/H38</f>
        <v>9.0006967066488426E-3</v>
      </c>
      <c r="V37" s="38">
        <f>I37/I38</f>
        <v>8.0281492346341698E-3</v>
      </c>
      <c r="W37" s="38">
        <f>J37/J38</f>
        <v>1.2991884057971014E-2</v>
      </c>
    </row>
    <row r="38" spans="1:23" x14ac:dyDescent="0.25">
      <c r="B38" s="11" t="s">
        <v>9</v>
      </c>
      <c r="D38" s="33">
        <v>8702264.2799999993</v>
      </c>
      <c r="E38" s="33">
        <v>15954151.18</v>
      </c>
      <c r="F38" s="33"/>
      <c r="G38" s="16">
        <v>3698462.3189999997</v>
      </c>
      <c r="H38" s="27">
        <v>7702519.151965999</v>
      </c>
      <c r="I38" s="33">
        <v>18590067.030412</v>
      </c>
      <c r="J38" s="33">
        <f t="shared" si="0"/>
        <v>5003800.6500000004</v>
      </c>
      <c r="K38" s="33">
        <v>10442.717135999999</v>
      </c>
      <c r="Q38" s="38"/>
      <c r="R38" s="38"/>
      <c r="S38" s="38"/>
      <c r="T38" s="38"/>
      <c r="U38" s="38"/>
      <c r="V38" s="38"/>
      <c r="W38" s="38"/>
    </row>
    <row r="39" spans="1:23" ht="13.8" x14ac:dyDescent="0.3">
      <c r="B39" s="12" t="s">
        <v>21</v>
      </c>
      <c r="D39" s="33">
        <v>60625.774483999994</v>
      </c>
      <c r="E39" s="27">
        <v>17230.483274399998</v>
      </c>
      <c r="F39" s="16"/>
      <c r="G39" s="13">
        <v>37724.315653800004</v>
      </c>
      <c r="H39" s="33">
        <v>62946.378291999994</v>
      </c>
      <c r="I39" s="33">
        <v>19144.981415999999</v>
      </c>
      <c r="J39" s="33">
        <f t="shared" si="0"/>
        <v>65008.797894000003</v>
      </c>
      <c r="K39" s="33">
        <v>131.98434158000001</v>
      </c>
      <c r="Q39" s="38">
        <f>D39/D40</f>
        <v>6.9666666666666661E-3</v>
      </c>
      <c r="R39" s="38">
        <f>E39/E40</f>
        <v>1.6728625218443916E-2</v>
      </c>
      <c r="S39" s="38"/>
      <c r="T39" s="38">
        <f>G39/G40</f>
        <v>1.0200000000000002E-2</v>
      </c>
      <c r="U39" s="38">
        <f>H39/H40</f>
        <v>8.1721806918108719E-3</v>
      </c>
      <c r="V39" s="38">
        <f>I39/I40</f>
        <v>1.2595419847328244E-2</v>
      </c>
      <c r="W39" s="38">
        <f>J39/J40</f>
        <v>1.2991884057971014E-2</v>
      </c>
    </row>
    <row r="40" spans="1:23" x14ac:dyDescent="0.25">
      <c r="B40" s="11" t="s">
        <v>10</v>
      </c>
      <c r="D40" s="33">
        <v>8702264.2799999993</v>
      </c>
      <c r="E40" s="33">
        <v>1029999.9581198557</v>
      </c>
      <c r="F40" s="33"/>
      <c r="G40" s="16">
        <v>3698462.3189999997</v>
      </c>
      <c r="H40" s="27">
        <v>7702519.151965999</v>
      </c>
      <c r="I40" s="33">
        <v>1519995.4942399999</v>
      </c>
      <c r="J40" s="33">
        <f t="shared" si="0"/>
        <v>5003800.6500000004</v>
      </c>
      <c r="K40" s="33">
        <v>10442.717135999999</v>
      </c>
    </row>
    <row r="41" spans="1:23" ht="13.8" x14ac:dyDescent="0.3">
      <c r="B41" s="12" t="s">
        <v>22</v>
      </c>
      <c r="D41" s="33">
        <v>8412.1888039999994</v>
      </c>
      <c r="E41" s="27">
        <v>12139.6586706</v>
      </c>
      <c r="F41" s="16"/>
      <c r="G41" s="13">
        <v>12531.2605632</v>
      </c>
      <c r="H41" s="33">
        <v>13198.434158</v>
      </c>
      <c r="I41" s="33">
        <v>13488.509633999998</v>
      </c>
      <c r="J41" s="33">
        <f t="shared" si="0"/>
        <v>10177.295409</v>
      </c>
      <c r="K41" s="33">
        <v>152.28962490000001</v>
      </c>
    </row>
    <row r="42" spans="1:23" ht="13.8" x14ac:dyDescent="0.3">
      <c r="B42" s="12" t="s">
        <v>23</v>
      </c>
      <c r="D42" s="33">
        <v>391601.89259999996</v>
      </c>
      <c r="E42" s="33">
        <v>379998.87355999998</v>
      </c>
      <c r="F42" s="33"/>
      <c r="G42" s="16">
        <v>638166.04719999991</v>
      </c>
      <c r="H42" s="27">
        <v>559990.70641799993</v>
      </c>
      <c r="I42" s="27">
        <v>650059.14171599993</v>
      </c>
      <c r="J42" s="33">
        <f t="shared" si="0"/>
        <v>459769.50900000002</v>
      </c>
      <c r="K42" s="33">
        <v>3916.0189259999997</v>
      </c>
    </row>
    <row r="43" spans="1:23" x14ac:dyDescent="0.25">
      <c r="B43" s="8" t="s">
        <v>11</v>
      </c>
      <c r="D43" s="33" t="s">
        <v>24</v>
      </c>
      <c r="E43" s="33">
        <v>0</v>
      </c>
      <c r="F43" s="16"/>
      <c r="G43" s="16"/>
      <c r="H43" s="33" t="s">
        <v>24</v>
      </c>
      <c r="I43" s="33" t="s">
        <v>24</v>
      </c>
      <c r="J43" s="33" t="str">
        <f t="shared" si="0"/>
        <v>-</v>
      </c>
      <c r="K43" s="33"/>
    </row>
    <row r="44" spans="1:23" x14ac:dyDescent="0.25">
      <c r="B44" s="8" t="s">
        <v>2</v>
      </c>
      <c r="D44" s="34">
        <v>9.2519685039370077E-3</v>
      </c>
      <c r="E44" s="35">
        <v>1.6929133858267716E-2</v>
      </c>
      <c r="F44" s="17"/>
      <c r="G44" s="17">
        <v>1.1811023622047244E-2</v>
      </c>
      <c r="H44" s="35">
        <v>8.5984251968503952E-3</v>
      </c>
      <c r="I44" s="35">
        <v>6.2007874015748039E-3</v>
      </c>
      <c r="J44" s="29">
        <f t="shared" si="0"/>
        <v>9.0000000000000011E-3</v>
      </c>
      <c r="K44" s="29">
        <v>0</v>
      </c>
    </row>
    <row r="45" spans="1:23" ht="13.8" x14ac:dyDescent="0.3">
      <c r="B45" s="12" t="s">
        <v>29</v>
      </c>
      <c r="D45" s="7">
        <v>8702264.2799999993</v>
      </c>
      <c r="E45" s="7">
        <v>15954151.18</v>
      </c>
      <c r="F45" s="7"/>
      <c r="G45" s="7">
        <v>3698462.3189999997</v>
      </c>
      <c r="H45" s="7">
        <v>7702519.151965999</v>
      </c>
      <c r="I45" s="7">
        <v>18590067.030412</v>
      </c>
      <c r="J45" s="7">
        <f>AVERAGE(J33,J38)</f>
        <v>5003800.6500000004</v>
      </c>
      <c r="K45" s="7">
        <v>10442.717135999999</v>
      </c>
    </row>
    <row r="46" spans="1:23" ht="13.8" x14ac:dyDescent="0.3">
      <c r="B46" s="12" t="s">
        <v>30</v>
      </c>
      <c r="D46" s="7">
        <v>8702264.2799999993</v>
      </c>
      <c r="E46" s="7">
        <v>973703.66411258571</v>
      </c>
      <c r="F46" s="7"/>
      <c r="G46" s="7">
        <v>3698462.3189999997</v>
      </c>
      <c r="H46" s="7">
        <v>7702519.151965999</v>
      </c>
      <c r="I46" s="7">
        <v>1519995.4942399999</v>
      </c>
      <c r="J46" s="7">
        <f>AVERAGE(J40,J35)</f>
        <v>5003800.6500000004</v>
      </c>
      <c r="K46" s="7">
        <v>10442.717135999999</v>
      </c>
    </row>
    <row r="47" spans="1:23" x14ac:dyDescent="0.25">
      <c r="A47" t="s">
        <v>34</v>
      </c>
      <c r="B47" s="12" t="s">
        <v>31</v>
      </c>
      <c r="D47" s="7">
        <v>3579.3650793650791</v>
      </c>
      <c r="E47" s="7">
        <v>4971.0144927536239</v>
      </c>
      <c r="F47" s="7"/>
      <c r="G47" s="7">
        <v>6387.0385232744784</v>
      </c>
      <c r="H47" s="7">
        <v>3994.4289693593319</v>
      </c>
      <c r="I47" s="7">
        <v>4971.014492753623</v>
      </c>
      <c r="J47" s="7">
        <f>J18</f>
        <v>6000</v>
      </c>
      <c r="K47" s="131" t="s">
        <v>68</v>
      </c>
    </row>
    <row r="48" spans="1:23" x14ac:dyDescent="0.25">
      <c r="A48" t="s">
        <v>34</v>
      </c>
      <c r="B48" s="12" t="s">
        <v>32</v>
      </c>
      <c r="D48" s="7">
        <v>4890.6752411575562</v>
      </c>
      <c r="E48" s="7">
        <v>4711.288711288712</v>
      </c>
      <c r="F48" s="7"/>
      <c r="G48" s="7">
        <v>9560.9756097560967</v>
      </c>
      <c r="H48" s="7">
        <v>4318.4873949579833</v>
      </c>
      <c r="I48" s="7">
        <v>4711.288711288712</v>
      </c>
      <c r="J48" s="7">
        <f>J19</f>
        <v>8000</v>
      </c>
      <c r="K48" s="131" t="s">
        <v>68</v>
      </c>
    </row>
    <row r="49" spans="1:23" x14ac:dyDescent="0.25">
      <c r="A49" t="s">
        <v>34</v>
      </c>
      <c r="B49" s="12" t="s">
        <v>35</v>
      </c>
      <c r="D49" s="7"/>
      <c r="E49" s="7"/>
      <c r="F49" s="7"/>
      <c r="G49" s="7"/>
      <c r="H49" s="7"/>
      <c r="I49" s="7"/>
      <c r="J49" s="7"/>
      <c r="K49" s="7"/>
    </row>
    <row r="50" spans="1:23" x14ac:dyDescent="0.25">
      <c r="A50" t="s">
        <v>34</v>
      </c>
      <c r="B50" s="24" t="s">
        <v>36</v>
      </c>
      <c r="D50" s="7"/>
      <c r="E50" s="7"/>
      <c r="F50" s="7"/>
      <c r="G50" s="7"/>
      <c r="H50" s="7"/>
      <c r="I50" s="7"/>
      <c r="J50" s="7"/>
      <c r="K50" s="7"/>
    </row>
    <row r="51" spans="1:23" x14ac:dyDescent="0.25">
      <c r="A51" t="s">
        <v>34</v>
      </c>
      <c r="B51" s="12" t="s">
        <v>37</v>
      </c>
      <c r="D51" s="7"/>
      <c r="E51" s="7"/>
      <c r="F51" s="7"/>
      <c r="G51" s="7"/>
      <c r="H51" s="7"/>
      <c r="I51" s="7"/>
      <c r="J51" s="7"/>
      <c r="K51" s="7"/>
    </row>
    <row r="52" spans="1:23" x14ac:dyDescent="0.25">
      <c r="A52" t="s">
        <v>34</v>
      </c>
      <c r="B52" s="12" t="s">
        <v>38</v>
      </c>
      <c r="D52" s="7"/>
      <c r="E52" s="7"/>
      <c r="F52" s="7"/>
      <c r="G52" s="7"/>
      <c r="H52" s="7"/>
      <c r="I52" s="7"/>
      <c r="J52" s="7"/>
      <c r="K52" s="7"/>
    </row>
    <row r="53" spans="1:23" x14ac:dyDescent="0.25">
      <c r="A53" t="s">
        <v>34</v>
      </c>
      <c r="B53" s="12" t="s">
        <v>39</v>
      </c>
      <c r="D53" s="7"/>
      <c r="E53" s="7"/>
      <c r="F53" s="7"/>
      <c r="G53" s="7"/>
      <c r="H53" s="7"/>
      <c r="I53" s="7"/>
      <c r="J53" s="7"/>
      <c r="K53" s="7"/>
    </row>
    <row r="54" spans="1:23" x14ac:dyDescent="0.25">
      <c r="A54" t="s">
        <v>34</v>
      </c>
      <c r="B54" s="12" t="s">
        <v>40</v>
      </c>
      <c r="D54" s="7"/>
      <c r="E54" s="7"/>
      <c r="F54" s="7"/>
      <c r="G54" s="7"/>
      <c r="H54" s="7"/>
      <c r="I54" s="7"/>
      <c r="J54" s="7"/>
      <c r="K54" s="7"/>
    </row>
    <row r="55" spans="1:23" x14ac:dyDescent="0.25">
      <c r="A55" t="s">
        <v>34</v>
      </c>
      <c r="B55" s="12" t="s">
        <v>41</v>
      </c>
      <c r="D55" s="7"/>
      <c r="E55" s="7"/>
      <c r="F55" s="7"/>
      <c r="G55" s="7"/>
      <c r="H55" s="7"/>
      <c r="I55" s="7"/>
      <c r="J55" s="7"/>
      <c r="K55" s="7"/>
    </row>
    <row r="56" spans="1:23" x14ac:dyDescent="0.25">
      <c r="A56" t="s">
        <v>34</v>
      </c>
      <c r="B56" s="12" t="s">
        <v>42</v>
      </c>
      <c r="D56" s="7"/>
      <c r="E56" s="7"/>
      <c r="F56" s="7"/>
      <c r="G56" s="7"/>
      <c r="H56" s="7"/>
      <c r="I56" s="7"/>
      <c r="J56" s="7"/>
      <c r="K56" s="7"/>
    </row>
    <row r="57" spans="1:23" x14ac:dyDescent="0.25">
      <c r="A57" t="s">
        <v>34</v>
      </c>
      <c r="B57" s="12" t="s">
        <v>43</v>
      </c>
      <c r="D57" s="7"/>
      <c r="E57" s="7"/>
      <c r="F57" s="7"/>
      <c r="G57" s="7"/>
      <c r="H57" s="7"/>
      <c r="I57" s="7"/>
      <c r="J57" s="7"/>
      <c r="K57" s="7"/>
    </row>
    <row r="58" spans="1:23" x14ac:dyDescent="0.25">
      <c r="A58" t="s">
        <v>34</v>
      </c>
      <c r="B58" s="12" t="s">
        <v>33</v>
      </c>
      <c r="D58" s="7"/>
      <c r="E58" s="7"/>
      <c r="F58" s="7"/>
      <c r="G58" s="7"/>
      <c r="H58" s="7"/>
      <c r="I58" s="7"/>
      <c r="J58" s="7"/>
      <c r="K58" s="7"/>
    </row>
    <row r="59" spans="1:23" ht="13.8" thickBot="1" x14ac:dyDescent="0.3">
      <c r="B59" s="9" t="s">
        <v>139</v>
      </c>
      <c r="D59" s="15"/>
      <c r="E59" s="15"/>
      <c r="F59" s="15"/>
      <c r="G59" s="15"/>
      <c r="H59" s="15"/>
      <c r="I59" s="15"/>
      <c r="J59" s="15"/>
      <c r="K59" s="15"/>
    </row>
    <row r="60" spans="1:23" ht="13.8" thickTop="1" x14ac:dyDescent="0.25">
      <c r="D60" s="32" t="s">
        <v>49</v>
      </c>
      <c r="E60" s="32" t="s">
        <v>50</v>
      </c>
      <c r="F60" s="32">
        <v>0</v>
      </c>
      <c r="G60" s="32" t="s">
        <v>51</v>
      </c>
      <c r="H60" s="32" t="s">
        <v>53</v>
      </c>
      <c r="I60" s="32" t="s">
        <v>52</v>
      </c>
      <c r="J60" s="32" t="str">
        <f>J2</f>
        <v>Pre-Preg S-Glass Cloth</v>
      </c>
      <c r="K60" s="32" t="s">
        <v>54</v>
      </c>
      <c r="L60" s="20" t="str">
        <f>L31</f>
        <v>Blank</v>
      </c>
    </row>
    <row r="61" spans="1:23" ht="13.8" x14ac:dyDescent="0.3">
      <c r="B61" s="12" t="s">
        <v>15</v>
      </c>
      <c r="D61" s="33">
        <v>105152.36004999999</v>
      </c>
      <c r="E61" s="27">
        <v>291351.80809439998</v>
      </c>
      <c r="F61" s="16"/>
      <c r="G61" s="13">
        <v>54824.264963999995</v>
      </c>
      <c r="H61" s="33">
        <v>79770.755899999989</v>
      </c>
      <c r="I61" s="33">
        <v>323724.23121599999</v>
      </c>
      <c r="J61" s="27">
        <f>614*145.0377</f>
        <v>89053.147800000006</v>
      </c>
      <c r="K61" s="33">
        <v>188.5490594</v>
      </c>
      <c r="R61" s="38">
        <f>E61/E62</f>
        <v>1.8261818181818181E-2</v>
      </c>
      <c r="S61" s="38"/>
      <c r="T61" s="38">
        <f>G61/G62</f>
        <v>1.4823529411764706E-2</v>
      </c>
      <c r="U61" s="38">
        <f>H61/H62</f>
        <v>1.0356450185474608E-2</v>
      </c>
      <c r="V61" s="38">
        <f>I61/I62</f>
        <v>1.7413828077457207E-2</v>
      </c>
      <c r="W61" s="38">
        <f>J61/J62</f>
        <v>1.7797101449275363E-2</v>
      </c>
    </row>
    <row r="62" spans="1:23" ht="13.8" x14ac:dyDescent="0.3">
      <c r="B62" s="12" t="s">
        <v>16</v>
      </c>
      <c r="D62" s="33">
        <v>8702264.2799999993</v>
      </c>
      <c r="E62" s="33">
        <v>15954151.18</v>
      </c>
      <c r="F62" s="33"/>
      <c r="G62" s="16">
        <v>3698462.3189999997</v>
      </c>
      <c r="H62" s="27">
        <v>7702519.151965999</v>
      </c>
      <c r="I62" s="33">
        <v>18590067.030412</v>
      </c>
      <c r="J62" s="27">
        <f>34500*145.0377</f>
        <v>5003800.6500000004</v>
      </c>
      <c r="K62" s="33">
        <v>10442.717135999999</v>
      </c>
      <c r="R62" s="38"/>
      <c r="S62" s="38"/>
      <c r="T62" s="38"/>
      <c r="U62" s="38"/>
      <c r="V62" s="38"/>
      <c r="W62" s="38"/>
    </row>
    <row r="63" spans="1:23" ht="13.8" x14ac:dyDescent="0.3">
      <c r="B63" s="12" t="s">
        <v>17</v>
      </c>
      <c r="D63" s="33">
        <v>99205.812791999997</v>
      </c>
      <c r="E63" s="27">
        <v>4177.0868543999995</v>
      </c>
      <c r="F63" s="16"/>
      <c r="G63" s="13">
        <v>41901.402508200001</v>
      </c>
      <c r="H63" s="33">
        <v>66427.284004000001</v>
      </c>
      <c r="I63" s="33">
        <v>4641.2076159999997</v>
      </c>
      <c r="J63" s="27">
        <f>J61</f>
        <v>89053.147800000006</v>
      </c>
      <c r="K63" s="33">
        <v>188.5490594</v>
      </c>
      <c r="R63" s="38">
        <f>E63/E64</f>
        <v>4.5531429008690899E-3</v>
      </c>
      <c r="S63" s="38"/>
      <c r="T63" s="38">
        <f>G63/G64</f>
        <v>1.1329411764705883E-2</v>
      </c>
      <c r="U63" s="38">
        <f>H63/H64</f>
        <v>8.6240985180861297E-3</v>
      </c>
      <c r="V63" s="38">
        <f>I63/I64</f>
        <v>3.0534351145038168E-3</v>
      </c>
      <c r="W63" s="38">
        <f>J63/J64</f>
        <v>1.7797101449275363E-2</v>
      </c>
    </row>
    <row r="64" spans="1:23" ht="13.8" x14ac:dyDescent="0.3">
      <c r="B64" s="12" t="s">
        <v>18</v>
      </c>
      <c r="D64" s="33">
        <v>8702264.2799999993</v>
      </c>
      <c r="E64" s="33">
        <v>917407.3701053157</v>
      </c>
      <c r="F64" s="33"/>
      <c r="G64" s="16">
        <v>3698462.3189999997</v>
      </c>
      <c r="H64" s="27">
        <v>7702519.151965999</v>
      </c>
      <c r="I64" s="33">
        <v>1519995.4942399999</v>
      </c>
      <c r="J64" s="27">
        <f>J62</f>
        <v>5003800.6500000004</v>
      </c>
      <c r="K64" s="33">
        <v>10442.717135999999</v>
      </c>
      <c r="R64" s="38"/>
      <c r="S64" s="38"/>
      <c r="T64" s="38"/>
      <c r="U64" s="38"/>
      <c r="V64" s="38"/>
      <c r="W64" s="38"/>
    </row>
    <row r="65" spans="1:23" ht="13.8" x14ac:dyDescent="0.3">
      <c r="B65" s="12" t="s">
        <v>19</v>
      </c>
      <c r="D65" s="33">
        <v>0.03</v>
      </c>
      <c r="E65" s="33">
        <v>0.314</v>
      </c>
      <c r="F65" s="33"/>
      <c r="G65" s="25">
        <v>0.157</v>
      </c>
      <c r="H65" s="28">
        <v>5.8999999999999997E-2</v>
      </c>
      <c r="I65" s="29">
        <v>0.31900000000000001</v>
      </c>
      <c r="J65" s="28">
        <v>0.1</v>
      </c>
      <c r="K65" s="33">
        <v>0.37</v>
      </c>
      <c r="Q65" s="38"/>
      <c r="R65" s="38"/>
      <c r="S65" s="38"/>
      <c r="T65" s="38"/>
      <c r="U65" s="38"/>
      <c r="V65" s="38"/>
      <c r="W65" s="38"/>
    </row>
    <row r="66" spans="1:23" ht="13.8" x14ac:dyDescent="0.3">
      <c r="B66" s="12" t="s">
        <v>20</v>
      </c>
      <c r="D66" s="33">
        <v>75129.54828399999</v>
      </c>
      <c r="E66" s="27">
        <v>135233.1869112</v>
      </c>
      <c r="F66" s="16"/>
      <c r="G66" s="13">
        <v>62003.632994999993</v>
      </c>
      <c r="H66" s="33">
        <v>86442.491847999991</v>
      </c>
      <c r="I66" s="33">
        <v>150259.09656799998</v>
      </c>
      <c r="J66" s="27">
        <f>J63</f>
        <v>89053.147800000006</v>
      </c>
      <c r="K66" s="33">
        <v>188.5490594</v>
      </c>
      <c r="Q66" s="38">
        <f>D66/D67</f>
        <v>8.6333333333333331E-3</v>
      </c>
      <c r="R66" s="38">
        <f>E66/E67</f>
        <v>8.476363636363636E-3</v>
      </c>
      <c r="S66" s="38"/>
      <c r="T66" s="38">
        <f>G66/G67</f>
        <v>1.6764705882352942E-2</v>
      </c>
      <c r="U66" s="38">
        <f>H66/H67</f>
        <v>1.1222626019168848E-2</v>
      </c>
      <c r="V66" s="38">
        <f>I66/I67</f>
        <v>8.0827624947337195E-3</v>
      </c>
      <c r="W66" s="38">
        <f>J66/J67</f>
        <v>1.7797101449275363E-2</v>
      </c>
    </row>
    <row r="67" spans="1:23" x14ac:dyDescent="0.25">
      <c r="B67" s="11" t="s">
        <v>9</v>
      </c>
      <c r="D67" s="33">
        <v>8702264.2799999993</v>
      </c>
      <c r="E67" s="33">
        <v>15954151.18</v>
      </c>
      <c r="F67" s="33"/>
      <c r="G67" s="16">
        <v>3698462.3189999997</v>
      </c>
      <c r="H67" s="27">
        <v>7702519.151965999</v>
      </c>
      <c r="I67" s="33">
        <v>18590067.030412</v>
      </c>
      <c r="J67" s="27">
        <f>J64</f>
        <v>5003800.6500000004</v>
      </c>
      <c r="K67" s="33">
        <v>10442.717135999999</v>
      </c>
      <c r="Q67" s="38"/>
      <c r="R67" s="38"/>
      <c r="S67" s="38"/>
      <c r="T67" s="38"/>
      <c r="U67" s="38"/>
      <c r="V67" s="38"/>
      <c r="W67" s="38"/>
    </row>
    <row r="68" spans="1:23" ht="13.8" x14ac:dyDescent="0.3">
      <c r="B68" s="12" t="s">
        <v>21</v>
      </c>
      <c r="D68" s="33">
        <v>69618.114239999995</v>
      </c>
      <c r="E68" s="27">
        <v>21146.502200400002</v>
      </c>
      <c r="F68" s="16"/>
      <c r="G68" s="13">
        <v>34069.364656199999</v>
      </c>
      <c r="H68" s="33">
        <v>77885.265306000001</v>
      </c>
      <c r="I68" s="33">
        <v>23496.113555999997</v>
      </c>
      <c r="J68" s="27">
        <f>J63</f>
        <v>89053.147800000006</v>
      </c>
      <c r="K68" s="33">
        <v>188.5490594</v>
      </c>
      <c r="Q68" s="38">
        <f>D68/D69</f>
        <v>8.0000000000000002E-3</v>
      </c>
      <c r="R68" s="38">
        <f>E68/E69</f>
        <v>2.0530585495362994E-2</v>
      </c>
      <c r="S68" s="38"/>
      <c r="T68" s="38">
        <f>G68/G69</f>
        <v>9.2117647058823533E-3</v>
      </c>
      <c r="U68" s="38">
        <f>H68/H69</f>
        <v>1.0111661362908846E-2</v>
      </c>
      <c r="V68" s="38">
        <f>I68/I69</f>
        <v>1.5458015267175572E-2</v>
      </c>
      <c r="W68" s="38">
        <f>J68/J69</f>
        <v>1.7797101449275363E-2</v>
      </c>
    </row>
    <row r="69" spans="1:23" x14ac:dyDescent="0.25">
      <c r="B69" s="11" t="s">
        <v>10</v>
      </c>
      <c r="D69" s="33">
        <v>8702264.2799999993</v>
      </c>
      <c r="E69" s="33">
        <v>1029999.9581198557</v>
      </c>
      <c r="F69" s="33"/>
      <c r="G69" s="16">
        <v>3698462.3189999997</v>
      </c>
      <c r="H69" s="27">
        <v>7702519.151965999</v>
      </c>
      <c r="I69" s="33">
        <v>1519995.4942399999</v>
      </c>
      <c r="J69" s="27">
        <f>J67</f>
        <v>5003800.6500000004</v>
      </c>
      <c r="K69" s="33">
        <v>10442.717135999999</v>
      </c>
    </row>
    <row r="70" spans="1:23" ht="13.8" x14ac:dyDescent="0.3">
      <c r="B70" s="12" t="s">
        <v>22</v>
      </c>
      <c r="D70" s="33">
        <v>9717.5284460000003</v>
      </c>
      <c r="E70" s="27">
        <v>15403.007775599999</v>
      </c>
      <c r="F70" s="16"/>
      <c r="G70" s="13">
        <v>15664.075703999999</v>
      </c>
      <c r="H70" s="33">
        <v>17404.528559999999</v>
      </c>
      <c r="I70" s="33">
        <v>17114.453084000001</v>
      </c>
      <c r="J70" s="27">
        <f>70.17*145.0377</f>
        <v>10177.295409</v>
      </c>
      <c r="K70" s="33">
        <v>130.53396419999999</v>
      </c>
    </row>
    <row r="71" spans="1:23" ht="13.8" x14ac:dyDescent="0.3">
      <c r="B71" s="12" t="s">
        <v>23</v>
      </c>
      <c r="D71" s="33">
        <v>391601.89259999996</v>
      </c>
      <c r="E71" s="33">
        <v>379998.87355999998</v>
      </c>
      <c r="F71" s="33"/>
      <c r="G71" s="16">
        <v>638166.04719999991</v>
      </c>
      <c r="H71" s="27">
        <v>559990.70641799993</v>
      </c>
      <c r="I71" s="27">
        <v>650059.14171599993</v>
      </c>
      <c r="J71" s="27">
        <f>3170*145.0377</f>
        <v>459769.50900000002</v>
      </c>
      <c r="K71" s="33">
        <v>4351.1321399999997</v>
      </c>
    </row>
    <row r="72" spans="1:23" x14ac:dyDescent="0.25">
      <c r="B72" s="8" t="s">
        <v>11</v>
      </c>
      <c r="D72" s="33" t="s">
        <v>24</v>
      </c>
      <c r="E72" s="33">
        <v>0</v>
      </c>
      <c r="F72" s="16"/>
      <c r="G72" s="16"/>
      <c r="H72" s="33" t="s">
        <v>24</v>
      </c>
      <c r="I72" s="33" t="s">
        <v>24</v>
      </c>
      <c r="J72" s="27" t="s">
        <v>24</v>
      </c>
      <c r="K72" s="33"/>
    </row>
    <row r="73" spans="1:23" x14ac:dyDescent="0.25">
      <c r="B73" s="8" t="s">
        <v>2</v>
      </c>
      <c r="D73" s="35">
        <v>9.2519685039370077E-3</v>
      </c>
      <c r="E73" s="35">
        <v>1.6929133858267716E-2</v>
      </c>
      <c r="F73" s="17"/>
      <c r="G73" s="17">
        <v>1.1811023622047244E-2</v>
      </c>
      <c r="H73" s="35">
        <v>8.5984251968503952E-3</v>
      </c>
      <c r="I73" s="35">
        <v>6.2007874015748039E-3</v>
      </c>
      <c r="J73" s="31">
        <f>0.2286/25.4</f>
        <v>9.0000000000000011E-3</v>
      </c>
      <c r="K73" s="29">
        <v>0</v>
      </c>
    </row>
    <row r="74" spans="1:23" ht="13.8" x14ac:dyDescent="0.3">
      <c r="B74" s="12" t="s">
        <v>29</v>
      </c>
      <c r="D74" s="7">
        <v>8702264.2799999993</v>
      </c>
      <c r="E74" s="7">
        <v>15954151.18</v>
      </c>
      <c r="F74" s="7"/>
      <c r="G74" s="7">
        <v>3698462.3189999997</v>
      </c>
      <c r="H74" s="7">
        <v>7702519.151965999</v>
      </c>
      <c r="I74" s="7">
        <v>18590067.030412</v>
      </c>
      <c r="J74" s="7">
        <f>AVERAGE(J62,J67)</f>
        <v>5003800.6500000004</v>
      </c>
      <c r="K74" s="7">
        <v>10442.717135999999</v>
      </c>
    </row>
    <row r="75" spans="1:23" ht="13.8" x14ac:dyDescent="0.3">
      <c r="B75" s="12" t="s">
        <v>30</v>
      </c>
      <c r="D75" s="7">
        <v>8702264.2799999993</v>
      </c>
      <c r="E75" s="7">
        <v>973703.66411258571</v>
      </c>
      <c r="F75" s="7"/>
      <c r="G75" s="7">
        <v>3698462.3189999997</v>
      </c>
      <c r="H75" s="7">
        <v>7702519.151965999</v>
      </c>
      <c r="I75" s="7">
        <v>1519995.4942399999</v>
      </c>
      <c r="J75" s="7">
        <f>AVERAGE(J69,J64)</f>
        <v>5003800.6500000004</v>
      </c>
      <c r="K75" s="7">
        <v>10442.717135999999</v>
      </c>
    </row>
    <row r="76" spans="1:23" x14ac:dyDescent="0.25">
      <c r="A76" t="s">
        <v>34</v>
      </c>
      <c r="B76" s="12" t="s">
        <v>31</v>
      </c>
      <c r="D76" s="7">
        <v>4111.1111111111104</v>
      </c>
      <c r="E76" s="7">
        <v>5004.8309178743966</v>
      </c>
      <c r="F76" s="7"/>
      <c r="G76" s="7">
        <v>7719.7030497592295</v>
      </c>
      <c r="H76" s="7">
        <v>4980.5013927576592</v>
      </c>
      <c r="I76" s="7">
        <v>5004.8309178743957</v>
      </c>
      <c r="J76" s="7">
        <v>7719.7030497592314</v>
      </c>
      <c r="K76" s="131" t="s">
        <v>68</v>
      </c>
    </row>
    <row r="77" spans="1:23" x14ac:dyDescent="0.25">
      <c r="A77" t="s">
        <v>34</v>
      </c>
      <c r="B77" s="12" t="s">
        <v>32</v>
      </c>
      <c r="D77" s="7">
        <v>5245.1768488745984</v>
      </c>
      <c r="E77" s="7">
        <v>5016.9830169830166</v>
      </c>
      <c r="F77" s="7"/>
      <c r="G77" s="7">
        <v>10243.902439024389</v>
      </c>
      <c r="H77" s="7">
        <v>4159.6638655462184</v>
      </c>
      <c r="I77" s="7">
        <v>5016.9830169830184</v>
      </c>
      <c r="J77" s="7">
        <v>10243.902439024389</v>
      </c>
      <c r="K77" s="131" t="s">
        <v>68</v>
      </c>
    </row>
    <row r="78" spans="1:23" x14ac:dyDescent="0.25">
      <c r="A78" t="s">
        <v>34</v>
      </c>
      <c r="B78" s="12" t="s">
        <v>35</v>
      </c>
      <c r="D78" s="7"/>
      <c r="E78" s="7"/>
      <c r="F78" s="7"/>
      <c r="G78" s="7"/>
      <c r="H78" s="7"/>
      <c r="I78" s="7"/>
      <c r="J78" s="7"/>
      <c r="K78" s="7"/>
    </row>
    <row r="79" spans="1:23" x14ac:dyDescent="0.25">
      <c r="A79" t="s">
        <v>34</v>
      </c>
      <c r="B79" s="24" t="s">
        <v>36</v>
      </c>
      <c r="D79" s="7">
        <v>35714.09260512</v>
      </c>
      <c r="E79" s="7">
        <v>38220.344717760003</v>
      </c>
      <c r="F79" s="7"/>
      <c r="G79" s="7"/>
      <c r="H79" s="7">
        <v>39682.325116799999</v>
      </c>
      <c r="I79" s="7">
        <v>42467.049686400002</v>
      </c>
      <c r="J79" s="7"/>
      <c r="K79" s="7"/>
    </row>
    <row r="80" spans="1:23" x14ac:dyDescent="0.25">
      <c r="A80" t="s">
        <v>34</v>
      </c>
      <c r="B80" s="12" t="s">
        <v>37</v>
      </c>
      <c r="D80" s="7">
        <v>38011.490375039997</v>
      </c>
      <c r="E80" s="7">
        <v>64549.045296899996</v>
      </c>
      <c r="F80" s="7"/>
      <c r="G80" s="7"/>
      <c r="H80" s="7">
        <v>42234.989305599993</v>
      </c>
      <c r="I80" s="7">
        <v>71721.161440999989</v>
      </c>
      <c r="J80" s="7"/>
      <c r="K80" s="7"/>
    </row>
    <row r="81" spans="1:15" x14ac:dyDescent="0.25">
      <c r="A81" t="s">
        <v>34</v>
      </c>
      <c r="B81" s="12" t="s">
        <v>38</v>
      </c>
      <c r="D81" s="7"/>
      <c r="E81" s="7"/>
      <c r="F81" s="7"/>
      <c r="G81" s="7"/>
      <c r="H81" s="7"/>
      <c r="I81" s="7"/>
      <c r="J81" s="7"/>
      <c r="K81" s="7"/>
    </row>
    <row r="82" spans="1:15" x14ac:dyDescent="0.25">
      <c r="A82" t="s">
        <v>34</v>
      </c>
      <c r="B82" s="12" t="s">
        <v>39</v>
      </c>
      <c r="D82" s="7">
        <v>90277.289640720002</v>
      </c>
      <c r="E82" s="7">
        <v>99349.400152620001</v>
      </c>
      <c r="F82" s="7"/>
      <c r="G82" s="7"/>
      <c r="H82" s="7">
        <v>100308.09960079999</v>
      </c>
      <c r="I82" s="7">
        <v>110388.22239179999</v>
      </c>
      <c r="J82" s="7"/>
      <c r="K82" s="7"/>
    </row>
    <row r="83" spans="1:15" x14ac:dyDescent="0.25">
      <c r="A83" t="s">
        <v>34</v>
      </c>
      <c r="B83" s="12" t="s">
        <v>40</v>
      </c>
      <c r="D83" s="7">
        <v>92457.206842860003</v>
      </c>
      <c r="E83" s="7">
        <v>100680.84658745999</v>
      </c>
      <c r="F83" s="7"/>
      <c r="G83" s="7"/>
      <c r="H83" s="7">
        <v>102730.22982539999</v>
      </c>
      <c r="I83" s="7">
        <v>111867.60731939999</v>
      </c>
      <c r="J83" s="7"/>
      <c r="K83" s="7"/>
    </row>
    <row r="84" spans="1:15" x14ac:dyDescent="0.25">
      <c r="A84" t="s">
        <v>34</v>
      </c>
      <c r="B84" s="12" t="s">
        <v>41</v>
      </c>
      <c r="D84" s="7">
        <v>106946.47686905999</v>
      </c>
      <c r="E84" s="7">
        <v>185097.16123559998</v>
      </c>
      <c r="F84" s="7"/>
      <c r="G84" s="7"/>
      <c r="H84" s="7">
        <v>118829.41874339999</v>
      </c>
      <c r="I84" s="7">
        <v>205663.51248399998</v>
      </c>
      <c r="J84" s="7"/>
      <c r="K84" s="7"/>
    </row>
    <row r="85" spans="1:15" x14ac:dyDescent="0.25">
      <c r="A85" t="s">
        <v>34</v>
      </c>
      <c r="B85" s="12" t="s">
        <v>42</v>
      </c>
      <c r="D85" s="7">
        <v>168245.22645738002</v>
      </c>
      <c r="E85" s="7">
        <v>174863.29844231997</v>
      </c>
      <c r="F85" s="7"/>
      <c r="G85" s="7"/>
      <c r="H85" s="7">
        <v>186939.14050820001</v>
      </c>
      <c r="I85" s="7">
        <v>194292.55382479998</v>
      </c>
      <c r="J85" s="7"/>
      <c r="K85" s="7"/>
    </row>
    <row r="86" spans="1:15" x14ac:dyDescent="0.25">
      <c r="A86" t="s">
        <v>34</v>
      </c>
      <c r="B86" s="12" t="s">
        <v>43</v>
      </c>
      <c r="D86" s="7">
        <v>95733.60934427999</v>
      </c>
      <c r="E86" s="7">
        <v>96595.133507999999</v>
      </c>
      <c r="F86" s="7"/>
      <c r="G86" s="7"/>
      <c r="H86" s="7">
        <v>106370.67704919999</v>
      </c>
      <c r="I86" s="7">
        <v>107327.92611999999</v>
      </c>
      <c r="J86" s="7"/>
      <c r="K86" s="7"/>
    </row>
    <row r="87" spans="1:15" x14ac:dyDescent="0.25">
      <c r="A87" t="s">
        <v>34</v>
      </c>
      <c r="B87" s="12" t="s">
        <v>33</v>
      </c>
      <c r="D87" s="7">
        <v>69679.030089959982</v>
      </c>
      <c r="E87" s="7">
        <v>65071.181153700003</v>
      </c>
      <c r="F87" s="7"/>
      <c r="G87" s="7"/>
      <c r="H87" s="7">
        <v>77421.144544399984</v>
      </c>
      <c r="I87" s="7">
        <v>72301.312393</v>
      </c>
      <c r="J87" s="7"/>
      <c r="K87" s="7"/>
    </row>
    <row r="88" spans="1:15" ht="13.8" thickBot="1" x14ac:dyDescent="0.3">
      <c r="B88" s="9" t="s">
        <v>140</v>
      </c>
      <c r="D88" s="15"/>
      <c r="E88" s="15"/>
      <c r="F88" s="15"/>
      <c r="G88" s="15"/>
      <c r="H88" s="15"/>
      <c r="I88" s="15"/>
      <c r="J88" s="15"/>
      <c r="K88" s="15"/>
    </row>
    <row r="89" spans="1:15" ht="13.8" thickTop="1" x14ac:dyDescent="0.25">
      <c r="D89" s="32" t="s">
        <v>49</v>
      </c>
      <c r="E89" s="32" t="s">
        <v>50</v>
      </c>
      <c r="F89" s="32">
        <v>0</v>
      </c>
      <c r="G89" s="32" t="s">
        <v>51</v>
      </c>
      <c r="H89" s="32" t="s">
        <v>53</v>
      </c>
      <c r="I89" s="32" t="s">
        <v>52</v>
      </c>
      <c r="J89" s="32" t="str">
        <f>J2</f>
        <v>Pre-Preg S-Glass Cloth</v>
      </c>
      <c r="K89" s="32" t="s">
        <v>54</v>
      </c>
      <c r="L89" s="20" t="str">
        <f>L60</f>
        <v>Blank</v>
      </c>
      <c r="M89" s="20">
        <f>M60</f>
        <v>0</v>
      </c>
      <c r="N89" s="20">
        <f>N60</f>
        <v>0</v>
      </c>
      <c r="O89" s="1"/>
    </row>
    <row r="90" spans="1:15" ht="13.8" x14ac:dyDescent="0.3">
      <c r="B90" s="12" t="s">
        <v>15</v>
      </c>
      <c r="D90" s="33">
        <v>110518.756356</v>
      </c>
      <c r="E90" s="27">
        <v>285738.8476338</v>
      </c>
      <c r="F90" s="16"/>
      <c r="G90" s="13">
        <v>59131.885782599995</v>
      </c>
      <c r="H90" s="33">
        <v>73969.246379999997</v>
      </c>
      <c r="I90" s="33">
        <v>317487.60848199995</v>
      </c>
      <c r="J90" s="33"/>
      <c r="K90" s="33">
        <v>165.34302131999996</v>
      </c>
    </row>
    <row r="91" spans="1:15" ht="13.8" x14ac:dyDescent="0.3">
      <c r="B91" s="12" t="s">
        <v>16</v>
      </c>
      <c r="D91" s="33">
        <v>8702264.2799999993</v>
      </c>
      <c r="E91" s="33">
        <v>15954151.18</v>
      </c>
      <c r="F91" s="33"/>
      <c r="G91" s="16">
        <v>3698462.3189999997</v>
      </c>
      <c r="H91" s="27">
        <v>7702519.151965999</v>
      </c>
      <c r="I91" s="33">
        <v>18590067.030412</v>
      </c>
      <c r="J91" s="33"/>
      <c r="K91" s="33"/>
    </row>
    <row r="92" spans="1:15" ht="13.8" x14ac:dyDescent="0.3">
      <c r="B92" s="12" t="s">
        <v>17</v>
      </c>
      <c r="D92" s="33">
        <v>104717.24683599999</v>
      </c>
      <c r="E92" s="27">
        <v>4438.1547828000002</v>
      </c>
      <c r="F92" s="16"/>
      <c r="G92" s="13">
        <v>46470.091255200001</v>
      </c>
      <c r="H92" s="33">
        <v>63091.416029999993</v>
      </c>
      <c r="I92" s="33">
        <v>4931.2830919999997</v>
      </c>
      <c r="J92" s="33"/>
      <c r="K92" s="33">
        <v>165.34302131999996</v>
      </c>
    </row>
    <row r="93" spans="1:15" ht="13.8" x14ac:dyDescent="0.3">
      <c r="B93" s="12" t="s">
        <v>18</v>
      </c>
      <c r="D93" s="33">
        <v>8702264.2799999993</v>
      </c>
      <c r="E93" s="33">
        <v>917407.3701053157</v>
      </c>
      <c r="F93" s="33"/>
      <c r="G93" s="16">
        <v>3698462.3189999997</v>
      </c>
      <c r="H93" s="27">
        <v>7702519.151965999</v>
      </c>
      <c r="I93" s="33">
        <v>1519995.4942399999</v>
      </c>
      <c r="J93" s="33"/>
      <c r="K93" s="33"/>
    </row>
    <row r="94" spans="1:15" ht="13.8" x14ac:dyDescent="0.3">
      <c r="B94" s="12" t="s">
        <v>19</v>
      </c>
      <c r="D94" s="33">
        <v>0.03</v>
      </c>
      <c r="E94" s="33">
        <v>0.314</v>
      </c>
      <c r="F94" s="33"/>
      <c r="G94" s="25">
        <v>0.157</v>
      </c>
      <c r="H94" s="28">
        <v>5.8999999999999997E-2</v>
      </c>
      <c r="I94" s="29">
        <v>0.31900000000000001</v>
      </c>
      <c r="J94" s="33"/>
      <c r="K94" s="33">
        <v>0.37</v>
      </c>
    </row>
    <row r="95" spans="1:15" ht="13.8" x14ac:dyDescent="0.3">
      <c r="B95" s="12" t="s">
        <v>20</v>
      </c>
      <c r="D95" s="33">
        <v>75419.623759999988</v>
      </c>
      <c r="E95" s="27">
        <v>154943.81550539998</v>
      </c>
      <c r="F95" s="16"/>
      <c r="G95" s="13">
        <v>71663.146345799993</v>
      </c>
      <c r="H95" s="33">
        <v>92244.001367999997</v>
      </c>
      <c r="I95" s="33">
        <v>172159.795006</v>
      </c>
      <c r="J95" s="33"/>
      <c r="K95" s="33">
        <v>176.94604035999998</v>
      </c>
    </row>
    <row r="96" spans="1:15" x14ac:dyDescent="0.25">
      <c r="B96" s="11" t="s">
        <v>9</v>
      </c>
      <c r="D96" s="33">
        <v>8702264.2799999993</v>
      </c>
      <c r="E96" s="33">
        <v>15954151.18</v>
      </c>
      <c r="F96" s="33"/>
      <c r="G96" s="16">
        <v>3698462.3189999997</v>
      </c>
      <c r="H96" s="27">
        <v>7702519.151965999</v>
      </c>
      <c r="I96" s="33">
        <v>18590067.030412</v>
      </c>
      <c r="J96" s="33"/>
      <c r="K96" s="33"/>
    </row>
    <row r="97" spans="1:11" ht="13.8" x14ac:dyDescent="0.3">
      <c r="B97" s="12" t="s">
        <v>21</v>
      </c>
      <c r="D97" s="33">
        <v>69618.114239999995</v>
      </c>
      <c r="E97" s="27">
        <v>28848.0060882</v>
      </c>
      <c r="F97" s="16"/>
      <c r="G97" s="13">
        <v>53388.391357799999</v>
      </c>
      <c r="H97" s="33">
        <v>83251.661611999996</v>
      </c>
      <c r="I97" s="33">
        <v>32053.340097999997</v>
      </c>
      <c r="J97" s="33"/>
      <c r="K97" s="33">
        <v>176.94604035999998</v>
      </c>
    </row>
    <row r="98" spans="1:11" x14ac:dyDescent="0.25">
      <c r="B98" s="11" t="s">
        <v>10</v>
      </c>
      <c r="D98" s="33">
        <v>8702264.2799999993</v>
      </c>
      <c r="E98" s="33">
        <v>1029999.9581198557</v>
      </c>
      <c r="F98" s="33"/>
      <c r="G98" s="16">
        <v>3698462.3189999997</v>
      </c>
      <c r="H98" s="27">
        <v>7702519.151965999</v>
      </c>
      <c r="I98" s="33">
        <v>1519995.4942399999</v>
      </c>
      <c r="J98" s="33"/>
      <c r="K98" s="33"/>
    </row>
    <row r="99" spans="1:11" ht="13.8" x14ac:dyDescent="0.3">
      <c r="B99" s="12" t="s">
        <v>22</v>
      </c>
      <c r="D99" s="33">
        <v>11457.981302</v>
      </c>
      <c r="E99" s="27">
        <v>19188.4927374</v>
      </c>
      <c r="F99" s="16"/>
      <c r="G99" s="13">
        <v>19188.4927374</v>
      </c>
      <c r="H99" s="33">
        <v>20015.207843999997</v>
      </c>
      <c r="I99" s="33">
        <v>21320.547485999999</v>
      </c>
      <c r="J99" s="33"/>
      <c r="K99" s="33"/>
    </row>
    <row r="100" spans="1:11" ht="13.8" x14ac:dyDescent="0.3">
      <c r="B100" s="12" t="s">
        <v>23</v>
      </c>
      <c r="D100" s="33">
        <v>391601.89259999996</v>
      </c>
      <c r="E100" s="33">
        <v>379998.87355999998</v>
      </c>
      <c r="F100" s="33"/>
      <c r="G100" s="16">
        <v>638166.04719999991</v>
      </c>
      <c r="H100" s="27">
        <v>559990.70641799993</v>
      </c>
      <c r="I100" s="27">
        <v>650059.14171599993</v>
      </c>
      <c r="J100" s="33"/>
      <c r="K100" s="33"/>
    </row>
    <row r="101" spans="1:11" x14ac:dyDescent="0.25">
      <c r="B101" s="8" t="s">
        <v>11</v>
      </c>
      <c r="D101" s="33" t="s">
        <v>24</v>
      </c>
      <c r="E101" s="33">
        <v>0</v>
      </c>
      <c r="F101" s="16"/>
      <c r="G101" s="16"/>
      <c r="H101" s="33" t="s">
        <v>24</v>
      </c>
      <c r="I101" s="33" t="s">
        <v>24</v>
      </c>
      <c r="J101" s="33"/>
      <c r="K101" s="33"/>
    </row>
    <row r="102" spans="1:11" x14ac:dyDescent="0.25">
      <c r="B102" s="8" t="s">
        <v>2</v>
      </c>
      <c r="D102" s="35">
        <v>9.2519685039370077E-3</v>
      </c>
      <c r="E102" s="35">
        <v>1.6929133858267716E-2</v>
      </c>
      <c r="F102" s="17"/>
      <c r="G102" s="17">
        <v>1.1811023622047244E-2</v>
      </c>
      <c r="H102" s="35">
        <v>8.5984251968503952E-3</v>
      </c>
      <c r="I102" s="35">
        <v>6.2007874015748039E-3</v>
      </c>
      <c r="J102" s="35"/>
      <c r="K102" s="29">
        <v>0</v>
      </c>
    </row>
    <row r="103" spans="1:11" ht="13.8" x14ac:dyDescent="0.3">
      <c r="B103" s="12" t="s">
        <v>29</v>
      </c>
      <c r="D103" s="7">
        <v>8702264.2799999993</v>
      </c>
      <c r="E103" s="7">
        <v>15954151.18</v>
      </c>
      <c r="F103" s="7"/>
      <c r="G103" s="7">
        <v>3698462.3189999997</v>
      </c>
      <c r="H103" s="7">
        <v>7702519.151965999</v>
      </c>
      <c r="I103" s="7">
        <v>18590067.030412</v>
      </c>
      <c r="J103" s="7"/>
      <c r="K103" s="7">
        <v>10442.717135999999</v>
      </c>
    </row>
    <row r="104" spans="1:11" ht="13.8" x14ac:dyDescent="0.3">
      <c r="B104" s="12" t="s">
        <v>30</v>
      </c>
      <c r="D104" s="7">
        <v>8702264.2799999993</v>
      </c>
      <c r="E104" s="7">
        <v>973703.66411258571</v>
      </c>
      <c r="F104" s="7"/>
      <c r="G104" s="7">
        <v>3698462.3189999997</v>
      </c>
      <c r="H104" s="7">
        <v>7702519.151965999</v>
      </c>
      <c r="I104" s="7">
        <v>1519995.4942399999</v>
      </c>
      <c r="J104" s="7"/>
      <c r="K104" s="7">
        <v>10442.717135999999</v>
      </c>
    </row>
    <row r="105" spans="1:11" x14ac:dyDescent="0.25">
      <c r="A105" t="s">
        <v>34</v>
      </c>
      <c r="B105" s="12" t="s">
        <v>31</v>
      </c>
      <c r="D105" s="7">
        <v>4126.9841269841263</v>
      </c>
      <c r="E105" s="7">
        <v>5734.2995169082124</v>
      </c>
      <c r="F105" s="7"/>
      <c r="G105" s="7">
        <v>8922.3515248796157</v>
      </c>
      <c r="H105" s="7">
        <v>5314.7632311977723</v>
      </c>
      <c r="I105" s="7">
        <v>5734.2995169082124</v>
      </c>
      <c r="J105" s="7"/>
      <c r="K105" s="131" t="s">
        <v>68</v>
      </c>
    </row>
    <row r="106" spans="1:11" x14ac:dyDescent="0.25">
      <c r="A106" t="s">
        <v>34</v>
      </c>
      <c r="B106" s="12" t="s">
        <v>32</v>
      </c>
      <c r="D106" s="7">
        <v>5512.8617363344065</v>
      </c>
      <c r="E106" s="7">
        <v>4920.3296703296701</v>
      </c>
      <c r="F106" s="7"/>
      <c r="G106" s="7">
        <v>11048.780487804876</v>
      </c>
      <c r="H106" s="7">
        <v>3857.1428571428573</v>
      </c>
      <c r="I106" s="7">
        <v>4920.329670329671</v>
      </c>
      <c r="J106" s="7"/>
      <c r="K106" s="131" t="s">
        <v>68</v>
      </c>
    </row>
    <row r="107" spans="1:11" x14ac:dyDescent="0.25">
      <c r="A107" t="s">
        <v>34</v>
      </c>
      <c r="B107" s="12" t="s">
        <v>35</v>
      </c>
      <c r="D107" s="7"/>
      <c r="E107" s="7"/>
      <c r="F107" s="7"/>
      <c r="G107" s="7"/>
      <c r="H107" s="7"/>
      <c r="I107" s="7"/>
      <c r="J107" s="7"/>
      <c r="K107" s="7"/>
    </row>
    <row r="108" spans="1:11" x14ac:dyDescent="0.25">
      <c r="A108" t="s">
        <v>34</v>
      </c>
      <c r="B108" s="24" t="s">
        <v>36</v>
      </c>
      <c r="D108" s="7"/>
      <c r="E108" s="7"/>
      <c r="F108" s="7"/>
      <c r="G108" s="7"/>
      <c r="H108" s="7"/>
      <c r="I108" s="7"/>
      <c r="J108" s="7"/>
      <c r="K108" s="7"/>
    </row>
    <row r="109" spans="1:11" x14ac:dyDescent="0.25">
      <c r="A109" t="s">
        <v>34</v>
      </c>
      <c r="B109" s="12" t="s">
        <v>37</v>
      </c>
      <c r="D109" s="7"/>
      <c r="E109" s="7"/>
      <c r="F109" s="7"/>
      <c r="G109" s="7"/>
      <c r="H109" s="7"/>
      <c r="I109" s="7"/>
      <c r="J109" s="7"/>
      <c r="K109" s="7"/>
    </row>
    <row r="110" spans="1:11" x14ac:dyDescent="0.25">
      <c r="A110" t="s">
        <v>34</v>
      </c>
      <c r="B110" s="12" t="s">
        <v>38</v>
      </c>
      <c r="D110" s="7"/>
      <c r="E110" s="7"/>
      <c r="F110" s="7"/>
      <c r="G110" s="7"/>
      <c r="H110" s="7"/>
      <c r="I110" s="7"/>
      <c r="J110" s="7"/>
      <c r="K110" s="7"/>
    </row>
    <row r="111" spans="1:11" x14ac:dyDescent="0.25">
      <c r="A111" t="s">
        <v>34</v>
      </c>
      <c r="B111" s="12" t="s">
        <v>39</v>
      </c>
      <c r="D111" s="7"/>
      <c r="E111" s="7"/>
      <c r="F111" s="7"/>
      <c r="G111" s="7"/>
      <c r="H111" s="7"/>
      <c r="I111" s="7"/>
      <c r="J111" s="7"/>
      <c r="K111" s="7"/>
    </row>
    <row r="112" spans="1:11" x14ac:dyDescent="0.25">
      <c r="A112" t="s">
        <v>34</v>
      </c>
      <c r="B112" s="12" t="s">
        <v>40</v>
      </c>
      <c r="D112" s="7"/>
      <c r="E112" s="7"/>
      <c r="F112" s="7"/>
      <c r="G112" s="7"/>
      <c r="H112" s="7"/>
      <c r="I112" s="7"/>
      <c r="J112" s="7"/>
      <c r="K112" s="7"/>
    </row>
    <row r="113" spans="1:15" x14ac:dyDescent="0.25">
      <c r="A113" t="s">
        <v>34</v>
      </c>
      <c r="B113" s="12" t="s">
        <v>41</v>
      </c>
      <c r="D113" s="7"/>
      <c r="E113" s="7"/>
      <c r="F113" s="7"/>
      <c r="G113" s="7"/>
      <c r="H113" s="7"/>
      <c r="I113" s="7"/>
      <c r="J113" s="7"/>
      <c r="K113" s="7"/>
    </row>
    <row r="114" spans="1:15" x14ac:dyDescent="0.25">
      <c r="A114" t="s">
        <v>34</v>
      </c>
      <c r="B114" s="12" t="s">
        <v>42</v>
      </c>
      <c r="D114" s="7"/>
      <c r="E114" s="7"/>
      <c r="F114" s="7"/>
      <c r="G114" s="7"/>
      <c r="H114" s="7"/>
      <c r="I114" s="7"/>
      <c r="J114" s="7"/>
      <c r="K114" s="7"/>
    </row>
    <row r="115" spans="1:15" x14ac:dyDescent="0.25">
      <c r="A115" t="s">
        <v>34</v>
      </c>
      <c r="B115" s="12" t="s">
        <v>43</v>
      </c>
      <c r="D115" s="7"/>
      <c r="E115" s="7"/>
      <c r="F115" s="7"/>
      <c r="G115" s="7"/>
      <c r="H115" s="7"/>
      <c r="I115" s="7"/>
      <c r="J115" s="7"/>
      <c r="K115" s="7"/>
    </row>
    <row r="116" spans="1:15" ht="13.8" thickBot="1" x14ac:dyDescent="0.3">
      <c r="A116" t="s">
        <v>34</v>
      </c>
      <c r="B116" s="12" t="s">
        <v>33</v>
      </c>
      <c r="D116" s="7"/>
      <c r="E116" s="7"/>
      <c r="F116" s="7"/>
      <c r="G116" s="7"/>
      <c r="H116" s="7"/>
      <c r="I116" s="7"/>
      <c r="J116" s="7"/>
      <c r="K116" s="7"/>
    </row>
    <row r="117" spans="1:15" ht="13.8" thickTop="1" x14ac:dyDescent="0.25">
      <c r="B117" s="9" t="s">
        <v>12</v>
      </c>
      <c r="D117" s="32" t="s">
        <v>49</v>
      </c>
      <c r="E117" s="32" t="s">
        <v>50</v>
      </c>
      <c r="F117" s="32">
        <v>0</v>
      </c>
      <c r="G117" s="32" t="s">
        <v>51</v>
      </c>
      <c r="H117" s="32" t="s">
        <v>53</v>
      </c>
      <c r="I117" s="32" t="s">
        <v>52</v>
      </c>
      <c r="J117" s="32" t="str">
        <f>J2</f>
        <v>Pre-Preg S-Glass Cloth</v>
      </c>
      <c r="K117" s="32" t="s">
        <v>54</v>
      </c>
      <c r="L117" s="20" t="str">
        <f>L89</f>
        <v>Blank</v>
      </c>
      <c r="M117" s="20">
        <f>M89</f>
        <v>0</v>
      </c>
      <c r="N117" s="20">
        <f>N89</f>
        <v>0</v>
      </c>
      <c r="O117" s="1"/>
    </row>
    <row r="118" spans="1:15" x14ac:dyDescent="0.25">
      <c r="D118" s="36"/>
      <c r="E118" s="18"/>
      <c r="F118" s="18"/>
      <c r="G118" s="18"/>
      <c r="H118" s="18"/>
      <c r="I118" s="18"/>
      <c r="J118" s="36"/>
      <c r="K118" s="18"/>
    </row>
    <row r="119" spans="1:15" ht="13.8" x14ac:dyDescent="0.3">
      <c r="B119" s="12" t="s">
        <v>15</v>
      </c>
      <c r="D119" s="33">
        <f t="shared" ref="D119:E135" si="1">MIN(D3,D32,D61,D90)</f>
        <v>90213.473035999996</v>
      </c>
      <c r="E119" s="33">
        <f t="shared" si="1"/>
        <v>261328.99632839998</v>
      </c>
      <c r="F119" s="33"/>
      <c r="G119" s="33">
        <f>MIN(G3,G32,G61,G90)</f>
        <v>42815.140257599996</v>
      </c>
      <c r="H119" s="33">
        <f>MIN(H3,H32,H61,H90)</f>
        <v>73969.246379999997</v>
      </c>
      <c r="I119" s="33">
        <f>MIN(I3,I32,I61,I90)</f>
        <v>290365.55147599999</v>
      </c>
      <c r="J119" s="33">
        <f>MIN(J3,J32,J61,J90)</f>
        <v>65008.797894000003</v>
      </c>
      <c r="K119" s="33">
        <f>MIN(K3,K32,K61,K90)</f>
        <v>149.38887013999999</v>
      </c>
    </row>
    <row r="120" spans="1:15" ht="13.8" x14ac:dyDescent="0.3">
      <c r="B120" s="12" t="s">
        <v>16</v>
      </c>
      <c r="D120" s="33">
        <f t="shared" si="1"/>
        <v>8702264.2799999993</v>
      </c>
      <c r="E120" s="33">
        <f t="shared" si="1"/>
        <v>15954151.18</v>
      </c>
      <c r="F120" s="33"/>
      <c r="G120" s="33">
        <f t="shared" ref="G120:I130" si="2">MIN(G4,G33,G62,G91)</f>
        <v>3698462.3189999997</v>
      </c>
      <c r="H120" s="33">
        <f t="shared" si="2"/>
        <v>7702519.151965999</v>
      </c>
      <c r="I120" s="33">
        <f t="shared" si="2"/>
        <v>18590067.030412</v>
      </c>
      <c r="J120" s="33">
        <f t="shared" ref="J120:K135" si="3">MIN(J4,J33,J62,J91)</f>
        <v>5003800.6500000004</v>
      </c>
      <c r="K120" s="33">
        <f t="shared" si="3"/>
        <v>5700.0005079285593</v>
      </c>
    </row>
    <row r="121" spans="1:15" ht="13.8" x14ac:dyDescent="0.3">
      <c r="B121" s="12" t="s">
        <v>17</v>
      </c>
      <c r="D121" s="33">
        <f t="shared" si="1"/>
        <v>76434.887925999996</v>
      </c>
      <c r="E121" s="33">
        <f t="shared" si="1"/>
        <v>1696.9415346000001</v>
      </c>
      <c r="F121" s="33"/>
      <c r="G121" s="33">
        <f t="shared" si="2"/>
        <v>34335.267175866669</v>
      </c>
      <c r="H121" s="33">
        <f t="shared" si="2"/>
        <v>63091.416029999993</v>
      </c>
      <c r="I121" s="33">
        <f t="shared" si="2"/>
        <v>1885.4905939999999</v>
      </c>
      <c r="J121" s="33">
        <f t="shared" si="3"/>
        <v>65008.797894000003</v>
      </c>
      <c r="K121" s="33">
        <f t="shared" si="3"/>
        <v>149.38887013999999</v>
      </c>
    </row>
    <row r="122" spans="1:15" ht="13.8" x14ac:dyDescent="0.3">
      <c r="B122" s="12" t="s">
        <v>18</v>
      </c>
      <c r="D122" s="33">
        <f t="shared" si="1"/>
        <v>8702264.2799999993</v>
      </c>
      <c r="E122" s="33">
        <f t="shared" si="1"/>
        <v>917407.3701053157</v>
      </c>
      <c r="F122" s="33"/>
      <c r="G122" s="33">
        <f t="shared" si="2"/>
        <v>3698462.3189999997</v>
      </c>
      <c r="H122" s="33">
        <f t="shared" si="2"/>
        <v>7702519.151965999</v>
      </c>
      <c r="I122" s="33">
        <f t="shared" si="2"/>
        <v>1519995.4942399999</v>
      </c>
      <c r="J122" s="33">
        <f t="shared" si="3"/>
        <v>5003800.6500000004</v>
      </c>
      <c r="K122" s="33">
        <f t="shared" si="3"/>
        <v>5700.0005079285593</v>
      </c>
    </row>
    <row r="123" spans="1:15" ht="13.8" x14ac:dyDescent="0.3">
      <c r="B123" s="12" t="s">
        <v>19</v>
      </c>
      <c r="D123" s="33">
        <f t="shared" si="1"/>
        <v>0.03</v>
      </c>
      <c r="E123" s="33">
        <f t="shared" si="1"/>
        <v>0.314</v>
      </c>
      <c r="F123" s="33"/>
      <c r="G123" s="33">
        <f t="shared" si="2"/>
        <v>0.157</v>
      </c>
      <c r="H123" s="33">
        <f t="shared" si="2"/>
        <v>5.8999999999999997E-2</v>
      </c>
      <c r="I123" s="33">
        <f t="shared" si="2"/>
        <v>0.31900000000000001</v>
      </c>
      <c r="J123" s="33">
        <f t="shared" si="3"/>
        <v>0.1</v>
      </c>
      <c r="K123" s="33">
        <f t="shared" si="3"/>
        <v>0.37</v>
      </c>
    </row>
    <row r="124" spans="1:15" ht="13.8" x14ac:dyDescent="0.3">
      <c r="B124" s="12" t="s">
        <v>20</v>
      </c>
      <c r="D124" s="33">
        <f t="shared" si="1"/>
        <v>54824.264963999995</v>
      </c>
      <c r="E124" s="33">
        <f t="shared" si="1"/>
        <v>81061.591768199985</v>
      </c>
      <c r="F124" s="33"/>
      <c r="G124" s="33">
        <f t="shared" si="2"/>
        <v>48191.205746133324</v>
      </c>
      <c r="H124" s="33">
        <f t="shared" si="2"/>
        <v>52068.547941999997</v>
      </c>
      <c r="I124" s="33">
        <f t="shared" si="2"/>
        <v>90068.435297999997</v>
      </c>
      <c r="J124" s="33">
        <f t="shared" si="3"/>
        <v>65008.797894000003</v>
      </c>
      <c r="K124" s="33">
        <f t="shared" si="3"/>
        <v>91.37377493999999</v>
      </c>
    </row>
    <row r="125" spans="1:15" x14ac:dyDescent="0.25">
      <c r="B125" s="11" t="s">
        <v>9</v>
      </c>
      <c r="D125" s="33">
        <f t="shared" si="1"/>
        <v>8702264.2799999993</v>
      </c>
      <c r="E125" s="33">
        <f t="shared" si="1"/>
        <v>15954151.18</v>
      </c>
      <c r="F125" s="33"/>
      <c r="G125" s="33">
        <f t="shared" si="2"/>
        <v>3698462.3189999997</v>
      </c>
      <c r="H125" s="33">
        <f t="shared" si="2"/>
        <v>7702519.151965999</v>
      </c>
      <c r="I125" s="33">
        <f t="shared" si="2"/>
        <v>18590067.030412</v>
      </c>
      <c r="J125" s="33">
        <f t="shared" si="3"/>
        <v>5003800.6500000004</v>
      </c>
      <c r="K125" s="33">
        <f t="shared" si="3"/>
        <v>5700.0005079285593</v>
      </c>
    </row>
    <row r="126" spans="1:15" ht="13.8" x14ac:dyDescent="0.3">
      <c r="B126" s="12" t="s">
        <v>21</v>
      </c>
      <c r="D126" s="33">
        <f t="shared" si="1"/>
        <v>50763.208299999998</v>
      </c>
      <c r="E126" s="33">
        <f t="shared" si="1"/>
        <v>9790.0473149999998</v>
      </c>
      <c r="F126" s="33"/>
      <c r="G126" s="33">
        <f t="shared" si="2"/>
        <v>34069.364656199999</v>
      </c>
      <c r="H126" s="33">
        <f t="shared" si="2"/>
        <v>48297.566753999999</v>
      </c>
      <c r="I126" s="33">
        <f t="shared" si="2"/>
        <v>10877.83035</v>
      </c>
      <c r="J126" s="33">
        <f t="shared" si="3"/>
        <v>65008.797894000003</v>
      </c>
      <c r="K126" s="33">
        <f t="shared" si="3"/>
        <v>91.37377493999999</v>
      </c>
    </row>
    <row r="127" spans="1:15" x14ac:dyDescent="0.25">
      <c r="B127" s="11" t="s">
        <v>10</v>
      </c>
      <c r="D127" s="33">
        <f t="shared" si="1"/>
        <v>8702264.2799999993</v>
      </c>
      <c r="E127" s="33">
        <f t="shared" si="1"/>
        <v>1029999.9581198557</v>
      </c>
      <c r="F127" s="33"/>
      <c r="G127" s="33">
        <f t="shared" si="2"/>
        <v>3698462.3189999997</v>
      </c>
      <c r="H127" s="33">
        <f t="shared" si="2"/>
        <v>7702519.151965999</v>
      </c>
      <c r="I127" s="33">
        <f t="shared" si="2"/>
        <v>1519995.4942399999</v>
      </c>
      <c r="J127" s="33">
        <f t="shared" si="3"/>
        <v>5003800.6500000004</v>
      </c>
      <c r="K127" s="33">
        <f t="shared" si="3"/>
        <v>5700.0005079285593</v>
      </c>
    </row>
    <row r="128" spans="1:15" ht="13.8" x14ac:dyDescent="0.3">
      <c r="B128" s="12" t="s">
        <v>22</v>
      </c>
      <c r="D128" s="33">
        <f t="shared" si="1"/>
        <v>7106.8491619999995</v>
      </c>
      <c r="E128" s="33">
        <f t="shared" si="1"/>
        <v>8223.6397445999992</v>
      </c>
      <c r="F128" s="33"/>
      <c r="G128" s="33">
        <f t="shared" si="2"/>
        <v>11254.928468800001</v>
      </c>
      <c r="H128" s="33">
        <f t="shared" si="2"/>
        <v>11167.905825999998</v>
      </c>
      <c r="I128" s="33">
        <f t="shared" si="2"/>
        <v>9137.3774940000003</v>
      </c>
      <c r="J128" s="33">
        <f t="shared" si="3"/>
        <v>10177.295409</v>
      </c>
      <c r="K128" s="33">
        <f t="shared" si="3"/>
        <v>69.618114239999997</v>
      </c>
    </row>
    <row r="129" spans="1:11" ht="13.8" x14ac:dyDescent="0.3">
      <c r="B129" s="12" t="s">
        <v>23</v>
      </c>
      <c r="D129" s="33">
        <f t="shared" si="1"/>
        <v>391601.89259999996</v>
      </c>
      <c r="E129" s="33">
        <f t="shared" si="1"/>
        <v>379998.87355999998</v>
      </c>
      <c r="F129" s="33"/>
      <c r="G129" s="33">
        <f t="shared" si="2"/>
        <v>638166.04719999991</v>
      </c>
      <c r="H129" s="33">
        <f t="shared" si="2"/>
        <v>559990.70641799993</v>
      </c>
      <c r="I129" s="33">
        <f t="shared" si="2"/>
        <v>650059.14171599993</v>
      </c>
      <c r="J129" s="33">
        <f t="shared" si="3"/>
        <v>459769.50900000002</v>
      </c>
      <c r="K129" s="33">
        <f t="shared" si="3"/>
        <v>2175.0004228217999</v>
      </c>
    </row>
    <row r="130" spans="1:11" x14ac:dyDescent="0.25">
      <c r="B130" s="8" t="s">
        <v>11</v>
      </c>
      <c r="D130" s="33">
        <f t="shared" si="1"/>
        <v>0</v>
      </c>
      <c r="E130" s="33">
        <f t="shared" si="1"/>
        <v>0</v>
      </c>
      <c r="F130" s="33"/>
      <c r="G130" s="33">
        <f t="shared" si="2"/>
        <v>0</v>
      </c>
      <c r="H130" s="33">
        <f t="shared" si="2"/>
        <v>0</v>
      </c>
      <c r="I130" s="33">
        <f t="shared" si="2"/>
        <v>0</v>
      </c>
      <c r="J130" s="33">
        <f t="shared" si="3"/>
        <v>0</v>
      </c>
      <c r="K130" s="33">
        <f t="shared" si="3"/>
        <v>0</v>
      </c>
    </row>
    <row r="131" spans="1:11" x14ac:dyDescent="0.25">
      <c r="B131" s="8" t="s">
        <v>2</v>
      </c>
      <c r="D131" s="29">
        <f t="shared" si="1"/>
        <v>9.2519685039370077E-3</v>
      </c>
      <c r="E131" s="29">
        <f t="shared" si="1"/>
        <v>1.6929133858267716E-2</v>
      </c>
      <c r="F131" s="133"/>
      <c r="G131" s="29">
        <f>G15</f>
        <v>1.1811023622047244E-2</v>
      </c>
      <c r="H131" s="29">
        <f>H15</f>
        <v>8.5984251968503952E-3</v>
      </c>
      <c r="I131" s="29">
        <f>I15</f>
        <v>6.2007874015748039E-3</v>
      </c>
      <c r="J131" s="29">
        <f>J15</f>
        <v>9.0000000000000011E-3</v>
      </c>
      <c r="K131" s="29">
        <f>K15</f>
        <v>0</v>
      </c>
    </row>
    <row r="132" spans="1:11" ht="13.8" x14ac:dyDescent="0.3">
      <c r="B132" s="12" t="s">
        <v>29</v>
      </c>
      <c r="D132" s="33">
        <f t="shared" si="1"/>
        <v>8702264.2799999993</v>
      </c>
      <c r="E132" s="33">
        <f t="shared" si="1"/>
        <v>15954151.18</v>
      </c>
      <c r="F132" s="7"/>
      <c r="G132" s="33">
        <f t="shared" ref="G132:I135" si="4">MIN(G16,G45,G74,G103)</f>
        <v>3698462.3189999997</v>
      </c>
      <c r="H132" s="33">
        <f t="shared" si="4"/>
        <v>7702519.151965999</v>
      </c>
      <c r="I132" s="33">
        <f t="shared" si="4"/>
        <v>18590067.030412</v>
      </c>
      <c r="J132" s="33">
        <f t="shared" si="3"/>
        <v>5003800.6500000004</v>
      </c>
      <c r="K132" s="33">
        <f t="shared" si="3"/>
        <v>5700.0005079285593</v>
      </c>
    </row>
    <row r="133" spans="1:11" ht="13.8" x14ac:dyDescent="0.3">
      <c r="B133" s="12" t="s">
        <v>30</v>
      </c>
      <c r="D133" s="33">
        <f t="shared" si="1"/>
        <v>8702264.2799999993</v>
      </c>
      <c r="E133" s="33">
        <f t="shared" si="1"/>
        <v>973703.66411258571</v>
      </c>
      <c r="F133" s="7"/>
      <c r="G133" s="33">
        <f t="shared" si="4"/>
        <v>3698462.3189999997</v>
      </c>
      <c r="H133" s="33">
        <f t="shared" si="4"/>
        <v>7702519.151965999</v>
      </c>
      <c r="I133" s="33">
        <f t="shared" si="4"/>
        <v>1519995.4942399999</v>
      </c>
      <c r="J133" s="33">
        <f t="shared" si="3"/>
        <v>5003800.6500000004</v>
      </c>
      <c r="K133" s="33">
        <f t="shared" si="3"/>
        <v>5700.0005079285593</v>
      </c>
    </row>
    <row r="134" spans="1:11" x14ac:dyDescent="0.25">
      <c r="A134" t="s">
        <v>34</v>
      </c>
      <c r="B134" s="12" t="s">
        <v>31</v>
      </c>
      <c r="D134" s="33">
        <f t="shared" si="1"/>
        <v>3000</v>
      </c>
      <c r="E134" s="33">
        <f t="shared" si="1"/>
        <v>3000</v>
      </c>
      <c r="G134" s="33">
        <f t="shared" si="4"/>
        <v>6000</v>
      </c>
      <c r="H134" s="33">
        <f t="shared" si="4"/>
        <v>3000</v>
      </c>
      <c r="I134" s="33">
        <f t="shared" si="4"/>
        <v>3000</v>
      </c>
      <c r="J134" s="33">
        <f t="shared" si="3"/>
        <v>6000</v>
      </c>
      <c r="K134" s="33">
        <f t="shared" si="3"/>
        <v>0</v>
      </c>
    </row>
    <row r="135" spans="1:11" x14ac:dyDescent="0.25">
      <c r="A135" t="s">
        <v>34</v>
      </c>
      <c r="B135" s="12" t="s">
        <v>32</v>
      </c>
      <c r="D135" s="33">
        <f t="shared" si="1"/>
        <v>4500</v>
      </c>
      <c r="E135" s="33">
        <f t="shared" si="1"/>
        <v>4500</v>
      </c>
      <c r="G135" s="33">
        <f t="shared" si="4"/>
        <v>8000</v>
      </c>
      <c r="H135" s="33">
        <f t="shared" si="4"/>
        <v>3857.1428571428573</v>
      </c>
      <c r="I135" s="33">
        <f t="shared" si="4"/>
        <v>4500</v>
      </c>
      <c r="J135" s="33">
        <f t="shared" si="3"/>
        <v>8000</v>
      </c>
      <c r="K135" s="33">
        <f t="shared" si="3"/>
        <v>0</v>
      </c>
    </row>
    <row r="136" spans="1:11" x14ac:dyDescent="0.25">
      <c r="A136" t="s">
        <v>34</v>
      </c>
      <c r="B136" s="12" t="s">
        <v>35</v>
      </c>
    </row>
    <row r="137" spans="1:11" x14ac:dyDescent="0.25">
      <c r="A137" t="s">
        <v>34</v>
      </c>
      <c r="B137" s="24" t="s">
        <v>36</v>
      </c>
    </row>
    <row r="138" spans="1:11" x14ac:dyDescent="0.25">
      <c r="A138" t="s">
        <v>34</v>
      </c>
      <c r="B138" s="12" t="s">
        <v>37</v>
      </c>
    </row>
    <row r="139" spans="1:11" x14ac:dyDescent="0.25">
      <c r="A139" t="s">
        <v>34</v>
      </c>
      <c r="B139" s="12" t="s">
        <v>38</v>
      </c>
    </row>
    <row r="140" spans="1:11" x14ac:dyDescent="0.25">
      <c r="A140" t="s">
        <v>34</v>
      </c>
      <c r="B140" s="12" t="s">
        <v>39</v>
      </c>
    </row>
    <row r="141" spans="1:11" x14ac:dyDescent="0.25">
      <c r="A141" t="s">
        <v>34</v>
      </c>
      <c r="B141" s="12" t="s">
        <v>40</v>
      </c>
    </row>
    <row r="142" spans="1:11" x14ac:dyDescent="0.25">
      <c r="A142" t="s">
        <v>34</v>
      </c>
      <c r="B142" s="12" t="s">
        <v>41</v>
      </c>
    </row>
    <row r="143" spans="1:11" x14ac:dyDescent="0.25">
      <c r="A143" t="s">
        <v>34</v>
      </c>
      <c r="B143" s="12" t="s">
        <v>42</v>
      </c>
    </row>
    <row r="144" spans="1:11" x14ac:dyDescent="0.25">
      <c r="A144" t="s">
        <v>34</v>
      </c>
      <c r="B144" s="12" t="s">
        <v>43</v>
      </c>
    </row>
    <row r="145" spans="1:2" x14ac:dyDescent="0.25">
      <c r="A145" t="s">
        <v>34</v>
      </c>
      <c r="B145" s="12" t="s">
        <v>33</v>
      </c>
    </row>
  </sheetData>
  <phoneticPr fontId="4"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 ME</vt:lpstr>
      <vt:lpstr>FACING PLY</vt:lpstr>
      <vt:lpstr>Matl</vt:lpstr>
      <vt:lpstr>'FACING PLY'!Print_Area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Laminar stress and failure criteria</dc:title>
  <dc:subject>Standard Methods</dc:subject>
  <dc:creator>www.abbottaerospace.com;rabbott@abbottaerospace.com</dc:creator>
  <cp:keywords>Stress; Structures; Analysis; Method; Standard</cp:keywords>
  <dc:description>N/A</dc:description>
  <cp:lastModifiedBy>Richard Abbott</cp:lastModifiedBy>
  <cp:lastPrinted>2009-04-23T14:21:48Z</cp:lastPrinted>
  <dcterms:created xsi:type="dcterms:W3CDTF">2008-11-19T17:15:48Z</dcterms:created>
  <dcterms:modified xsi:type="dcterms:W3CDTF">2016-03-19T23:11:05Z</dcterms:modified>
  <cp:category>Engineering Spreadsheets;Analysis;AA-SM</cp:category>
  <cp:contentStatus>Released</cp:contentStatus>
</cp:coreProperties>
</file>