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36" yWindow="60" windowWidth="17400" windowHeight="12336" activeTab="1"/>
  </bookViews>
  <sheets>
    <sheet name="READ ME" sheetId="7" r:id="rId1"/>
    <sheet name="ANALYSIS" sheetId="6" r:id="rId2"/>
  </sheets>
  <externalReferences>
    <externalReference r:id="rId3"/>
    <externalReference r:id="rId4"/>
  </externalReferences>
  <definedNames>
    <definedName name="_xlnm.Print_Area" localSheetId="1">ANALYSIS!$A$8:$K$60</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12" i="7" l="1"/>
  <c r="B12" i="6"/>
  <c r="F11" i="6"/>
  <c r="L10" i="6"/>
  <c r="J10" i="6" s="1"/>
  <c r="F10" i="6"/>
  <c r="J9" i="6"/>
  <c r="F9" i="6"/>
  <c r="J8" i="6"/>
  <c r="F8" i="6"/>
  <c r="J28" i="6" l="1"/>
  <c r="BI48" i="6" l="1"/>
  <c r="BI50" i="6" s="1"/>
  <c r="BG49" i="6"/>
  <c r="BG47" i="6"/>
  <c r="BG50" i="6"/>
  <c r="AF71" i="6"/>
  <c r="AF74" i="6" s="1"/>
  <c r="AF73" i="6"/>
  <c r="AF69" i="6"/>
  <c r="AF70" i="6"/>
  <c r="AF72" i="6"/>
  <c r="J26" i="6" l="1"/>
  <c r="G26" i="6"/>
  <c r="G21" i="6"/>
  <c r="G20" i="6"/>
  <c r="G19" i="6"/>
  <c r="AB83" i="6"/>
  <c r="Y83" i="6"/>
  <c r="Y86" i="6" s="1"/>
  <c r="Y78" i="6"/>
  <c r="Y77" i="6"/>
  <c r="Y76" i="6"/>
  <c r="Y84" i="6"/>
  <c r="Y85" i="6"/>
  <c r="G17" i="6"/>
  <c r="G24" i="6"/>
  <c r="AB82" i="6"/>
  <c r="AB74" i="6"/>
  <c r="Y74" i="6"/>
  <c r="Y81" i="6"/>
  <c r="AB75" i="6"/>
  <c r="G18" i="6"/>
  <c r="Y75" i="6"/>
  <c r="J25" i="6"/>
  <c r="AB77" i="6"/>
  <c r="G25" i="6"/>
  <c r="AB78" i="6"/>
  <c r="AB81" i="6"/>
  <c r="J24" i="6"/>
  <c r="Y82" i="6"/>
  <c r="AB79" i="6" l="1"/>
  <c r="J22" i="6"/>
  <c r="BK22" i="6"/>
  <c r="BK24" i="6"/>
  <c r="J19" i="6"/>
  <c r="BI23" i="6"/>
  <c r="G29" i="6"/>
  <c r="AB76" i="6"/>
  <c r="J20" i="6"/>
  <c r="J21" i="6"/>
  <c r="J18" i="6"/>
  <c r="G28" i="6"/>
  <c r="J17" i="6"/>
  <c r="G27" i="6"/>
  <c r="E37" i="6" l="1"/>
  <c r="BH47" i="6" s="1"/>
  <c r="BH49" i="6" s="1"/>
  <c r="BJ50" i="6" s="1"/>
  <c r="BK50" i="6"/>
  <c r="BM49" i="6"/>
  <c r="BM47" i="6"/>
  <c r="BK47" i="6" l="1"/>
  <c r="BJ48" i="6"/>
  <c r="BM48" i="6" s="1"/>
  <c r="BK49" i="6"/>
  <c r="AE24" i="6"/>
  <c r="AF24" i="6" s="1"/>
  <c r="AG24" i="6" l="1"/>
  <c r="E35" i="6" l="1"/>
  <c r="BI21" i="6"/>
  <c r="AW19" i="6"/>
  <c r="AL19" i="6"/>
  <c r="AW18" i="6"/>
  <c r="AL18" i="6"/>
  <c r="E36" i="6" l="1"/>
  <c r="E34" i="6"/>
  <c r="E32" i="6"/>
  <c r="E33" i="6"/>
  <c r="BG24" i="6"/>
  <c r="BG23" i="6"/>
  <c r="BG21" i="6"/>
  <c r="BG22" i="6"/>
  <c r="BM22" i="6" s="1"/>
  <c r="AW17" i="6"/>
  <c r="AL17" i="6"/>
  <c r="AY38" i="6" l="1"/>
  <c r="AN38" i="6"/>
  <c r="BO55" i="6"/>
  <c r="BO53" i="6"/>
  <c r="BM24" i="6"/>
  <c r="BK23" i="6"/>
  <c r="BM23" i="6" s="1"/>
  <c r="BO49" i="6" s="1"/>
  <c r="C55" i="6" s="1"/>
  <c r="BM21" i="6"/>
  <c r="AW16" i="6"/>
  <c r="AL16" i="6"/>
  <c r="X7" i="6"/>
  <c r="X6" i="6"/>
  <c r="X5" i="6"/>
  <c r="X4" i="6"/>
  <c r="X3" i="6"/>
  <c r="X2" i="6"/>
  <c r="X1" i="6" l="1"/>
  <c r="F52" i="6"/>
  <c r="BO47" i="6"/>
  <c r="C43" i="6" s="1"/>
  <c r="F48" i="6"/>
  <c r="AZ38" i="6"/>
  <c r="BA38" i="6" s="1"/>
  <c r="AY37" i="6"/>
  <c r="BB38" i="6"/>
  <c r="AY39" i="6"/>
  <c r="AB39" i="6"/>
  <c r="AC39" i="6" s="1"/>
  <c r="AN39" i="6"/>
  <c r="AO38" i="6"/>
  <c r="AP38" i="6" s="1"/>
  <c r="W39" i="6"/>
  <c r="X39" i="6" s="1"/>
  <c r="AN37" i="6"/>
  <c r="AQ38" i="6"/>
  <c r="AZ39" i="6" l="1"/>
  <c r="BA39" i="6" s="1"/>
  <c r="BB39" i="6"/>
  <c r="AY40" i="6"/>
  <c r="AB40" i="6"/>
  <c r="AC40" i="6" s="1"/>
  <c r="AO39" i="6"/>
  <c r="AP39" i="6" s="1"/>
  <c r="W40" i="6"/>
  <c r="X40" i="6" s="1"/>
  <c r="AQ39" i="6"/>
  <c r="AN40" i="6"/>
  <c r="AQ37" i="6"/>
  <c r="W38" i="6"/>
  <c r="X38" i="6" s="1"/>
  <c r="AO37" i="6"/>
  <c r="AP37" i="6" s="1"/>
  <c r="AN36" i="6"/>
  <c r="AB38" i="6"/>
  <c r="AC38" i="6" s="1"/>
  <c r="AZ37" i="6"/>
  <c r="BA37" i="6" s="1"/>
  <c r="AY36" i="6"/>
  <c r="BB37" i="6"/>
  <c r="AR38" i="6"/>
  <c r="BC38" i="6"/>
  <c r="BC39" i="6" l="1"/>
  <c r="AR37" i="6"/>
  <c r="AB37" i="6"/>
  <c r="AC37" i="6" s="1"/>
  <c r="BB36" i="6"/>
  <c r="AZ36" i="6"/>
  <c r="BA36" i="6" s="1"/>
  <c r="AY35" i="6"/>
  <c r="BB40" i="6"/>
  <c r="AB41" i="6"/>
  <c r="AC41" i="6" s="1"/>
  <c r="AY41" i="6"/>
  <c r="AZ40" i="6"/>
  <c r="BA40" i="6" s="1"/>
  <c r="BC37" i="6"/>
  <c r="BO52" i="6"/>
  <c r="BM50" i="6"/>
  <c r="BO50" i="6" s="1"/>
  <c r="A49" i="6" s="1"/>
  <c r="AO36" i="6"/>
  <c r="AP36" i="6" s="1"/>
  <c r="W37" i="6"/>
  <c r="X37" i="6" s="1"/>
  <c r="AQ36" i="6"/>
  <c r="AN35" i="6"/>
  <c r="BK48" i="6"/>
  <c r="BO48" i="6" s="1"/>
  <c r="E49" i="6" s="1"/>
  <c r="AR39" i="6"/>
  <c r="AO40" i="6"/>
  <c r="AP40" i="6" s="1"/>
  <c r="AQ40" i="6"/>
  <c r="W41" i="6"/>
  <c r="X41" i="6" s="1"/>
  <c r="AN41" i="6"/>
  <c r="BC40" i="6" l="1"/>
  <c r="AR40" i="6"/>
  <c r="BC36" i="6"/>
  <c r="BB35" i="6"/>
  <c r="AB36" i="6"/>
  <c r="AC36" i="6" s="1"/>
  <c r="AZ35" i="6"/>
  <c r="BA35" i="6" s="1"/>
  <c r="AY34" i="6"/>
  <c r="AO41" i="6"/>
  <c r="AP41" i="6" s="1"/>
  <c r="W42" i="6"/>
  <c r="X42" i="6" s="1"/>
  <c r="AQ41" i="6"/>
  <c r="AN42" i="6"/>
  <c r="BB41" i="6"/>
  <c r="AY42" i="6"/>
  <c r="AB42" i="6"/>
  <c r="AC42" i="6" s="1"/>
  <c r="AZ41" i="6"/>
  <c r="BA41" i="6" s="1"/>
  <c r="AR36" i="6"/>
  <c r="BO54" i="6"/>
  <c r="BO51" i="6"/>
  <c r="W36" i="6"/>
  <c r="X36" i="6" s="1"/>
  <c r="AQ35" i="6"/>
  <c r="AN34" i="6"/>
  <c r="AO35" i="6"/>
  <c r="AP35" i="6" s="1"/>
  <c r="AR35" i="6" l="1"/>
  <c r="BC41" i="6"/>
  <c r="BC35" i="6"/>
  <c r="F44" i="6"/>
  <c r="AR41" i="6"/>
  <c r="AO42" i="6"/>
  <c r="AP42" i="6" s="1"/>
  <c r="AQ42" i="6"/>
  <c r="AN43" i="6"/>
  <c r="W43" i="6"/>
  <c r="X43" i="6" s="1"/>
  <c r="BB34" i="6"/>
  <c r="AB35" i="6"/>
  <c r="AC35" i="6" s="1"/>
  <c r="AZ34" i="6"/>
  <c r="BA34" i="6" s="1"/>
  <c r="AY33" i="6"/>
  <c r="AO34" i="6"/>
  <c r="AP34" i="6" s="1"/>
  <c r="AN33" i="6"/>
  <c r="W35" i="6"/>
  <c r="X35" i="6" s="1"/>
  <c r="AQ34" i="6"/>
  <c r="AY43" i="6"/>
  <c r="AB43" i="6"/>
  <c r="AC43" i="6" s="1"/>
  <c r="AZ42" i="6"/>
  <c r="BA42" i="6" s="1"/>
  <c r="BB42" i="6"/>
  <c r="BO57" i="6"/>
  <c r="K57" i="6" l="1"/>
  <c r="AY32" i="6"/>
  <c r="BB33" i="6"/>
  <c r="AB34" i="6"/>
  <c r="AC34" i="6" s="1"/>
  <c r="AZ33" i="6"/>
  <c r="BA33" i="6" s="1"/>
  <c r="BC42" i="6"/>
  <c r="AO33" i="6"/>
  <c r="AP33" i="6" s="1"/>
  <c r="AN32" i="6"/>
  <c r="W34" i="6"/>
  <c r="X34" i="6" s="1"/>
  <c r="AQ33" i="6"/>
  <c r="AR42" i="6"/>
  <c r="W44" i="6"/>
  <c r="X44" i="6" s="1"/>
  <c r="AQ43" i="6"/>
  <c r="AN44" i="6"/>
  <c r="AO43" i="6"/>
  <c r="AP43" i="6" s="1"/>
  <c r="AR34" i="6"/>
  <c r="AY44" i="6"/>
  <c r="AB44" i="6"/>
  <c r="AC44" i="6" s="1"/>
  <c r="AZ43" i="6"/>
  <c r="BA43" i="6" s="1"/>
  <c r="BB43" i="6"/>
  <c r="BC34" i="6"/>
  <c r="J57" i="6"/>
  <c r="AR43" i="6" l="1"/>
  <c r="BC33" i="6"/>
  <c r="AR33" i="6"/>
  <c r="AB33" i="6"/>
  <c r="AC33" i="6" s="1"/>
  <c r="BB32" i="6"/>
  <c r="AY31" i="6"/>
  <c r="AZ32" i="6"/>
  <c r="BA32" i="6" s="1"/>
  <c r="BC43" i="6"/>
  <c r="AN45" i="6"/>
  <c r="AO44" i="6"/>
  <c r="AP44" i="6" s="1"/>
  <c r="AQ44" i="6"/>
  <c r="W45" i="6"/>
  <c r="X45" i="6" s="1"/>
  <c r="AO32" i="6"/>
  <c r="AP32" i="6" s="1"/>
  <c r="AN31" i="6"/>
  <c r="W33" i="6"/>
  <c r="X33" i="6" s="1"/>
  <c r="AQ32" i="6"/>
  <c r="AB45" i="6"/>
  <c r="AC45" i="6" s="1"/>
  <c r="AZ44" i="6"/>
  <c r="BA44" i="6" s="1"/>
  <c r="BB44" i="6"/>
  <c r="AY45" i="6"/>
  <c r="BC32" i="6" l="1"/>
  <c r="AZ45" i="6"/>
  <c r="BA45" i="6" s="1"/>
  <c r="BB45" i="6"/>
  <c r="AY46" i="6"/>
  <c r="AB46" i="6"/>
  <c r="AC46" i="6" s="1"/>
  <c r="W32" i="6"/>
  <c r="X32" i="6" s="1"/>
  <c r="AO31" i="6"/>
  <c r="AP31" i="6" s="1"/>
  <c r="AN30" i="6"/>
  <c r="AQ31" i="6"/>
  <c r="AZ31" i="6"/>
  <c r="BA31" i="6" s="1"/>
  <c r="AY30" i="6"/>
  <c r="BB31" i="6"/>
  <c r="AB32" i="6"/>
  <c r="AC32" i="6" s="1"/>
  <c r="AR32" i="6"/>
  <c r="AN46" i="6"/>
  <c r="AO45" i="6"/>
  <c r="AP45" i="6" s="1"/>
  <c r="W46" i="6"/>
  <c r="X46" i="6" s="1"/>
  <c r="AQ45" i="6"/>
  <c r="BC44" i="6"/>
  <c r="AR44" i="6"/>
  <c r="BC45" i="6" l="1"/>
  <c r="AR45" i="6"/>
  <c r="AB31" i="6"/>
  <c r="AC31" i="6" s="1"/>
  <c r="AZ30" i="6"/>
  <c r="BA30" i="6" s="1"/>
  <c r="BB30" i="6"/>
  <c r="AY29" i="6"/>
  <c r="BB46" i="6"/>
  <c r="AY47" i="6"/>
  <c r="AB47" i="6"/>
  <c r="AC47" i="6" s="1"/>
  <c r="AZ46" i="6"/>
  <c r="BA46" i="6" s="1"/>
  <c r="BC31" i="6"/>
  <c r="AO46" i="6"/>
  <c r="AP46" i="6" s="1"/>
  <c r="W47" i="6"/>
  <c r="X47" i="6" s="1"/>
  <c r="AQ46" i="6"/>
  <c r="AN47" i="6"/>
  <c r="W31" i="6"/>
  <c r="X31" i="6" s="1"/>
  <c r="AQ30" i="6"/>
  <c r="AN29" i="6"/>
  <c r="AO30" i="6"/>
  <c r="AP30" i="6" s="1"/>
  <c r="AR31" i="6"/>
  <c r="BC46" i="6" l="1"/>
  <c r="BC30" i="6"/>
  <c r="AZ29" i="6"/>
  <c r="BA29" i="6" s="1"/>
  <c r="AB30" i="6"/>
  <c r="AC30" i="6" s="1"/>
  <c r="BB29" i="6"/>
  <c r="AY28" i="6"/>
  <c r="AR46" i="6"/>
  <c r="AN48" i="6"/>
  <c r="AQ47" i="6"/>
  <c r="W48" i="6"/>
  <c r="X48" i="6" s="1"/>
  <c r="AO47" i="6"/>
  <c r="AP47" i="6" s="1"/>
  <c r="AZ47" i="6"/>
  <c r="BA47" i="6" s="1"/>
  <c r="AY48" i="6"/>
  <c r="AB48" i="6"/>
  <c r="AC48" i="6" s="1"/>
  <c r="BB47" i="6"/>
  <c r="AR30" i="6"/>
  <c r="W30" i="6"/>
  <c r="X30" i="6" s="1"/>
  <c r="AN28" i="6"/>
  <c r="AO29" i="6"/>
  <c r="AP29" i="6" s="1"/>
  <c r="AQ29" i="6"/>
  <c r="W29" i="6" l="1"/>
  <c r="X29" i="6" s="1"/>
  <c r="AO28" i="6"/>
  <c r="AP28" i="6" s="1"/>
  <c r="AQ28" i="6"/>
  <c r="AN27" i="6"/>
  <c r="AR29" i="6"/>
  <c r="BB48" i="6"/>
  <c r="AY49" i="6"/>
  <c r="AB49" i="6"/>
  <c r="AC49" i="6" s="1"/>
  <c r="AZ48" i="6"/>
  <c r="BA48" i="6" s="1"/>
  <c r="BC29" i="6"/>
  <c r="AB29" i="6"/>
  <c r="AC29" i="6" s="1"/>
  <c r="BB28" i="6"/>
  <c r="AZ28" i="6"/>
  <c r="BA28" i="6" s="1"/>
  <c r="AY27" i="6"/>
  <c r="BC47" i="6"/>
  <c r="W49" i="6"/>
  <c r="X49" i="6" s="1"/>
  <c r="AO48" i="6"/>
  <c r="AP48" i="6" s="1"/>
  <c r="AQ48" i="6"/>
  <c r="AN49" i="6"/>
  <c r="AR47" i="6"/>
  <c r="BC28" i="6" l="1"/>
  <c r="AR48" i="6"/>
  <c r="AQ49" i="6"/>
  <c r="W50" i="6"/>
  <c r="X50" i="6" s="1"/>
  <c r="AN50" i="6"/>
  <c r="AO49" i="6"/>
  <c r="AP49" i="6" s="1"/>
  <c r="AR28" i="6"/>
  <c r="W28" i="6"/>
  <c r="X28" i="6" s="1"/>
  <c r="AO27" i="6"/>
  <c r="AP27" i="6" s="1"/>
  <c r="AQ27" i="6"/>
  <c r="AN26" i="6"/>
  <c r="AB28" i="6"/>
  <c r="AC28" i="6" s="1"/>
  <c r="AZ27" i="6"/>
  <c r="BA27" i="6" s="1"/>
  <c r="BB27" i="6"/>
  <c r="AY26" i="6"/>
  <c r="BC48" i="6"/>
  <c r="AY50" i="6"/>
  <c r="AZ49" i="6"/>
  <c r="BA49" i="6" s="1"/>
  <c r="AB50" i="6"/>
  <c r="AC50" i="6" s="1"/>
  <c r="BB49" i="6"/>
  <c r="AR49" i="6" l="1"/>
  <c r="AR27" i="6"/>
  <c r="W27" i="6"/>
  <c r="X27" i="6" s="1"/>
  <c r="AO26" i="6"/>
  <c r="AP26" i="6" s="1"/>
  <c r="AQ26" i="6"/>
  <c r="AN25" i="6"/>
  <c r="BC49" i="6"/>
  <c r="AO50" i="6"/>
  <c r="AP50" i="6" s="1"/>
  <c r="AN51" i="6"/>
  <c r="AQ50" i="6"/>
  <c r="W51" i="6"/>
  <c r="X51" i="6" s="1"/>
  <c r="BC27" i="6"/>
  <c r="AB27" i="6"/>
  <c r="AC27" i="6" s="1"/>
  <c r="BB26" i="6"/>
  <c r="AY25" i="6"/>
  <c r="AZ26" i="6"/>
  <c r="BA26" i="6" s="1"/>
  <c r="AZ50" i="6"/>
  <c r="BA50" i="6" s="1"/>
  <c r="AB51" i="6"/>
  <c r="AC51" i="6" s="1"/>
  <c r="AY51" i="6"/>
  <c r="BB50" i="6"/>
  <c r="BC50" i="6" l="1"/>
  <c r="BC26" i="6"/>
  <c r="BB51" i="6"/>
  <c r="AY52" i="6"/>
  <c r="AB52" i="6"/>
  <c r="AC52" i="6" s="1"/>
  <c r="AZ51" i="6"/>
  <c r="BA51" i="6" s="1"/>
  <c r="AR26" i="6"/>
  <c r="AQ25" i="6"/>
  <c r="W26" i="6"/>
  <c r="X26" i="6" s="1"/>
  <c r="AO25" i="6"/>
  <c r="AP25" i="6" s="1"/>
  <c r="AN24" i="6"/>
  <c r="AZ25" i="6"/>
  <c r="BA25" i="6" s="1"/>
  <c r="AB26" i="6"/>
  <c r="AC26" i="6" s="1"/>
  <c r="BB25" i="6"/>
  <c r="AY24" i="6"/>
  <c r="W52" i="6"/>
  <c r="X52" i="6" s="1"/>
  <c r="AO51" i="6"/>
  <c r="AP51" i="6" s="1"/>
  <c r="AQ51" i="6"/>
  <c r="AN52" i="6"/>
  <c r="AR50" i="6"/>
  <c r="AR25" i="6" l="1"/>
  <c r="BC51" i="6"/>
  <c r="AN53" i="6"/>
  <c r="AQ52" i="6"/>
  <c r="W53" i="6"/>
  <c r="X53" i="6" s="1"/>
  <c r="AO52" i="6"/>
  <c r="AP52" i="6" s="1"/>
  <c r="W25" i="6"/>
  <c r="X25" i="6" s="1"/>
  <c r="AO24" i="6"/>
  <c r="AP24" i="6" s="1"/>
  <c r="AQ24" i="6"/>
  <c r="AN23" i="6"/>
  <c r="AZ52" i="6"/>
  <c r="BA52" i="6" s="1"/>
  <c r="AY53" i="6"/>
  <c r="BB52" i="6"/>
  <c r="AB53" i="6"/>
  <c r="AC53" i="6" s="1"/>
  <c r="BC25" i="6"/>
  <c r="AB25" i="6"/>
  <c r="AC25" i="6" s="1"/>
  <c r="AZ24" i="6"/>
  <c r="BA24" i="6" s="1"/>
  <c r="BB24" i="6"/>
  <c r="AY23" i="6"/>
  <c r="AR51" i="6"/>
  <c r="AR52" i="6" l="1"/>
  <c r="AB24" i="6"/>
  <c r="AC24" i="6" s="1"/>
  <c r="AY22" i="6"/>
  <c r="AZ23" i="6"/>
  <c r="BA23" i="6" s="1"/>
  <c r="BB23" i="6"/>
  <c r="AN54" i="6"/>
  <c r="AO53" i="6"/>
  <c r="AP53" i="6" s="1"/>
  <c r="AQ53" i="6"/>
  <c r="W54" i="6"/>
  <c r="X54" i="6" s="1"/>
  <c r="AB54" i="6"/>
  <c r="AC54" i="6" s="1"/>
  <c r="BB53" i="6"/>
  <c r="AY54" i="6"/>
  <c r="AZ53" i="6"/>
  <c r="BA53" i="6" s="1"/>
  <c r="BC52" i="6"/>
  <c r="AR24" i="6"/>
  <c r="W24" i="6"/>
  <c r="X24" i="6" s="1"/>
  <c r="AQ23" i="6"/>
  <c r="AN22" i="6"/>
  <c r="AO23" i="6"/>
  <c r="AP23" i="6" s="1"/>
  <c r="BC24" i="6"/>
  <c r="BC53" i="6" l="1"/>
  <c r="AQ22" i="6"/>
  <c r="W23" i="6"/>
  <c r="X23" i="6" s="1"/>
  <c r="AN21" i="6"/>
  <c r="AO22" i="6"/>
  <c r="AP22" i="6" s="1"/>
  <c r="AZ22" i="6"/>
  <c r="BA22" i="6" s="1"/>
  <c r="AB23" i="6"/>
  <c r="AC23" i="6" s="1"/>
  <c r="BB22" i="6"/>
  <c r="AY21" i="6"/>
  <c r="AZ54" i="6"/>
  <c r="BA54" i="6" s="1"/>
  <c r="AY55" i="6"/>
  <c r="BB54" i="6"/>
  <c r="AB55" i="6"/>
  <c r="AC55" i="6" s="1"/>
  <c r="BC23" i="6"/>
  <c r="W55" i="6"/>
  <c r="X55" i="6" s="1"/>
  <c r="AO54" i="6"/>
  <c r="AP54" i="6" s="1"/>
  <c r="AN55" i="6"/>
  <c r="AQ54" i="6"/>
  <c r="AR53" i="6"/>
  <c r="AR23" i="6"/>
  <c r="AR54" i="6" l="1"/>
  <c r="AR22" i="6"/>
  <c r="AY56" i="6"/>
  <c r="AZ55" i="6"/>
  <c r="BA55" i="6" s="1"/>
  <c r="AB56" i="6"/>
  <c r="AC56" i="6" s="1"/>
  <c r="BB55" i="6"/>
  <c r="W22" i="6"/>
  <c r="X22" i="6" s="1"/>
  <c r="AQ21" i="6"/>
  <c r="AO21" i="6"/>
  <c r="AP21" i="6" s="1"/>
  <c r="AN20" i="6"/>
  <c r="BC54" i="6"/>
  <c r="BC22" i="6"/>
  <c r="AQ55" i="6"/>
  <c r="W56" i="6"/>
  <c r="X56" i="6" s="1"/>
  <c r="AN56" i="6"/>
  <c r="AO55" i="6"/>
  <c r="AP55" i="6" s="1"/>
  <c r="AZ21" i="6"/>
  <c r="BA21" i="6" s="1"/>
  <c r="BB21" i="6"/>
  <c r="AB22" i="6"/>
  <c r="AC22" i="6" s="1"/>
  <c r="AY20" i="6"/>
  <c r="AR21" i="6" l="1"/>
  <c r="AR55" i="6"/>
  <c r="AY57" i="6"/>
  <c r="AB57" i="6"/>
  <c r="AC57" i="6" s="1"/>
  <c r="AZ56" i="6"/>
  <c r="BA56" i="6" s="1"/>
  <c r="BB56" i="6"/>
  <c r="AB21" i="6"/>
  <c r="AC21" i="6" s="1"/>
  <c r="AZ20" i="6"/>
  <c r="BA20" i="6" s="1"/>
  <c r="BB20" i="6"/>
  <c r="AY19" i="6"/>
  <c r="BC55" i="6"/>
  <c r="W57" i="6"/>
  <c r="X57" i="6" s="1"/>
  <c r="AQ56" i="6"/>
  <c r="AN57" i="6"/>
  <c r="AO56" i="6"/>
  <c r="AP56" i="6" s="1"/>
  <c r="W21" i="6"/>
  <c r="X21" i="6" s="1"/>
  <c r="AQ20" i="6"/>
  <c r="AO20" i="6"/>
  <c r="AP20" i="6" s="1"/>
  <c r="AN19" i="6"/>
  <c r="BC21" i="6"/>
  <c r="AR20" i="6" l="1"/>
  <c r="AR56" i="6"/>
  <c r="W20" i="6"/>
  <c r="X20" i="6" s="1"/>
  <c r="AO19" i="6"/>
  <c r="AP19" i="6" s="1"/>
  <c r="AQ19" i="6"/>
  <c r="AN18" i="6"/>
  <c r="AZ57" i="6"/>
  <c r="BA57" i="6" s="1"/>
  <c r="AY58" i="6"/>
  <c r="AB58" i="6"/>
  <c r="AC58" i="6" s="1"/>
  <c r="BB57" i="6"/>
  <c r="W58" i="6"/>
  <c r="X58" i="6" s="1"/>
  <c r="AO57" i="6"/>
  <c r="AP57" i="6" s="1"/>
  <c r="AN58" i="6"/>
  <c r="AQ57" i="6"/>
  <c r="BC56" i="6"/>
  <c r="BC20" i="6"/>
  <c r="AB20" i="6"/>
  <c r="AC20" i="6" s="1"/>
  <c r="BB19" i="6"/>
  <c r="AY18" i="6"/>
  <c r="AZ19" i="6"/>
  <c r="BA19" i="6" s="1"/>
  <c r="AZ18" i="6" l="1"/>
  <c r="BA18" i="6" s="1"/>
  <c r="AB19" i="6"/>
  <c r="AC19" i="6" s="1"/>
  <c r="BB18" i="6"/>
  <c r="W59" i="6"/>
  <c r="X59" i="6" s="1"/>
  <c r="AQ58" i="6"/>
  <c r="AO58" i="6"/>
  <c r="AP58" i="6" s="1"/>
  <c r="AR19" i="6"/>
  <c r="AQ18" i="6"/>
  <c r="W19" i="6"/>
  <c r="X19" i="6" s="1"/>
  <c r="AO18" i="6"/>
  <c r="AP18" i="6" s="1"/>
  <c r="AR57" i="6"/>
  <c r="AB59" i="6"/>
  <c r="AC59" i="6" s="1"/>
  <c r="AZ58" i="6"/>
  <c r="BA58" i="6" s="1"/>
  <c r="BB58" i="6"/>
  <c r="BC19" i="6"/>
  <c r="BC57" i="6"/>
  <c r="AR58" i="6" l="1"/>
  <c r="BC18" i="6"/>
  <c r="BC58" i="6"/>
  <c r="AR18" i="6"/>
</calcChain>
</file>

<file path=xl/sharedStrings.xml><?xml version="1.0" encoding="utf-8"?>
<sst xmlns="http://schemas.openxmlformats.org/spreadsheetml/2006/main" count="318" uniqueCount="144">
  <si>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</si>
  <si>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</si>
  <si>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</si>
  <si>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</si>
  <si>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</si>
  <si>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</si>
  <si>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</si>
  <si>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</si>
  <si>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</si>
  <si>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</si>
  <si>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</si>
  <si>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</si>
  <si>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</si>
  <si>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</si>
  <si>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</si>
  <si>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</si>
  <si>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20/10/2013</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</si>
  <si>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</si>
  <si>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</si>
  <si>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</si>
  <si>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</si>
  <si>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</si>
  <si>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</si>
  <si>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</si>
  <si>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</si>
  <si>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</si>
  <si>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</si>
  <si>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</si>
  <si>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</si>
  <si>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</si>
  <si>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</si>
  <si>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</si>
  <si>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</si>
  <si>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</si>
  <si>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STANDARD METHOD</t>
  </si>
  <si>
    <t>Bending Stresses</t>
  </si>
  <si>
    <t>Von mises stress on a 2D plane (For NASTRAN Bar Element Output)</t>
  </si>
  <si>
    <t>Across Height</t>
  </si>
  <si>
    <t>Across Width</t>
  </si>
  <si>
    <t>Position</t>
  </si>
  <si>
    <t>Vertical (H)</t>
  </si>
  <si>
    <t>Horizontal (B)</t>
  </si>
  <si>
    <t>General Properties</t>
  </si>
  <si>
    <t>Radius of Gyration</t>
  </si>
  <si>
    <t xml:space="preserve">of </t>
  </si>
  <si>
    <t>Shear Distribution over half of cross section</t>
  </si>
  <si>
    <t>Position of</t>
  </si>
  <si>
    <t>Area of</t>
  </si>
  <si>
    <t>Shear</t>
  </si>
  <si>
    <t>A =</t>
  </si>
  <si>
    <t>ρₓ =</t>
  </si>
  <si>
    <t>interest</t>
  </si>
  <si>
    <t>Height of total cross section =</t>
  </si>
  <si>
    <t>in</t>
  </si>
  <si>
    <t>Centroid</t>
  </si>
  <si>
    <t>y-bar</t>
  </si>
  <si>
    <t>Lower Area</t>
  </si>
  <si>
    <t>Stress</t>
  </si>
  <si>
    <t>Width of total cross section =</t>
  </si>
  <si>
    <t>(in)</t>
  </si>
  <si>
    <t>Centroid of Entire Cross Section =</t>
  </si>
  <si>
    <t>(in²)</t>
  </si>
  <si>
    <t>(psi)</t>
  </si>
  <si>
    <t>in²</t>
  </si>
  <si>
    <t>Wdith of cross section =</t>
  </si>
  <si>
    <t>ẋ =</t>
  </si>
  <si>
    <t>ρᵧ =</t>
  </si>
  <si>
    <t>2nd Moment of area of cross section</t>
  </si>
  <si>
    <t>in⁴</t>
  </si>
  <si>
    <t>ẏ =</t>
  </si>
  <si>
    <t>Area Moment of Intertia</t>
  </si>
  <si>
    <t>Iₓ =</t>
  </si>
  <si>
    <t>Iᵧ =</t>
  </si>
  <si>
    <t>J =</t>
  </si>
  <si>
    <t>Applied Loads</t>
  </si>
  <si>
    <t>Material Properties</t>
  </si>
  <si>
    <t>P₁₁ =</t>
  </si>
  <si>
    <t>lb</t>
  </si>
  <si>
    <t>psi</t>
  </si>
  <si>
    <t>P₁₂ =</t>
  </si>
  <si>
    <t>Ftu =</t>
  </si>
  <si>
    <t>P₁₃ =</t>
  </si>
  <si>
    <t>Fitting Factor:</t>
  </si>
  <si>
    <t>M₂₂ =</t>
  </si>
  <si>
    <t>inlb</t>
  </si>
  <si>
    <t>=</t>
  </si>
  <si>
    <t>(Enter 1.00 if no fitting factor required)</t>
  </si>
  <si>
    <t>M₃₃ =</t>
  </si>
  <si>
    <t>Ultimate Factor:</t>
  </si>
  <si>
    <t>(Enter 1.00 if loads at ultimate level)</t>
  </si>
  <si>
    <t>Peak Vonmises Stress =</t>
  </si>
  <si>
    <t>Calculation of Stresses at the 9 reference points</t>
  </si>
  <si>
    <t>Calculation of S₁₁, S₂₂, S₃₃</t>
  </si>
  <si>
    <t>Location</t>
  </si>
  <si>
    <t>Axial Stress</t>
  </si>
  <si>
    <t>Bending Stress from</t>
  </si>
  <si>
    <t>Total</t>
  </si>
  <si>
    <t xml:space="preserve"> From P₁₁</t>
  </si>
  <si>
    <t>M₂₂</t>
  </si>
  <si>
    <t>M₃₃</t>
  </si>
  <si>
    <t>S₁₁</t>
  </si>
  <si>
    <t>S₂₂</t>
  </si>
  <si>
    <t>S₃₃</t>
  </si>
  <si>
    <t>Shear Distribution</t>
  </si>
  <si>
    <t>It is assumed that the shear distribution over the cross section peaks at the middie and is calculated using the expression</t>
  </si>
  <si>
    <t>τ =</t>
  </si>
  <si>
    <t>2/3 V A</t>
  </si>
  <si>
    <t>And there is zero shear stress at the edge</t>
  </si>
  <si>
    <t>It is assumed that the  torsion stress is zero sat the corners and peaks at the center point of the sides, with the maximum peak at the center of the long sides</t>
  </si>
  <si>
    <t>M₁₁ =</t>
  </si>
  <si>
    <t>Calculation of S₁₂, S₂₃, S₁₃</t>
  </si>
  <si>
    <t>S₁₂</t>
  </si>
  <si>
    <t>S₁₃</t>
  </si>
  <si>
    <t>Von Mises</t>
  </si>
  <si>
    <t xml:space="preserve"> From P₁₂</t>
  </si>
  <si>
    <t>M₁₁</t>
  </si>
  <si>
    <t xml:space="preserve"> From P₁₃</t>
  </si>
  <si>
    <t>S₂₃</t>
  </si>
  <si>
    <t>Peak Maximum Axial Stress =</t>
  </si>
  <si>
    <t>Peak Minimum Axial Stress</t>
  </si>
  <si>
    <t>R =</t>
  </si>
  <si>
    <t>r =</t>
  </si>
  <si>
    <t>T =</t>
  </si>
  <si>
    <r>
      <t>f</t>
    </r>
    <r>
      <rPr>
        <vertAlign val="subscript"/>
        <sz val="10"/>
        <rFont val="Calibri"/>
        <family val="2"/>
        <scheme val="minor"/>
      </rPr>
      <t>S</t>
    </r>
    <r>
      <rPr>
        <sz val="10"/>
        <rFont val="Calibri"/>
        <family val="2"/>
        <scheme val="minor"/>
      </rPr>
      <t xml:space="preserve"> =</t>
    </r>
  </si>
  <si>
    <t>VON MISES STRESS ON CIRCULAR CROSS SECTION</t>
  </si>
  <si>
    <t>Stress Summary (No Ultimate Factor)</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</si>
  <si>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</si>
  <si>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</si>
  <si>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</si>
  <si>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</si>
  <si>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</si>
  <si>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</si>
  <si>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</si>
  <si>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</si>
  <si>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</si>
  <si>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</si>
  <si>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</si>
  <si>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</si>
  <si>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</si>
  <si>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</si>
  <si>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</si>
  <si>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</si>
  <si>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</si>
  <si>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AA-SM-041-027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</si>
</sst>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30"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1"/>
      <color theme="1"/>
      <name val="Calibri"/>
      <family val="2"/>
      <scheme val="minor"/>
    </font>
    <font>
      <sz val="10"/>
      <color theme="0" tint="-0.499984740745262"/>
      <name val="Calibri"/>
      <family val="2"/>
    </font>
    <font>
      <sz val="8"/>
      <name val="Calibri"/>
      <family val="2"/>
    </font>
    <font>
      <sz val="1"/>
      <color theme="0"/>
      <name val="Calibri"/>
      <family val="2"/>
    </font>
    <font>
      <sz val="1"/>
      <color theme="0"/>
      <name val="Calibri"/>
      <family val="2"/>
      <scheme val="minor"/>
    </font>
    <font>
      <sz val="10"/>
      <color rgb="FF0000FF"/>
      <name val="Calibri"/>
      <family val="2"/>
      <scheme val="minor"/>
    </font>
    <font>
      <i/>
      <sz val="10"/>
      <color theme="0" tint="-0.499984740745262"/>
      <name val="Calibri"/>
      <family val="2"/>
      <scheme val="minor"/>
    </font>
    <font>
      <sz val="10"/>
      <color rgb="FF000000"/>
      <name val="Calibri"/>
      <family val="2"/>
    </font>
    <font>
      <sz val="8"/>
      <name val="Calibri"/>
      <family val="2"/>
      <scheme val="minor"/>
    </font>
    <font>
      <i/>
      <sz val="10"/>
      <name val="Calibri"/>
      <family val="2"/>
    </font>
    <font>
      <sz val="10"/>
      <color indexed="12"/>
      <name val="Calibri"/>
      <family val="2"/>
      <scheme val="minor"/>
    </font>
    <font>
      <vertAlign val="subscript"/>
      <sz val="10"/>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8">
    <xf numFmtId="0" fontId="0" fillId="0" borderId="0"/>
    <xf numFmtId="0" fontId="1" fillId="0" borderId="0"/>
    <xf numFmtId="0" fontId="1" fillId="0" borderId="0"/>
    <xf numFmtId="0" fontId="10" fillId="0" borderId="0" applyNumberFormat="0" applyFill="0" applyBorder="0" applyAlignment="0" applyProtection="0">
      <alignment vertical="top"/>
      <protection locked="0"/>
    </xf>
    <xf numFmtId="0" fontId="2" fillId="0" borderId="0" applyProtection="0"/>
    <xf numFmtId="0" fontId="11" fillId="0" borderId="0"/>
    <xf numFmtId="0" fontId="12" fillId="0" borderId="0"/>
    <xf numFmtId="0" fontId="10" fillId="0" borderId="0" applyNumberFormat="0" applyFill="0" applyBorder="0" applyAlignment="0" applyProtection="0">
      <alignment vertical="top"/>
      <protection locked="0"/>
    </xf>
  </cellStyleXfs>
  <cellXfs count="132">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0" fontId="3" fillId="0" borderId="0" xfId="1" applyFont="1"/>
    <xf numFmtId="0" fontId="5" fillId="0" borderId="0" xfId="1" applyFont="1" applyAlignment="1">
      <alignment horizontal="left"/>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4" fillId="0" borderId="0" xfId="1" applyFont="1" applyBorder="1"/>
    <xf numFmtId="0" fontId="2" fillId="0" borderId="0" xfId="1" applyFont="1" applyBorder="1" applyAlignment="1">
      <alignment horizontal="center"/>
    </xf>
    <xf numFmtId="0" fontId="2" fillId="0" borderId="3" xfId="1" applyFont="1" applyBorder="1"/>
    <xf numFmtId="0" fontId="6" fillId="0" borderId="0" xfId="1" applyFont="1" applyBorder="1"/>
    <xf numFmtId="0" fontId="2" fillId="0" borderId="0" xfId="5" applyFont="1" applyBorder="1" applyAlignment="1" applyProtection="1">
      <alignment vertical="center"/>
      <protection locked="0"/>
    </xf>
    <xf numFmtId="2" fontId="2" fillId="0" borderId="0" xfId="1" applyNumberFormat="1" applyFont="1"/>
    <xf numFmtId="0" fontId="11" fillId="0" borderId="0" xfId="5"/>
    <xf numFmtId="0" fontId="11" fillId="0" borderId="0" xfId="5" applyAlignment="1">
      <alignment horizontal="center"/>
    </xf>
    <xf numFmtId="0" fontId="13" fillId="0" borderId="0" xfId="5" applyFont="1" applyAlignment="1">
      <alignment horizontal="center"/>
    </xf>
    <xf numFmtId="2" fontId="2" fillId="0" borderId="0" xfId="1" applyNumberFormat="1" applyFont="1" applyBorder="1" applyAlignment="1">
      <alignment horizontal="center"/>
    </xf>
    <xf numFmtId="2" fontId="2" fillId="0" borderId="0" xfId="1" applyNumberFormat="1" applyFont="1" applyAlignment="1">
      <alignment horizontal="right"/>
    </xf>
    <xf numFmtId="2" fontId="2" fillId="0" borderId="0" xfId="1" applyNumberFormat="1" applyFont="1" applyAlignment="1">
      <alignment horizontal="center"/>
    </xf>
    <xf numFmtId="164" fontId="2" fillId="0" borderId="0" xfId="1" applyNumberFormat="1" applyFont="1" applyAlignment="1">
      <alignment horizontal="center"/>
    </xf>
    <xf numFmtId="0" fontId="14" fillId="0" borderId="0" xfId="5" applyFont="1" applyAlignment="1">
      <alignment horizontal="center"/>
    </xf>
    <xf numFmtId="1" fontId="15" fillId="0" borderId="0" xfId="5" applyNumberFormat="1" applyFont="1" applyBorder="1" applyAlignment="1">
      <alignment horizontal="center"/>
    </xf>
    <xf numFmtId="1" fontId="16" fillId="0" borderId="0" xfId="1" applyNumberFormat="1" applyFont="1" applyBorder="1" applyAlignment="1">
      <alignment horizontal="center"/>
    </xf>
    <xf numFmtId="1" fontId="2" fillId="0" borderId="0" xfId="1" applyNumberFormat="1" applyFont="1" applyBorder="1"/>
    <xf numFmtId="166" fontId="2" fillId="0" borderId="0" xfId="1" applyNumberFormat="1" applyFont="1"/>
    <xf numFmtId="0" fontId="17" fillId="0" borderId="0" xfId="1" applyFont="1" applyBorder="1"/>
    <xf numFmtId="0" fontId="18" fillId="0" borderId="0" xfId="1" applyFont="1" applyBorder="1"/>
    <xf numFmtId="0" fontId="2" fillId="0" borderId="0" xfId="1" applyFont="1" applyAlignment="1">
      <alignment horizontal="left"/>
    </xf>
    <xf numFmtId="0" fontId="19" fillId="0" borderId="0" xfId="5" applyFont="1" applyAlignment="1">
      <alignment horizontal="right"/>
    </xf>
    <xf numFmtId="0" fontId="20" fillId="0" borderId="0" xfId="1" applyFont="1" applyBorder="1"/>
    <xf numFmtId="0" fontId="2" fillId="0" borderId="0" xfId="1" applyFont="1" applyAlignment="1"/>
    <xf numFmtId="0" fontId="2" fillId="0" borderId="0" xfId="1" applyFont="1" applyFill="1" applyAlignment="1"/>
    <xf numFmtId="0" fontId="11" fillId="0" borderId="0" xfId="5" applyFont="1" applyAlignment="1"/>
    <xf numFmtId="0" fontId="9" fillId="0" borderId="0" xfId="1" applyFont="1" applyBorder="1"/>
    <xf numFmtId="0" fontId="19" fillId="0" borderId="0" xfId="5" applyFont="1" applyAlignment="1">
      <alignment horizontal="left"/>
    </xf>
    <xf numFmtId="1" fontId="9" fillId="0" borderId="0" xfId="1" applyNumberFormat="1" applyFont="1" applyBorder="1"/>
    <xf numFmtId="1" fontId="9" fillId="0" borderId="0" xfId="1" applyNumberFormat="1" applyFont="1" applyBorder="1" applyAlignment="1">
      <alignment horizontal="center"/>
    </xf>
    <xf numFmtId="1" fontId="9" fillId="0" borderId="0" xfId="1" applyNumberFormat="1" applyFont="1" applyBorder="1" applyAlignment="1">
      <alignment horizontal="left"/>
    </xf>
    <xf numFmtId="0" fontId="9" fillId="0" borderId="0" xfId="1" applyFont="1" applyBorder="1" applyAlignment="1">
      <alignment horizontal="center"/>
    </xf>
    <xf numFmtId="0" fontId="9" fillId="0" borderId="0" xfId="1" applyFont="1" applyBorder="1" applyAlignment="1">
      <alignment horizontal="left"/>
    </xf>
    <xf numFmtId="0" fontId="11" fillId="0" borderId="0" xfId="5" applyFont="1" applyAlignment="1">
      <alignment vertical="top"/>
    </xf>
    <xf numFmtId="0" fontId="11" fillId="0" borderId="0" xfId="5" applyAlignment="1"/>
    <xf numFmtId="164" fontId="11" fillId="0" borderId="0" xfId="5" applyNumberFormat="1" applyAlignment="1"/>
    <xf numFmtId="1" fontId="4" fillId="0" borderId="0" xfId="1" applyNumberFormat="1" applyFont="1" applyBorder="1"/>
    <xf numFmtId="2" fontId="4" fillId="0" borderId="0" xfId="1" applyNumberFormat="1" applyFont="1" applyAlignment="1">
      <alignment horizontal="center"/>
    </xf>
    <xf numFmtId="0" fontId="2" fillId="0" borderId="4" xfId="1" applyFont="1" applyBorder="1"/>
    <xf numFmtId="0" fontId="4" fillId="0" borderId="0" xfId="1" applyFont="1" applyAlignment="1">
      <alignment horizontal="center"/>
    </xf>
    <xf numFmtId="0" fontId="4" fillId="0" borderId="0" xfId="1" applyFont="1" applyAlignment="1">
      <alignment horizontal="center" wrapText="1"/>
    </xf>
    <xf numFmtId="1" fontId="2" fillId="0" borderId="0" xfId="1" applyNumberFormat="1" applyFont="1" applyAlignment="1">
      <alignment horizontal="center"/>
    </xf>
    <xf numFmtId="1" fontId="2" fillId="0" borderId="0" xfId="1" applyNumberFormat="1" applyFont="1"/>
    <xf numFmtId="0" fontId="19" fillId="0" borderId="0" xfId="5" applyFont="1" applyBorder="1" applyAlignment="1">
      <alignment horizontal="left" readingOrder="1"/>
    </xf>
    <xf numFmtId="165" fontId="2" fillId="0" borderId="0" xfId="1" applyNumberFormat="1" applyFont="1" applyBorder="1"/>
    <xf numFmtId="0" fontId="2" fillId="0" borderId="0" xfId="1" applyFont="1" applyAlignment="1">
      <alignment horizontal="left" vertical="top" wrapText="1"/>
    </xf>
    <xf numFmtId="1" fontId="21" fillId="0" borderId="0" xfId="5" applyNumberFormat="1" applyFont="1" applyAlignment="1">
      <alignment horizontal="center"/>
    </xf>
    <xf numFmtId="0" fontId="9" fillId="0" borderId="0" xfId="1" applyFont="1"/>
    <xf numFmtId="1" fontId="4" fillId="0" borderId="0" xfId="1" applyNumberFormat="1" applyFont="1" applyAlignment="1">
      <alignment horizontal="center"/>
    </xf>
    <xf numFmtId="0" fontId="4" fillId="0" borderId="0" xfId="0" applyFont="1" applyAlignment="1">
      <alignment horizontal="right"/>
    </xf>
    <xf numFmtId="0" fontId="4" fillId="0" borderId="0" xfId="0" applyFont="1"/>
    <xf numFmtId="0" fontId="2" fillId="0" borderId="0" xfId="0" applyFont="1"/>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164" fontId="22" fillId="0" borderId="0" xfId="0" applyNumberFormat="1" applyFont="1" applyAlignment="1" applyProtection="1">
      <alignment horizontal="right" vertical="center"/>
      <protection locked="0"/>
    </xf>
    <xf numFmtId="0" fontId="2" fillId="0" borderId="0" xfId="0" applyFont="1" applyAlignment="1">
      <alignment horizontal="right"/>
    </xf>
    <xf numFmtId="164" fontId="17" fillId="0" borderId="0" xfId="0" applyNumberFormat="1" applyFont="1"/>
    <xf numFmtId="0" fontId="4" fillId="0" borderId="0" xfId="0" applyFont="1" applyAlignment="1" applyProtection="1">
      <alignment horizontal="left" vertical="center"/>
      <protection locked="0"/>
    </xf>
    <xf numFmtId="164" fontId="2" fillId="0" borderId="0" xfId="0" applyNumberFormat="1" applyFont="1" applyAlignment="1" applyProtection="1">
      <alignment horizontal="right" vertical="center"/>
      <protection locked="0"/>
    </xf>
    <xf numFmtId="1" fontId="2" fillId="0" borderId="0" xfId="0" applyNumberFormat="1" applyFont="1" applyAlignment="1" applyProtection="1">
      <alignment horizontal="right" vertical="center"/>
      <protection locked="0"/>
    </xf>
    <xf numFmtId="164" fontId="2" fillId="0" borderId="0" xfId="0" applyNumberFormat="1" applyFont="1"/>
    <xf numFmtId="0" fontId="2" fillId="0" borderId="0" xfId="0" applyFont="1" applyProtection="1">
      <protection locked="0"/>
    </xf>
    <xf numFmtId="1" fontId="2" fillId="0" borderId="0" xfId="0" applyNumberFormat="1" applyFont="1"/>
    <xf numFmtId="2" fontId="22" fillId="0" borderId="0" xfId="0" applyNumberFormat="1" applyFont="1" applyAlignment="1" applyProtection="1">
      <alignment horizontal="right" vertical="center"/>
      <protection locked="0"/>
    </xf>
    <xf numFmtId="1" fontId="22" fillId="0" borderId="0" xfId="0" applyNumberFormat="1" applyFont="1" applyAlignment="1" applyProtection="1">
      <alignment horizontal="right" vertical="center"/>
      <protection locked="0"/>
    </xf>
    <xf numFmtId="1" fontId="2" fillId="0" borderId="0" xfId="0" applyNumberFormat="1" applyFont="1" applyAlignment="1">
      <alignment horizontal="left"/>
    </xf>
    <xf numFmtId="1" fontId="2" fillId="0" borderId="0" xfId="0" applyNumberFormat="1" applyFont="1" applyAlignment="1" applyProtection="1">
      <alignment horizontal="right"/>
      <protection locked="0"/>
    </xf>
    <xf numFmtId="16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vertical="center"/>
      <protection locked="0"/>
    </xf>
    <xf numFmtId="165" fontId="2" fillId="0" borderId="0" xfId="0" applyNumberFormat="1" applyFont="1" applyAlignment="1">
      <alignment horizontal="right"/>
    </xf>
    <xf numFmtId="165" fontId="2" fillId="0" borderId="0" xfId="0" applyNumberFormat="1" applyFont="1"/>
    <xf numFmtId="165" fontId="22" fillId="0" borderId="0" xfId="0" applyNumberFormat="1" applyFont="1" applyAlignment="1" applyProtection="1">
      <alignment horizontal="right" vertical="center"/>
      <protection locked="0"/>
    </xf>
    <xf numFmtId="164" fontId="18" fillId="0" borderId="0" xfId="1" applyNumberFormat="1" applyFont="1" applyBorder="1"/>
    <xf numFmtId="0" fontId="2" fillId="0" borderId="0" xfId="1" applyFont="1" applyAlignment="1">
      <alignment horizontal="left" vertical="top"/>
    </xf>
    <xf numFmtId="164" fontId="17" fillId="0" borderId="0" xfId="1" applyNumberFormat="1" applyFont="1" applyBorder="1"/>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24" fillId="0" borderId="0" xfId="0" applyFont="1" applyAlignment="1">
      <alignment horizontal="center"/>
    </xf>
    <xf numFmtId="0" fontId="25" fillId="0" borderId="0" xfId="3" applyFont="1" applyBorder="1" applyAlignment="1" applyProtection="1">
      <alignment horizontal="center"/>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26" fillId="0" borderId="0" xfId="1" applyFont="1"/>
    <xf numFmtId="0" fontId="27" fillId="0" borderId="0" xfId="0" applyFont="1" applyProtection="1">
      <protection locked="0"/>
    </xf>
    <xf numFmtId="0" fontId="28"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9" fillId="0" borderId="0" xfId="3" applyFont="1" applyBorder="1" applyAlignment="1" applyProtection="1">
      <alignment horizontal="center"/>
    </xf>
    <xf numFmtId="0" fontId="10" fillId="0" borderId="0" xfId="7" applyBorder="1" applyAlignment="1" applyProtection="1">
      <alignment horizontal="center"/>
    </xf>
    <xf numFmtId="0" fontId="10" fillId="0" borderId="0" xfId="7" applyFont="1" applyBorder="1" applyAlignment="1" applyProtection="1">
      <alignment horizontal="center"/>
    </xf>
    <xf numFmtId="0" fontId="2" fillId="0" borderId="0" xfId="1" applyFont="1" applyBorder="1" applyAlignment="1">
      <alignment horizontal="left" vertical="top" wrapText="1"/>
    </xf>
    <xf numFmtId="0" fontId="2" fillId="0" borderId="0" xfId="1" applyFont="1" applyBorder="1" applyAlignment="1">
      <alignment horizontal="left" wrapText="1"/>
    </xf>
    <xf numFmtId="0" fontId="10" fillId="0" borderId="0" xfId="7" applyBorder="1" applyAlignment="1" applyProtection="1">
      <alignment horizontal="center"/>
    </xf>
    <xf numFmtId="1" fontId="2" fillId="0" borderId="0" xfId="1" applyNumberFormat="1" applyFont="1" applyBorder="1" applyAlignment="1">
      <alignment horizontal="left" vertical="top" wrapText="1"/>
    </xf>
    <xf numFmtId="0" fontId="19" fillId="0" borderId="0" xfId="5" applyFont="1" applyBorder="1" applyAlignment="1">
      <alignment horizontal="right"/>
    </xf>
    <xf numFmtId="2" fontId="17" fillId="0" borderId="0" xfId="1" applyNumberFormat="1" applyFont="1" applyBorder="1"/>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396755</xdr:colOff>
      <xdr:row>16</xdr:row>
      <xdr:rowOff>29793</xdr:rowOff>
    </xdr:from>
    <xdr:to>
      <xdr:col>3</xdr:col>
      <xdr:colOff>271570</xdr:colOff>
      <xdr:row>26</xdr:row>
      <xdr:rowOff>40678</xdr:rowOff>
    </xdr:to>
    <xdr:grpSp>
      <xdr:nvGrpSpPr>
        <xdr:cNvPr id="61" name="Group 60"/>
        <xdr:cNvGrpSpPr/>
      </xdr:nvGrpSpPr>
      <xdr:grpSpPr>
        <a:xfrm>
          <a:off x="396755" y="2856813"/>
          <a:ext cx="1749335" cy="1786345"/>
          <a:chOff x="2161387" y="2345871"/>
          <a:chExt cx="1709631" cy="1655201"/>
        </a:xfrm>
      </xdr:grpSpPr>
      <xdr:sp macro="" textlink="">
        <xdr:nvSpPr>
          <xdr:cNvPr id="48" name="Donut 47"/>
          <xdr:cNvSpPr/>
        </xdr:nvSpPr>
        <xdr:spPr>
          <a:xfrm>
            <a:off x="3007035" y="3155423"/>
            <a:ext cx="863983" cy="845649"/>
          </a:xfrm>
          <a:prstGeom prst="donut">
            <a:avLst>
              <a:gd name="adj" fmla="val 1160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53" name="Straight Connector 52"/>
          <xdr:cNvCxnSpPr>
            <a:stCxn id="57" idx="0"/>
            <a:endCxn id="48" idx="3"/>
          </xdr:cNvCxnSpPr>
        </xdr:nvCxnSpPr>
        <xdr:spPr>
          <a:xfrm>
            <a:off x="2245285" y="3026343"/>
            <a:ext cx="890177" cy="8516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a:endCxn id="48" idx="7"/>
          </xdr:cNvCxnSpPr>
        </xdr:nvCxnSpPr>
        <xdr:spPr>
          <a:xfrm>
            <a:off x="2902556" y="2467125"/>
            <a:ext cx="841935" cy="8121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Arc 56"/>
          <xdr:cNvSpPr/>
        </xdr:nvSpPr>
        <xdr:spPr>
          <a:xfrm rot="16200000">
            <a:off x="2168549" y="2338709"/>
            <a:ext cx="858540" cy="872863"/>
          </a:xfrm>
          <a:prstGeom prst="arc">
            <a:avLst>
              <a:gd name="adj1" fmla="val 14029221"/>
              <a:gd name="adj2" fmla="val 27340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grpSp>
    <xdr:clientData/>
  </xdr:twoCellAnchor>
  <xdr:twoCellAnchor>
    <xdr:from>
      <xdr:col>2</xdr:col>
      <xdr:colOff>451570</xdr:colOff>
      <xdr:row>23</xdr:row>
      <xdr:rowOff>106327</xdr:rowOff>
    </xdr:from>
    <xdr:to>
      <xdr:col>3</xdr:col>
      <xdr:colOff>447410</xdr:colOff>
      <xdr:row>27</xdr:row>
      <xdr:rowOff>66242</xdr:rowOff>
    </xdr:to>
    <xdr:cxnSp macro="">
      <xdr:nvCxnSpPr>
        <xdr:cNvPr id="5" name="Straight Arrow Connector 4"/>
        <xdr:cNvCxnSpPr/>
      </xdr:nvCxnSpPr>
      <xdr:spPr bwMode="auto">
        <a:xfrm>
          <a:off x="1670770" y="3938098"/>
          <a:ext cx="605440" cy="613058"/>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xdr:col>
      <xdr:colOff>283427</xdr:colOff>
      <xdr:row>23</xdr:row>
      <xdr:rowOff>89093</xdr:rowOff>
    </xdr:from>
    <xdr:to>
      <xdr:col>4</xdr:col>
      <xdr:colOff>193404</xdr:colOff>
      <xdr:row>23</xdr:row>
      <xdr:rowOff>89093</xdr:rowOff>
    </xdr:to>
    <xdr:cxnSp macro="">
      <xdr:nvCxnSpPr>
        <xdr:cNvPr id="6" name="Straight Connector 5"/>
        <xdr:cNvCxnSpPr/>
      </xdr:nvCxnSpPr>
      <xdr:spPr bwMode="auto">
        <a:xfrm>
          <a:off x="892098" y="3903739"/>
          <a:ext cx="1735989" cy="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439712</xdr:colOff>
      <xdr:row>20</xdr:row>
      <xdr:rowOff>79795</xdr:rowOff>
    </xdr:from>
    <xdr:to>
      <xdr:col>2</xdr:col>
      <xdr:colOff>439712</xdr:colOff>
      <xdr:row>28</xdr:row>
      <xdr:rowOff>51389</xdr:rowOff>
    </xdr:to>
    <xdr:cxnSp macro="">
      <xdr:nvCxnSpPr>
        <xdr:cNvPr id="7" name="Straight Connector 6"/>
        <xdr:cNvCxnSpPr/>
      </xdr:nvCxnSpPr>
      <xdr:spPr bwMode="auto">
        <a:xfrm>
          <a:off x="1658912" y="3421709"/>
          <a:ext cx="0" cy="127788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509136</xdr:colOff>
      <xdr:row>21</xdr:row>
      <xdr:rowOff>143525</xdr:rowOff>
    </xdr:from>
    <xdr:to>
      <xdr:col>4</xdr:col>
      <xdr:colOff>72082</xdr:colOff>
      <xdr:row>25</xdr:row>
      <xdr:rowOff>22122</xdr:rowOff>
    </xdr:to>
    <xdr:sp macro="" textlink="">
      <xdr:nvSpPr>
        <xdr:cNvPr id="8" name="Arc 7"/>
        <xdr:cNvSpPr/>
      </xdr:nvSpPr>
      <xdr:spPr bwMode="auto">
        <a:xfrm>
          <a:off x="2337936" y="3648725"/>
          <a:ext cx="172546" cy="531740"/>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159778</xdr:colOff>
      <xdr:row>26</xdr:row>
      <xdr:rowOff>80935</xdr:rowOff>
    </xdr:from>
    <xdr:to>
      <xdr:col>3</xdr:col>
      <xdr:colOff>68440</xdr:colOff>
      <xdr:row>27</xdr:row>
      <xdr:rowOff>94895</xdr:rowOff>
    </xdr:to>
    <xdr:sp macro="" textlink="">
      <xdr:nvSpPr>
        <xdr:cNvPr id="9" name="Arc 8"/>
        <xdr:cNvSpPr/>
      </xdr:nvSpPr>
      <xdr:spPr bwMode="auto">
        <a:xfrm rot="16200000" flipH="1">
          <a:off x="1549486" y="4232056"/>
          <a:ext cx="177245" cy="518262"/>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3</xdr:col>
      <xdr:colOff>487837</xdr:colOff>
      <xdr:row>27</xdr:row>
      <xdr:rowOff>110090</xdr:rowOff>
    </xdr:from>
    <xdr:to>
      <xdr:col>4</xdr:col>
      <xdr:colOff>126197</xdr:colOff>
      <xdr:row>29</xdr:row>
      <xdr:rowOff>36760</xdr:rowOff>
    </xdr:to>
    <xdr:cxnSp macro="">
      <xdr:nvCxnSpPr>
        <xdr:cNvPr id="10" name="Straight Connector 9"/>
        <xdr:cNvCxnSpPr/>
      </xdr:nvCxnSpPr>
      <xdr:spPr bwMode="auto">
        <a:xfrm>
          <a:off x="2316637" y="4595004"/>
          <a:ext cx="247960" cy="253242"/>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448293</xdr:colOff>
      <xdr:row>27</xdr:row>
      <xdr:rowOff>45982</xdr:rowOff>
    </xdr:from>
    <xdr:to>
      <xdr:col>4</xdr:col>
      <xdr:colOff>164222</xdr:colOff>
      <xdr:row>29</xdr:row>
      <xdr:rowOff>54539</xdr:rowOff>
    </xdr:to>
    <xdr:sp macro="" textlink="">
      <xdr:nvSpPr>
        <xdr:cNvPr id="11" name="Arc 10"/>
        <xdr:cNvSpPr/>
      </xdr:nvSpPr>
      <xdr:spPr bwMode="auto">
        <a:xfrm rot="10800000" flipH="1">
          <a:off x="2281034" y="4545723"/>
          <a:ext cx="326843" cy="337006"/>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352062</xdr:colOff>
      <xdr:row>21</xdr:row>
      <xdr:rowOff>119226</xdr:rowOff>
    </xdr:from>
    <xdr:to>
      <xdr:col>2</xdr:col>
      <xdr:colOff>418405</xdr:colOff>
      <xdr:row>25</xdr:row>
      <xdr:rowOff>47289</xdr:rowOff>
    </xdr:to>
    <xdr:grpSp>
      <xdr:nvGrpSpPr>
        <xdr:cNvPr id="12" name="Group 142"/>
        <xdr:cNvGrpSpPr/>
      </xdr:nvGrpSpPr>
      <xdr:grpSpPr>
        <a:xfrm rot="16200000" flipH="1" flipV="1">
          <a:off x="1320362" y="4126786"/>
          <a:ext cx="629103" cy="66343"/>
          <a:chOff x="3077260" y="4236203"/>
          <a:chExt cx="384028" cy="45204"/>
        </a:xfrm>
      </xdr:grpSpPr>
      <xdr:cxnSp macro="">
        <xdr:nvCxnSpPr>
          <xdr:cNvPr id="24" name="Straight Connector 23"/>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5" name="Straight Connector 24"/>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6" name="Straight Connector 25"/>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2</xdr:col>
      <xdr:colOff>256351</xdr:colOff>
      <xdr:row>22</xdr:row>
      <xdr:rowOff>162485</xdr:rowOff>
    </xdr:from>
    <xdr:to>
      <xdr:col>3</xdr:col>
      <xdr:colOff>203766</xdr:colOff>
      <xdr:row>23</xdr:row>
      <xdr:rowOff>68179</xdr:rowOff>
    </xdr:to>
    <xdr:grpSp>
      <xdr:nvGrpSpPr>
        <xdr:cNvPr id="13" name="Group 146"/>
        <xdr:cNvGrpSpPr/>
      </xdr:nvGrpSpPr>
      <xdr:grpSpPr>
        <a:xfrm flipH="1" flipV="1">
          <a:off x="1506031" y="4063925"/>
          <a:ext cx="572255" cy="80954"/>
          <a:chOff x="3077260" y="4236203"/>
          <a:chExt cx="384028" cy="45204"/>
        </a:xfrm>
      </xdr:grpSpPr>
      <xdr:cxnSp macro="">
        <xdr:nvCxnSpPr>
          <xdr:cNvPr id="21" name="Straight Connector 20"/>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Connector 21"/>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Connector 22"/>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3</xdr:col>
      <xdr:colOff>242259</xdr:colOff>
      <xdr:row>25</xdr:row>
      <xdr:rowOff>104594</xdr:rowOff>
    </xdr:from>
    <xdr:to>
      <xdr:col>3</xdr:col>
      <xdr:colOff>557544</xdr:colOff>
      <xdr:row>27</xdr:row>
      <xdr:rowOff>45149</xdr:rowOff>
    </xdr:to>
    <xdr:sp macro="" textlink="">
      <xdr:nvSpPr>
        <xdr:cNvPr id="14" name="TextBox 13"/>
        <xdr:cNvSpPr txBox="1"/>
      </xdr:nvSpPr>
      <xdr:spPr>
        <a:xfrm>
          <a:off x="2071059" y="4262937"/>
          <a:ext cx="315285" cy="267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a:t>
          </a:r>
          <a:r>
            <a:rPr lang="en-CA" sz="800">
              <a:solidFill>
                <a:schemeClr val="tx1"/>
              </a:solidFill>
              <a:latin typeface="+mn-lt"/>
              <a:ea typeface="+mn-ea"/>
              <a:cs typeface="+mn-cs"/>
            </a:rPr>
            <a:t>₁</a:t>
          </a:r>
          <a:endParaRPr lang="en-CA" sz="800"/>
        </a:p>
      </xdr:txBody>
    </xdr:sp>
    <xdr:clientData/>
  </xdr:twoCellAnchor>
  <xdr:twoCellAnchor>
    <xdr:from>
      <xdr:col>4</xdr:col>
      <xdr:colOff>66262</xdr:colOff>
      <xdr:row>26</xdr:row>
      <xdr:rowOff>102178</xdr:rowOff>
    </xdr:from>
    <xdr:to>
      <xdr:col>4</xdr:col>
      <xdr:colOff>398693</xdr:colOff>
      <xdr:row>28</xdr:row>
      <xdr:rowOff>42733</xdr:rowOff>
    </xdr:to>
    <xdr:sp macro="" textlink="">
      <xdr:nvSpPr>
        <xdr:cNvPr id="15" name="TextBox 14"/>
        <xdr:cNvSpPr txBox="1"/>
      </xdr:nvSpPr>
      <xdr:spPr>
        <a:xfrm>
          <a:off x="2504662" y="4423807"/>
          <a:ext cx="332431" cy="267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M₁</a:t>
          </a:r>
          <a:r>
            <a:rPr lang="en-CA" sz="800">
              <a:solidFill>
                <a:schemeClr val="tx1"/>
              </a:solidFill>
              <a:latin typeface="+mn-lt"/>
              <a:ea typeface="+mn-ea"/>
              <a:cs typeface="+mn-cs"/>
            </a:rPr>
            <a:t>₁</a:t>
          </a:r>
          <a:endParaRPr lang="en-CA" sz="800"/>
        </a:p>
      </xdr:txBody>
    </xdr:sp>
    <xdr:clientData/>
  </xdr:twoCellAnchor>
  <xdr:twoCellAnchor>
    <xdr:from>
      <xdr:col>3</xdr:col>
      <xdr:colOff>576536</xdr:colOff>
      <xdr:row>21</xdr:row>
      <xdr:rowOff>47127</xdr:rowOff>
    </xdr:from>
    <xdr:to>
      <xdr:col>4</xdr:col>
      <xdr:colOff>331011</xdr:colOff>
      <xdr:row>22</xdr:row>
      <xdr:rowOff>108416</xdr:rowOff>
    </xdr:to>
    <xdr:sp macro="" textlink="">
      <xdr:nvSpPr>
        <xdr:cNvPr id="16" name="TextBox 15"/>
        <xdr:cNvSpPr txBox="1"/>
      </xdr:nvSpPr>
      <xdr:spPr>
        <a:xfrm>
          <a:off x="2405336" y="3552327"/>
          <a:ext cx="364075" cy="224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M₂</a:t>
          </a:r>
          <a:r>
            <a:rPr lang="en-CA" sz="800">
              <a:solidFill>
                <a:schemeClr val="tx1"/>
              </a:solidFill>
              <a:latin typeface="+mn-lt"/>
              <a:ea typeface="+mn-ea"/>
              <a:cs typeface="+mn-cs"/>
            </a:rPr>
            <a:t>₂</a:t>
          </a:r>
          <a:endParaRPr lang="en-CA" sz="800"/>
        </a:p>
      </xdr:txBody>
    </xdr:sp>
    <xdr:clientData/>
  </xdr:twoCellAnchor>
  <xdr:twoCellAnchor>
    <xdr:from>
      <xdr:col>2</xdr:col>
      <xdr:colOff>61442</xdr:colOff>
      <xdr:row>27</xdr:row>
      <xdr:rowOff>22306</xdr:rowOff>
    </xdr:from>
    <xdr:to>
      <xdr:col>2</xdr:col>
      <xdr:colOff>424752</xdr:colOff>
      <xdr:row>28</xdr:row>
      <xdr:rowOff>87513</xdr:rowOff>
    </xdr:to>
    <xdr:sp macro="" textlink="">
      <xdr:nvSpPr>
        <xdr:cNvPr id="17" name="TextBox 16"/>
        <xdr:cNvSpPr txBox="1"/>
      </xdr:nvSpPr>
      <xdr:spPr>
        <a:xfrm>
          <a:off x="1280642" y="4507220"/>
          <a:ext cx="363310" cy="228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M₃</a:t>
          </a:r>
          <a:r>
            <a:rPr lang="en-CA" sz="800">
              <a:solidFill>
                <a:schemeClr val="tx1"/>
              </a:solidFill>
              <a:latin typeface="+mn-lt"/>
              <a:ea typeface="+mn-ea"/>
              <a:cs typeface="+mn-cs"/>
            </a:rPr>
            <a:t>₃</a:t>
          </a:r>
          <a:endParaRPr lang="en-CA" sz="800"/>
        </a:p>
      </xdr:txBody>
    </xdr:sp>
    <xdr:clientData/>
  </xdr:twoCellAnchor>
  <xdr:twoCellAnchor>
    <xdr:from>
      <xdr:col>2</xdr:col>
      <xdr:colOff>150651</xdr:colOff>
      <xdr:row>21</xdr:row>
      <xdr:rowOff>105975</xdr:rowOff>
    </xdr:from>
    <xdr:to>
      <xdr:col>2</xdr:col>
      <xdr:colOff>496464</xdr:colOff>
      <xdr:row>23</xdr:row>
      <xdr:rowOff>42934</xdr:rowOff>
    </xdr:to>
    <xdr:sp macro="" textlink="">
      <xdr:nvSpPr>
        <xdr:cNvPr id="18" name="TextBox 17"/>
        <xdr:cNvSpPr txBox="1"/>
      </xdr:nvSpPr>
      <xdr:spPr>
        <a:xfrm>
          <a:off x="1367992" y="3595377"/>
          <a:ext cx="345813" cy="2622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P₁₃</a:t>
          </a:r>
        </a:p>
      </xdr:txBody>
    </xdr:sp>
    <xdr:clientData/>
  </xdr:twoCellAnchor>
  <xdr:twoCellAnchor>
    <xdr:from>
      <xdr:col>2</xdr:col>
      <xdr:colOff>480639</xdr:colOff>
      <xdr:row>21</xdr:row>
      <xdr:rowOff>160639</xdr:rowOff>
    </xdr:from>
    <xdr:to>
      <xdr:col>3</xdr:col>
      <xdr:colOff>254446</xdr:colOff>
      <xdr:row>23</xdr:row>
      <xdr:rowOff>63226</xdr:rowOff>
    </xdr:to>
    <xdr:sp macro="" textlink="">
      <xdr:nvSpPr>
        <xdr:cNvPr id="19" name="TextBox 18"/>
        <xdr:cNvSpPr txBox="1"/>
      </xdr:nvSpPr>
      <xdr:spPr>
        <a:xfrm>
          <a:off x="1697980" y="3650041"/>
          <a:ext cx="382478" cy="227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P₁₂</a:t>
          </a:r>
        </a:p>
      </xdr:txBody>
    </xdr:sp>
    <xdr:clientData/>
  </xdr:twoCellAnchor>
  <xdr:twoCellAnchor>
    <xdr:from>
      <xdr:col>0</xdr:col>
      <xdr:colOff>56030</xdr:colOff>
      <xdr:row>26</xdr:row>
      <xdr:rowOff>92306</xdr:rowOff>
    </xdr:from>
    <xdr:to>
      <xdr:col>2</xdr:col>
      <xdr:colOff>43639</xdr:colOff>
      <xdr:row>30</xdr:row>
      <xdr:rowOff>59953</xdr:rowOff>
    </xdr:to>
    <xdr:sp macro="" textlink="">
      <xdr:nvSpPr>
        <xdr:cNvPr id="20" name="TextBox 19"/>
        <xdr:cNvSpPr txBox="1"/>
      </xdr:nvSpPr>
      <xdr:spPr>
        <a:xfrm>
          <a:off x="56030" y="4413935"/>
          <a:ext cx="1206809" cy="620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i="1"/>
            <a:t>Loads Sign Convention based on Right Hand Rule</a:t>
          </a:r>
        </a:p>
      </xdr:txBody>
    </xdr:sp>
    <xdr:clientData/>
  </xdr:twoCellAnchor>
  <xdr:twoCellAnchor>
    <xdr:from>
      <xdr:col>1</xdr:col>
      <xdr:colOff>592721</xdr:colOff>
      <xdr:row>25</xdr:row>
      <xdr:rowOff>6128</xdr:rowOff>
    </xdr:from>
    <xdr:to>
      <xdr:col>2</xdr:col>
      <xdr:colOff>325306</xdr:colOff>
      <xdr:row>26</xdr:row>
      <xdr:rowOff>99793</xdr:rowOff>
    </xdr:to>
    <xdr:sp macro="" textlink="">
      <xdr:nvSpPr>
        <xdr:cNvPr id="33" name="TextBox 32"/>
        <xdr:cNvSpPr txBox="1"/>
      </xdr:nvSpPr>
      <xdr:spPr>
        <a:xfrm>
          <a:off x="1201392" y="4146018"/>
          <a:ext cx="341255" cy="256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R</a:t>
          </a:r>
        </a:p>
      </xdr:txBody>
    </xdr:sp>
    <xdr:clientData/>
  </xdr:twoCellAnchor>
  <xdr:twoCellAnchor>
    <xdr:from>
      <xdr:col>1</xdr:col>
      <xdr:colOff>588343</xdr:colOff>
      <xdr:row>23</xdr:row>
      <xdr:rowOff>92021</xdr:rowOff>
    </xdr:from>
    <xdr:to>
      <xdr:col>2</xdr:col>
      <xdr:colOff>241610</xdr:colOff>
      <xdr:row>24</xdr:row>
      <xdr:rowOff>148683</xdr:rowOff>
    </xdr:to>
    <xdr:sp macro="" textlink="">
      <xdr:nvSpPr>
        <xdr:cNvPr id="34" name="TextBox 33"/>
        <xdr:cNvSpPr txBox="1"/>
      </xdr:nvSpPr>
      <xdr:spPr>
        <a:xfrm>
          <a:off x="1197014" y="3906667"/>
          <a:ext cx="261937" cy="219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r</a:t>
          </a:r>
        </a:p>
      </xdr:txBody>
    </xdr:sp>
    <xdr:clientData/>
  </xdr:twoCellAnchor>
  <xdr:twoCellAnchor>
    <xdr:from>
      <xdr:col>2</xdr:col>
      <xdr:colOff>289585</xdr:colOff>
      <xdr:row>20</xdr:row>
      <xdr:rowOff>27300</xdr:rowOff>
    </xdr:from>
    <xdr:to>
      <xdr:col>2</xdr:col>
      <xdr:colOff>545913</xdr:colOff>
      <xdr:row>21</xdr:row>
      <xdr:rowOff>78697</xdr:rowOff>
    </xdr:to>
    <xdr:sp macro="" textlink="">
      <xdr:nvSpPr>
        <xdr:cNvPr id="36" name="TextBox 35"/>
        <xdr:cNvSpPr txBox="1"/>
      </xdr:nvSpPr>
      <xdr:spPr>
        <a:xfrm>
          <a:off x="1508785" y="3369214"/>
          <a:ext cx="256328" cy="214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1</a:t>
          </a:r>
        </a:p>
      </xdr:txBody>
    </xdr:sp>
    <xdr:clientData/>
  </xdr:twoCellAnchor>
  <xdr:twoCellAnchor>
    <xdr:from>
      <xdr:col>3</xdr:col>
      <xdr:colOff>194122</xdr:colOff>
      <xdr:row>23</xdr:row>
      <xdr:rowOff>44876</xdr:rowOff>
    </xdr:from>
    <xdr:to>
      <xdr:col>3</xdr:col>
      <xdr:colOff>422674</xdr:colOff>
      <xdr:row>24</xdr:row>
      <xdr:rowOff>96273</xdr:rowOff>
    </xdr:to>
    <xdr:sp macro="" textlink="">
      <xdr:nvSpPr>
        <xdr:cNvPr id="37" name="TextBox 36"/>
        <xdr:cNvSpPr txBox="1"/>
      </xdr:nvSpPr>
      <xdr:spPr>
        <a:xfrm>
          <a:off x="2022922" y="3876647"/>
          <a:ext cx="228552" cy="214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2</a:t>
          </a:r>
        </a:p>
      </xdr:txBody>
    </xdr:sp>
    <xdr:clientData/>
  </xdr:twoCellAnchor>
  <xdr:twoCellAnchor>
    <xdr:from>
      <xdr:col>2</xdr:col>
      <xdr:colOff>369434</xdr:colOff>
      <xdr:row>25</xdr:row>
      <xdr:rowOff>153735</xdr:rowOff>
    </xdr:from>
    <xdr:to>
      <xdr:col>3</xdr:col>
      <xdr:colOff>15717</xdr:colOff>
      <xdr:row>27</xdr:row>
      <xdr:rowOff>41847</xdr:rowOff>
    </xdr:to>
    <xdr:sp macro="" textlink="">
      <xdr:nvSpPr>
        <xdr:cNvPr id="38" name="TextBox 37"/>
        <xdr:cNvSpPr txBox="1"/>
      </xdr:nvSpPr>
      <xdr:spPr>
        <a:xfrm>
          <a:off x="1588634" y="4312078"/>
          <a:ext cx="255883" cy="214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3</a:t>
          </a:r>
        </a:p>
      </xdr:txBody>
    </xdr:sp>
    <xdr:clientData/>
  </xdr:twoCellAnchor>
  <xdr:twoCellAnchor>
    <xdr:from>
      <xdr:col>1</xdr:col>
      <xdr:colOff>485528</xdr:colOff>
      <xdr:row>22</xdr:row>
      <xdr:rowOff>108260</xdr:rowOff>
    </xdr:from>
    <xdr:to>
      <xdr:col>2</xdr:col>
      <xdr:colOff>132256</xdr:colOff>
      <xdr:row>23</xdr:row>
      <xdr:rowOff>162522</xdr:rowOff>
    </xdr:to>
    <xdr:sp macro="" textlink="">
      <xdr:nvSpPr>
        <xdr:cNvPr id="39" name="TextBox 38"/>
        <xdr:cNvSpPr txBox="1"/>
      </xdr:nvSpPr>
      <xdr:spPr>
        <a:xfrm>
          <a:off x="1095128" y="3776746"/>
          <a:ext cx="256328" cy="2175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4</a:t>
          </a:r>
        </a:p>
      </xdr:txBody>
    </xdr:sp>
    <xdr:clientData/>
  </xdr:twoCellAnchor>
  <xdr:twoCellAnchor>
    <xdr:from>
      <xdr:col>26</xdr:col>
      <xdr:colOff>255894</xdr:colOff>
      <xdr:row>66</xdr:row>
      <xdr:rowOff>76208</xdr:rowOff>
    </xdr:from>
    <xdr:to>
      <xdr:col>28</xdr:col>
      <xdr:colOff>229937</xdr:colOff>
      <xdr:row>72</xdr:row>
      <xdr:rowOff>35076</xdr:rowOff>
    </xdr:to>
    <xdr:grpSp>
      <xdr:nvGrpSpPr>
        <xdr:cNvPr id="62" name="Group 61"/>
        <xdr:cNvGrpSpPr/>
      </xdr:nvGrpSpPr>
      <xdr:grpSpPr>
        <a:xfrm>
          <a:off x="14436714" y="11658608"/>
          <a:ext cx="1223723" cy="1025668"/>
          <a:chOff x="3908458" y="15169207"/>
          <a:chExt cx="1163535" cy="962390"/>
        </a:xfrm>
      </xdr:grpSpPr>
      <xdr:sp macro="" textlink="">
        <xdr:nvSpPr>
          <xdr:cNvPr id="63" name="Oval 62"/>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4" name="TextBox 63"/>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sp macro="" textlink="">
        <xdr:nvSpPr>
          <xdr:cNvPr id="65" name="Oval 64"/>
          <xdr:cNvSpPr/>
        </xdr:nvSpPr>
        <xdr:spPr>
          <a:xfrm>
            <a:off x="4179982" y="15497349"/>
            <a:ext cx="455507" cy="457338"/>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66" name="Group 45"/>
          <xdr:cNvGrpSpPr/>
        </xdr:nvGrpSpPr>
        <xdr:grpSpPr>
          <a:xfrm>
            <a:off x="3908458" y="15169207"/>
            <a:ext cx="1163535" cy="962390"/>
            <a:chOff x="4679159" y="11264777"/>
            <a:chExt cx="1392930" cy="1147486"/>
          </a:xfrm>
        </xdr:grpSpPr>
        <xdr:grpSp>
          <xdr:nvGrpSpPr>
            <xdr:cNvPr id="70" name="Group 49"/>
            <xdr:cNvGrpSpPr/>
          </xdr:nvGrpSpPr>
          <xdr:grpSpPr>
            <a:xfrm>
              <a:off x="4679159" y="11447857"/>
              <a:ext cx="1202531" cy="964406"/>
              <a:chOff x="4679159" y="11447857"/>
              <a:chExt cx="1202531" cy="964406"/>
            </a:xfrm>
          </xdr:grpSpPr>
          <xdr:cxnSp macro="">
            <xdr:nvCxnSpPr>
              <xdr:cNvPr id="73" name="Straight Connector 72"/>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5" name="Rectangle 74"/>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71" name="TextBox 70"/>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72" name="TextBox 71"/>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67" name="Straight Arrow Connector 66"/>
          <xdr:cNvCxnSpPr>
            <a:endCxn id="63"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xdr:cNvCxnSpPr>
            <a:endCxn id="65" idx="1"/>
          </xdr:cNvCxnSpPr>
        </xdr:nvCxnSpPr>
        <xdr:spPr>
          <a:xfrm flipH="1" flipV="1">
            <a:off x="4245690" y="15562845"/>
            <a:ext cx="162911" cy="1665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9" name="TextBox 68"/>
          <xdr:cNvSpPr txBox="1"/>
        </xdr:nvSpPr>
        <xdr:spPr>
          <a:xfrm>
            <a:off x="4129111" y="15559071"/>
            <a:ext cx="215116"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1</xdr:col>
      <xdr:colOff>32095</xdr:colOff>
      <xdr:row>43</xdr:row>
      <xdr:rowOff>22412</xdr:rowOff>
    </xdr:from>
    <xdr:to>
      <xdr:col>3</xdr:col>
      <xdr:colOff>575522</xdr:colOff>
      <xdr:row>54</xdr:row>
      <xdr:rowOff>748</xdr:rowOff>
    </xdr:to>
    <xdr:sp macro="" textlink="">
      <xdr:nvSpPr>
        <xdr:cNvPr id="76" name="Donut 75"/>
        <xdr:cNvSpPr/>
      </xdr:nvSpPr>
      <xdr:spPr>
        <a:xfrm>
          <a:off x="637213" y="6858000"/>
          <a:ext cx="1753662" cy="1704042"/>
        </a:xfrm>
        <a:prstGeom prst="donut">
          <a:avLst>
            <a:gd name="adj" fmla="val 1160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2</xdr:col>
      <xdr:colOff>146583</xdr:colOff>
      <xdr:row>23</xdr:row>
      <xdr:rowOff>88281</xdr:rowOff>
    </xdr:from>
    <xdr:to>
      <xdr:col>2</xdr:col>
      <xdr:colOff>441403</xdr:colOff>
      <xdr:row>25</xdr:row>
      <xdr:rowOff>78030</xdr:rowOff>
    </xdr:to>
    <xdr:cxnSp macro="">
      <xdr:nvCxnSpPr>
        <xdr:cNvPr id="78" name="Straight Arrow Connector 77"/>
        <xdr:cNvCxnSpPr>
          <a:endCxn id="48" idx="3"/>
        </xdr:cNvCxnSpPr>
      </xdr:nvCxnSpPr>
      <xdr:spPr>
        <a:xfrm flipH="1">
          <a:off x="1363924" y="3902927"/>
          <a:ext cx="294820" cy="31499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144037</xdr:colOff>
      <xdr:row>23</xdr:row>
      <xdr:rowOff>83634</xdr:rowOff>
    </xdr:from>
    <xdr:to>
      <xdr:col>2</xdr:col>
      <xdr:colOff>441403</xdr:colOff>
      <xdr:row>24</xdr:row>
      <xdr:rowOff>55756</xdr:rowOff>
    </xdr:to>
    <xdr:cxnSp macro="">
      <xdr:nvCxnSpPr>
        <xdr:cNvPr id="80" name="Straight Arrow Connector 79"/>
        <xdr:cNvCxnSpPr/>
      </xdr:nvCxnSpPr>
      <xdr:spPr>
        <a:xfrm flipH="1">
          <a:off x="1361378" y="3898280"/>
          <a:ext cx="297366" cy="1347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54" name="Group 53"/>
        <xdr:cNvGrpSpPr/>
      </xdr:nvGrpSpPr>
      <xdr:grpSpPr>
        <a:xfrm>
          <a:off x="40822" y="1267641"/>
          <a:ext cx="2525213" cy="630195"/>
          <a:chOff x="40822" y="1267641"/>
          <a:chExt cx="2570933" cy="630195"/>
        </a:xfrm>
      </xdr:grpSpPr>
      <xdr:pic>
        <xdr:nvPicPr>
          <xdr:cNvPr id="58" name="Picture 5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 name="Picture 5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AA-SM-99-001%20Equa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A-SM-99-001 Equations"/>
    </sheetNames>
    <definedNames>
      <definedName name="forex"/>
      <definedName name="FORVAR"/>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I12" sqref="I12"/>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113" customWidth="1"/>
    <col min="18" max="19" width="5.33203125" style="114" customWidth="1"/>
    <col min="20" max="25" width="9.109375" style="34"/>
    <col min="26" max="16384" width="9.109375" style="20"/>
  </cols>
  <sheetData>
    <row r="1" spans="1:25" s="5" customFormat="1" ht="13.8" x14ac:dyDescent="0.3">
      <c r="A1" s="1"/>
      <c r="B1" s="2" t="s">
        <v>0</v>
      </c>
      <c r="C1" s="3" t="s">
        <v>1</v>
      </c>
      <c r="D1" s="1"/>
      <c r="E1" s="1"/>
      <c r="F1" s="2" t="s">
        <v>2</v>
      </c>
      <c r="G1" s="4"/>
      <c r="H1" s="1"/>
      <c r="I1" s="1"/>
      <c r="J1" s="1"/>
      <c r="K1" s="1"/>
      <c r="M1" s="32"/>
      <c r="N1" s="32"/>
      <c r="O1" s="32"/>
      <c r="P1" s="32"/>
      <c r="Q1" s="32"/>
      <c r="R1" s="32"/>
      <c r="S1" s="32"/>
      <c r="T1" s="28"/>
      <c r="U1" s="28"/>
      <c r="V1" s="28"/>
      <c r="W1" s="29"/>
      <c r="X1" s="30"/>
      <c r="Y1" s="28"/>
    </row>
    <row r="2" spans="1:25" s="5" customFormat="1" ht="13.8" x14ac:dyDescent="0.3">
      <c r="A2" s="1"/>
      <c r="B2" s="2" t="s">
        <v>10</v>
      </c>
      <c r="C2" s="3" t="s">
        <v>11</v>
      </c>
      <c r="D2" s="1"/>
      <c r="E2" s="1"/>
      <c r="F2" s="2" t="s">
        <v>12</v>
      </c>
      <c r="G2" s="3"/>
      <c r="H2" s="1"/>
      <c r="I2" s="1"/>
      <c r="J2" s="1"/>
      <c r="K2" s="1"/>
      <c r="M2" s="32"/>
      <c r="N2" s="32"/>
      <c r="O2" s="32"/>
      <c r="P2" s="32"/>
      <c r="Q2" s="32"/>
      <c r="R2" s="32"/>
      <c r="S2" s="32"/>
      <c r="T2" s="28"/>
      <c r="U2" s="28"/>
      <c r="V2" s="28"/>
      <c r="W2" s="29"/>
      <c r="X2" s="30"/>
      <c r="Y2" s="28"/>
    </row>
    <row r="3" spans="1:25" s="5" customFormat="1" ht="13.8" x14ac:dyDescent="0.3">
      <c r="A3" s="1"/>
      <c r="B3" s="2" t="s">
        <v>15</v>
      </c>
      <c r="C3" s="10"/>
      <c r="D3" s="1"/>
      <c r="E3" s="1"/>
      <c r="F3" s="2" t="s">
        <v>17</v>
      </c>
      <c r="G3" s="3"/>
      <c r="H3" s="1"/>
      <c r="I3" s="1"/>
      <c r="J3" s="1"/>
      <c r="K3" s="1"/>
      <c r="M3" s="32"/>
      <c r="N3" s="32"/>
      <c r="O3" s="32"/>
      <c r="P3" s="32"/>
      <c r="Q3" s="32"/>
      <c r="R3" s="32"/>
      <c r="S3" s="32"/>
      <c r="T3" s="28"/>
      <c r="U3" s="28"/>
      <c r="V3" s="28"/>
      <c r="W3" s="29"/>
      <c r="X3" s="30"/>
      <c r="Y3" s="28"/>
    </row>
    <row r="4" spans="1:25" s="5" customFormat="1" ht="13.8" x14ac:dyDescent="0.3">
      <c r="A4" s="1"/>
      <c r="B4" s="2" t="s">
        <v>20</v>
      </c>
      <c r="C4" s="4"/>
      <c r="D4" s="1"/>
      <c r="E4" s="1"/>
      <c r="F4" s="2" t="s">
        <v>21</v>
      </c>
      <c r="G4" s="3" t="s">
        <v>22</v>
      </c>
      <c r="H4" s="1"/>
      <c r="I4" s="1"/>
      <c r="J4" s="1"/>
      <c r="K4" s="1"/>
      <c r="M4" s="32"/>
      <c r="N4" s="32"/>
      <c r="O4" s="32"/>
      <c r="P4" s="32"/>
      <c r="Q4" s="113"/>
      <c r="R4" s="114"/>
      <c r="S4" s="114"/>
      <c r="T4" s="28"/>
      <c r="U4" s="28"/>
      <c r="V4" s="28"/>
      <c r="W4" s="29"/>
      <c r="X4" s="30"/>
      <c r="Y4" s="28"/>
    </row>
    <row r="5" spans="1:25" s="5" customFormat="1" ht="13.8" x14ac:dyDescent="0.3">
      <c r="A5" s="1"/>
      <c r="B5" s="2" t="s">
        <v>23</v>
      </c>
      <c r="C5" s="4"/>
      <c r="D5" s="1"/>
      <c r="E5" s="2"/>
      <c r="F5" s="1"/>
      <c r="G5" s="1"/>
      <c r="H5" s="1"/>
      <c r="I5" s="1"/>
      <c r="J5" s="1"/>
      <c r="K5" s="1"/>
      <c r="M5" s="32"/>
      <c r="N5" s="32"/>
      <c r="O5" s="32"/>
      <c r="P5" s="32"/>
      <c r="Q5" s="113"/>
      <c r="R5" s="114"/>
      <c r="S5" s="114"/>
      <c r="T5" s="28"/>
      <c r="U5" s="28"/>
      <c r="V5" s="28"/>
      <c r="W5" s="29"/>
      <c r="X5" s="30"/>
      <c r="Y5" s="28"/>
    </row>
    <row r="6" spans="1:25" s="5" customFormat="1" ht="13.8" x14ac:dyDescent="0.3">
      <c r="A6" s="1"/>
      <c r="B6" s="1" t="s">
        <v>24</v>
      </c>
      <c r="C6" s="13"/>
      <c r="D6" s="1"/>
      <c r="E6" s="1"/>
      <c r="F6" s="1"/>
      <c r="G6" s="1"/>
      <c r="H6" s="1"/>
      <c r="I6" s="1"/>
      <c r="J6" s="1"/>
      <c r="K6" s="1"/>
      <c r="M6" s="32"/>
      <c r="N6" s="32"/>
      <c r="O6" s="32"/>
      <c r="P6" s="32"/>
      <c r="Q6" s="113"/>
      <c r="R6" s="114"/>
      <c r="S6" s="114"/>
      <c r="T6" s="28"/>
      <c r="U6" s="28"/>
      <c r="V6" s="28"/>
      <c r="W6" s="29"/>
      <c r="X6" s="30"/>
      <c r="Y6" s="28"/>
    </row>
    <row r="7" spans="1:25" s="5" customFormat="1" ht="13.8" x14ac:dyDescent="0.3">
      <c r="A7" s="1"/>
      <c r="B7" s="1"/>
      <c r="C7" s="1"/>
      <c r="D7" s="1"/>
      <c r="E7" s="1"/>
      <c r="F7" s="1"/>
      <c r="G7" s="1"/>
      <c r="H7" s="1"/>
      <c r="I7" s="1"/>
      <c r="J7" s="1"/>
      <c r="K7" s="1"/>
      <c r="M7" s="32"/>
      <c r="N7" s="32"/>
      <c r="O7" s="32"/>
      <c r="P7" s="32"/>
      <c r="Q7" s="113"/>
      <c r="R7" s="114"/>
      <c r="S7" s="114"/>
      <c r="T7" s="28"/>
      <c r="U7" s="28"/>
      <c r="V7" s="28"/>
      <c r="W7" s="29"/>
      <c r="X7" s="30"/>
      <c r="Y7" s="28"/>
    </row>
    <row r="8" spans="1:25" s="5" customFormat="1" ht="13.8" x14ac:dyDescent="0.3">
      <c r="A8" s="14"/>
      <c r="E8" s="7"/>
      <c r="F8" s="8"/>
      <c r="H8" s="15"/>
      <c r="I8" s="7"/>
      <c r="J8" s="16"/>
      <c r="K8" s="17"/>
      <c r="L8" s="18"/>
      <c r="M8" s="32"/>
      <c r="N8" s="32"/>
      <c r="O8" s="32"/>
      <c r="P8" s="32"/>
      <c r="Q8" s="113"/>
      <c r="R8" s="114"/>
      <c r="S8" s="114"/>
      <c r="T8" s="28"/>
      <c r="U8" s="28"/>
      <c r="V8" s="28"/>
      <c r="W8" s="28"/>
      <c r="X8" s="28"/>
      <c r="Y8" s="28"/>
    </row>
    <row r="9" spans="1:25" s="5" customFormat="1" ht="13.8" x14ac:dyDescent="0.3">
      <c r="E9" s="7"/>
      <c r="F9" s="15"/>
      <c r="H9" s="15"/>
      <c r="I9" s="7"/>
      <c r="J9" s="17"/>
      <c r="K9" s="17"/>
      <c r="L9" s="18"/>
      <c r="M9" s="32"/>
      <c r="N9" s="32"/>
      <c r="O9" s="32"/>
      <c r="P9" s="32"/>
      <c r="Q9" s="113"/>
      <c r="R9" s="114"/>
      <c r="S9" s="114"/>
      <c r="T9" s="28"/>
      <c r="U9" s="28"/>
      <c r="V9" s="28"/>
      <c r="W9" s="28"/>
      <c r="X9" s="28"/>
      <c r="Y9" s="28"/>
    </row>
    <row r="10" spans="1:25" s="5" customFormat="1" ht="13.8" x14ac:dyDescent="0.3">
      <c r="E10" s="7"/>
      <c r="F10" s="15"/>
      <c r="H10" s="15"/>
      <c r="I10" s="7"/>
      <c r="J10" s="8"/>
      <c r="K10" s="15"/>
      <c r="L10" s="18"/>
      <c r="M10" s="32"/>
      <c r="N10" s="32"/>
      <c r="O10" s="32"/>
      <c r="P10" s="32"/>
      <c r="Q10" s="113"/>
      <c r="R10" s="114"/>
      <c r="S10" s="114"/>
      <c r="T10" s="28"/>
      <c r="U10" s="28"/>
      <c r="V10" s="28"/>
      <c r="W10" s="28"/>
      <c r="X10" s="28"/>
      <c r="Y10" s="28"/>
    </row>
    <row r="11" spans="1:25" s="5" customFormat="1" ht="13.8" x14ac:dyDescent="0.3">
      <c r="E11" s="7"/>
      <c r="F11" s="15"/>
      <c r="I11" s="19"/>
      <c r="J11" s="8"/>
      <c r="M11" s="32"/>
      <c r="N11" s="32"/>
      <c r="O11" s="32"/>
      <c r="P11" s="32"/>
      <c r="Q11" s="32"/>
      <c r="R11" s="32"/>
      <c r="S11" s="32"/>
      <c r="T11" s="28"/>
      <c r="U11" s="28"/>
      <c r="V11" s="28"/>
      <c r="W11" s="28"/>
      <c r="X11" s="28"/>
      <c r="Y11" s="28"/>
    </row>
    <row r="12" spans="1:25" x14ac:dyDescent="0.3">
      <c r="C12" s="21" t="str">
        <f>G4</f>
        <v>IMPORTANT INFORMATION</v>
      </c>
      <c r="M12" s="32"/>
      <c r="N12" s="32"/>
      <c r="O12" s="32"/>
      <c r="P12" s="32"/>
      <c r="Q12" s="115"/>
      <c r="R12" s="115"/>
      <c r="S12" s="115"/>
    </row>
    <row r="13" spans="1:25" s="5" customFormat="1" ht="13.8" x14ac:dyDescent="0.3">
      <c r="M13" s="32"/>
      <c r="N13" s="32"/>
      <c r="O13" s="32"/>
      <c r="P13" s="32"/>
      <c r="Q13" s="32"/>
      <c r="R13" s="32"/>
      <c r="S13" s="32"/>
      <c r="T13" s="28"/>
      <c r="U13" s="28"/>
      <c r="V13" s="28"/>
      <c r="W13" s="28"/>
      <c r="X13" s="28"/>
      <c r="Y13" s="28"/>
    </row>
    <row r="14" spans="1:25" s="5" customFormat="1" ht="13.8" x14ac:dyDescent="0.3">
      <c r="B14" s="23" t="s">
        <v>31</v>
      </c>
      <c r="M14" s="32"/>
      <c r="N14" s="32"/>
      <c r="O14" s="32"/>
      <c r="P14" s="32"/>
      <c r="Q14" s="32"/>
      <c r="R14" s="32"/>
      <c r="S14" s="32"/>
      <c r="T14" s="28"/>
      <c r="U14" s="28"/>
      <c r="V14" s="28"/>
      <c r="W14" s="28"/>
      <c r="X14" s="28"/>
      <c r="Y14" s="28"/>
    </row>
    <row r="15" spans="1:25" s="5" customFormat="1" ht="13.8" x14ac:dyDescent="0.3">
      <c r="A15" s="24"/>
      <c r="K15" s="24"/>
      <c r="M15" s="113"/>
      <c r="N15" s="113"/>
      <c r="O15" s="113"/>
      <c r="P15" s="113"/>
      <c r="Q15" s="113"/>
      <c r="R15" s="114"/>
      <c r="S15" s="114"/>
      <c r="T15" s="28"/>
      <c r="U15" s="28"/>
      <c r="V15" s="28"/>
      <c r="W15" s="28"/>
      <c r="X15" s="28"/>
      <c r="Y15" s="28"/>
    </row>
    <row r="16" spans="1:25" s="5" customFormat="1" ht="12.75" customHeight="1" x14ac:dyDescent="0.3">
      <c r="B16" s="126" t="s">
        <v>130</v>
      </c>
      <c r="C16" s="126"/>
      <c r="D16" s="126"/>
      <c r="E16" s="126"/>
      <c r="F16" s="126"/>
      <c r="G16" s="126"/>
      <c r="H16" s="126"/>
      <c r="I16" s="126"/>
      <c r="J16" s="126"/>
      <c r="M16" s="113"/>
      <c r="N16" s="113"/>
      <c r="O16" s="113"/>
      <c r="P16" s="113"/>
      <c r="Q16" s="113"/>
      <c r="R16" s="114"/>
      <c r="S16" s="114"/>
      <c r="T16" s="28"/>
      <c r="U16" s="28"/>
      <c r="V16" s="28"/>
      <c r="W16" s="28"/>
      <c r="X16" s="28"/>
      <c r="Y16" s="28"/>
    </row>
    <row r="17" spans="1:25" s="5" customFormat="1" ht="13.8" x14ac:dyDescent="0.3">
      <c r="B17" s="126"/>
      <c r="C17" s="126"/>
      <c r="D17" s="126"/>
      <c r="E17" s="126"/>
      <c r="F17" s="126"/>
      <c r="G17" s="126"/>
      <c r="H17" s="126"/>
      <c r="I17" s="126"/>
      <c r="J17" s="126"/>
      <c r="M17" s="113"/>
      <c r="N17" s="113"/>
      <c r="O17" s="113"/>
      <c r="P17" s="113"/>
      <c r="Q17" s="113"/>
      <c r="R17" s="114"/>
      <c r="S17" s="114"/>
      <c r="T17" s="28"/>
      <c r="U17" s="28"/>
      <c r="V17" s="28"/>
      <c r="W17" s="28"/>
      <c r="X17" s="28"/>
      <c r="Y17" s="28"/>
    </row>
    <row r="18" spans="1:25" s="5" customFormat="1" ht="13.8" x14ac:dyDescent="0.3">
      <c r="B18" s="126"/>
      <c r="C18" s="126"/>
      <c r="D18" s="126"/>
      <c r="E18" s="126"/>
      <c r="F18" s="126"/>
      <c r="G18" s="126"/>
      <c r="H18" s="126"/>
      <c r="I18" s="126"/>
      <c r="J18" s="126"/>
      <c r="M18" s="113"/>
      <c r="N18" s="113"/>
      <c r="O18" s="113"/>
      <c r="P18" s="113"/>
      <c r="Q18" s="113"/>
      <c r="R18" s="114"/>
      <c r="S18" s="114"/>
      <c r="T18" s="28"/>
      <c r="U18" s="28"/>
      <c r="V18" s="28"/>
      <c r="W18" s="28"/>
      <c r="X18" s="28"/>
      <c r="Y18" s="28"/>
    </row>
    <row r="19" spans="1:25" s="5" customFormat="1" ht="13.8" x14ac:dyDescent="0.3">
      <c r="B19" s="126"/>
      <c r="C19" s="126"/>
      <c r="D19" s="126"/>
      <c r="E19" s="126"/>
      <c r="F19" s="126"/>
      <c r="G19" s="126"/>
      <c r="H19" s="126"/>
      <c r="I19" s="126"/>
      <c r="J19" s="126"/>
      <c r="M19" s="113"/>
      <c r="N19" s="113"/>
      <c r="O19" s="113"/>
      <c r="P19" s="113"/>
      <c r="Q19" s="113"/>
      <c r="R19" s="114"/>
      <c r="S19" s="114"/>
      <c r="T19" s="28"/>
      <c r="U19" s="28"/>
      <c r="V19" s="28"/>
      <c r="W19" s="28"/>
      <c r="X19" s="28"/>
      <c r="Y19" s="28"/>
    </row>
    <row r="20" spans="1:25" s="5" customFormat="1" ht="12.75" customHeight="1" x14ac:dyDescent="0.3">
      <c r="A20" s="24"/>
      <c r="B20" s="25" t="s">
        <v>128</v>
      </c>
      <c r="C20" s="24"/>
      <c r="D20" s="24"/>
      <c r="E20" s="24"/>
      <c r="F20" s="24"/>
      <c r="G20" s="24"/>
      <c r="H20" s="24"/>
      <c r="I20" s="24"/>
      <c r="J20" s="24"/>
      <c r="K20" s="24"/>
      <c r="M20" s="113"/>
      <c r="N20" s="113"/>
      <c r="O20" s="113"/>
      <c r="P20" s="113"/>
      <c r="Q20" s="113"/>
      <c r="R20" s="114"/>
      <c r="S20" s="114"/>
      <c r="T20" s="28"/>
      <c r="U20" s="28"/>
      <c r="V20" s="28"/>
      <c r="W20" s="28"/>
      <c r="X20" s="28"/>
      <c r="Y20" s="28"/>
    </row>
    <row r="21" spans="1:25" s="5" customFormat="1" ht="13.8" x14ac:dyDescent="0.3">
      <c r="A21" s="24"/>
      <c r="B21" s="25"/>
      <c r="C21" s="24"/>
      <c r="D21" s="24"/>
      <c r="E21" s="24"/>
      <c r="F21" s="24"/>
      <c r="G21" s="24"/>
      <c r="H21" s="24"/>
      <c r="I21" s="24"/>
      <c r="J21" s="24"/>
      <c r="K21" s="24"/>
      <c r="M21" s="113"/>
      <c r="N21" s="113"/>
      <c r="O21" s="113"/>
      <c r="P21" s="113"/>
      <c r="Q21" s="113"/>
      <c r="R21" s="114"/>
      <c r="S21" s="114"/>
      <c r="T21" s="28"/>
      <c r="U21" s="28"/>
      <c r="V21" s="28"/>
      <c r="W21" s="28"/>
      <c r="X21" s="28"/>
      <c r="Y21" s="28"/>
    </row>
    <row r="22" spans="1:25" s="5" customFormat="1" ht="12.75" customHeight="1" x14ac:dyDescent="0.3">
      <c r="A22" s="24"/>
      <c r="B22" s="126" t="s">
        <v>131</v>
      </c>
      <c r="C22" s="126"/>
      <c r="D22" s="126"/>
      <c r="E22" s="126"/>
      <c r="F22" s="126"/>
      <c r="G22" s="126"/>
      <c r="H22" s="126"/>
      <c r="I22" s="126"/>
      <c r="J22" s="126"/>
      <c r="K22" s="24"/>
      <c r="M22" s="113"/>
      <c r="N22" s="113"/>
      <c r="O22" s="113"/>
      <c r="P22" s="113"/>
      <c r="Q22" s="113"/>
      <c r="R22" s="114"/>
      <c r="S22" s="114"/>
      <c r="T22" s="28"/>
      <c r="U22" s="28"/>
      <c r="V22" s="28"/>
      <c r="W22" s="28"/>
      <c r="X22" s="28"/>
      <c r="Y22" s="28"/>
    </row>
    <row r="23" spans="1:25" s="5" customFormat="1" ht="13.8" x14ac:dyDescent="0.3">
      <c r="A23" s="24"/>
      <c r="B23" s="126"/>
      <c r="C23" s="126"/>
      <c r="D23" s="126"/>
      <c r="E23" s="126"/>
      <c r="F23" s="126"/>
      <c r="G23" s="126"/>
      <c r="H23" s="126"/>
      <c r="I23" s="126"/>
      <c r="J23" s="126"/>
      <c r="K23" s="24"/>
      <c r="M23" s="113"/>
      <c r="N23" s="113"/>
      <c r="O23" s="113"/>
      <c r="P23" s="113"/>
      <c r="Q23" s="113"/>
      <c r="R23" s="114"/>
      <c r="S23" s="116"/>
      <c r="T23" s="28"/>
      <c r="U23" s="28"/>
      <c r="V23" s="28"/>
      <c r="W23" s="28"/>
      <c r="X23" s="28"/>
      <c r="Y23" s="28"/>
    </row>
    <row r="24" spans="1:25" s="5" customFormat="1" ht="13.8" x14ac:dyDescent="0.3">
      <c r="A24" s="24"/>
      <c r="B24" s="126"/>
      <c r="C24" s="126"/>
      <c r="D24" s="126"/>
      <c r="E24" s="126"/>
      <c r="F24" s="126"/>
      <c r="G24" s="126"/>
      <c r="H24" s="126"/>
      <c r="I24" s="126"/>
      <c r="J24" s="126"/>
      <c r="K24" s="24"/>
      <c r="M24" s="113"/>
      <c r="N24" s="113"/>
      <c r="O24" s="113"/>
      <c r="P24" s="113"/>
      <c r="Q24" s="113"/>
      <c r="R24" s="114"/>
      <c r="S24" s="116"/>
      <c r="T24" s="28"/>
      <c r="U24" s="28"/>
      <c r="V24" s="28"/>
      <c r="W24" s="28"/>
      <c r="X24" s="28"/>
      <c r="Y24" s="28"/>
    </row>
    <row r="25" spans="1:25" s="5" customFormat="1" ht="12.75" customHeight="1" x14ac:dyDescent="0.3">
      <c r="A25" s="24"/>
      <c r="B25" s="117"/>
      <c r="C25" s="117"/>
      <c r="D25" s="117"/>
      <c r="E25" s="117"/>
      <c r="F25" s="123" t="s">
        <v>140</v>
      </c>
      <c r="G25" s="117"/>
      <c r="H25" s="117"/>
      <c r="I25" s="117"/>
      <c r="J25" s="117"/>
      <c r="K25" s="24"/>
      <c r="M25" s="113"/>
      <c r="N25" s="113"/>
      <c r="O25" s="113"/>
      <c r="P25" s="113"/>
      <c r="Q25" s="113"/>
      <c r="R25" s="114"/>
      <c r="S25" s="114"/>
      <c r="T25" s="28"/>
      <c r="U25" s="28"/>
      <c r="V25" s="28"/>
      <c r="W25" s="28"/>
      <c r="X25" s="28"/>
      <c r="Y25" s="28"/>
    </row>
    <row r="26" spans="1:25" s="5" customFormat="1" ht="12.75" customHeight="1" x14ac:dyDescent="0.3">
      <c r="A26" s="24"/>
      <c r="B26" s="126" t="s">
        <v>132</v>
      </c>
      <c r="C26" s="126"/>
      <c r="D26" s="126"/>
      <c r="E26" s="126"/>
      <c r="F26" s="126"/>
      <c r="G26" s="126"/>
      <c r="H26" s="126"/>
      <c r="I26" s="126"/>
      <c r="J26" s="126"/>
      <c r="K26" s="24"/>
      <c r="M26" s="113"/>
      <c r="N26" s="113"/>
      <c r="O26" s="113"/>
      <c r="P26" s="113"/>
      <c r="Q26" s="113"/>
      <c r="R26" s="114"/>
      <c r="S26" s="114"/>
      <c r="T26" s="28"/>
      <c r="U26" s="28"/>
      <c r="V26" s="28"/>
      <c r="W26" s="28"/>
      <c r="X26" s="28"/>
      <c r="Y26" s="28"/>
    </row>
    <row r="27" spans="1:25" s="5" customFormat="1" ht="13.8" x14ac:dyDescent="0.3">
      <c r="A27" s="24"/>
      <c r="B27" s="126"/>
      <c r="C27" s="126"/>
      <c r="D27" s="126"/>
      <c r="E27" s="126"/>
      <c r="F27" s="126"/>
      <c r="G27" s="126"/>
      <c r="H27" s="126"/>
      <c r="I27" s="126"/>
      <c r="J27" s="126"/>
      <c r="K27" s="24"/>
      <c r="M27" s="113"/>
      <c r="N27" s="113"/>
      <c r="O27" s="113"/>
      <c r="P27" s="113"/>
      <c r="Q27" s="113"/>
      <c r="R27" s="114"/>
      <c r="S27" s="114"/>
      <c r="T27" s="28"/>
      <c r="U27" s="28"/>
      <c r="V27" s="28"/>
      <c r="W27" s="28"/>
      <c r="X27" s="28"/>
      <c r="Y27" s="28"/>
    </row>
    <row r="28" spans="1:25" s="5" customFormat="1" ht="13.8" x14ac:dyDescent="0.3">
      <c r="A28" s="24"/>
      <c r="B28" s="117"/>
      <c r="C28" s="117"/>
      <c r="D28" s="117"/>
      <c r="E28" s="117"/>
      <c r="F28" s="117"/>
      <c r="G28" s="117"/>
      <c r="H28" s="117"/>
      <c r="I28" s="117"/>
      <c r="J28" s="117"/>
      <c r="K28" s="24"/>
      <c r="M28" s="113"/>
      <c r="N28" s="113"/>
      <c r="O28" s="113"/>
      <c r="P28" s="113"/>
      <c r="Q28" s="113"/>
      <c r="R28" s="114"/>
      <c r="S28" s="114"/>
      <c r="T28" s="28"/>
      <c r="U28" s="28"/>
      <c r="V28" s="28"/>
      <c r="W28" s="28"/>
      <c r="X28" s="28"/>
      <c r="Y28" s="28"/>
    </row>
    <row r="29" spans="1:25" s="5" customFormat="1" ht="12.75" customHeight="1" x14ac:dyDescent="0.3">
      <c r="A29" s="24"/>
      <c r="B29" s="126" t="s">
        <v>133</v>
      </c>
      <c r="C29" s="126"/>
      <c r="D29" s="126"/>
      <c r="E29" s="126"/>
      <c r="F29" s="126"/>
      <c r="G29" s="126"/>
      <c r="H29" s="126"/>
      <c r="I29" s="126"/>
      <c r="J29" s="126"/>
      <c r="K29" s="24"/>
      <c r="M29" s="113"/>
      <c r="N29" s="113"/>
      <c r="O29" s="113"/>
      <c r="P29" s="113"/>
      <c r="Q29" s="113"/>
      <c r="R29" s="114"/>
      <c r="S29" s="114"/>
      <c r="T29" s="28"/>
      <c r="U29" s="28"/>
      <c r="V29" s="28"/>
      <c r="W29" s="28"/>
      <c r="X29" s="28"/>
      <c r="Y29" s="28"/>
    </row>
    <row r="30" spans="1:25" s="5" customFormat="1" ht="12.75" customHeight="1" x14ac:dyDescent="0.3">
      <c r="A30" s="24"/>
      <c r="B30" s="126"/>
      <c r="C30" s="126"/>
      <c r="D30" s="126"/>
      <c r="E30" s="126"/>
      <c r="F30" s="126"/>
      <c r="G30" s="126"/>
      <c r="H30" s="126"/>
      <c r="I30" s="126"/>
      <c r="J30" s="126"/>
      <c r="K30" s="24"/>
      <c r="M30" s="113"/>
      <c r="N30" s="113"/>
      <c r="O30" s="113"/>
      <c r="P30" s="113"/>
      <c r="Q30" s="113"/>
      <c r="R30" s="114"/>
      <c r="S30" s="114"/>
      <c r="T30" s="28"/>
      <c r="U30" s="28"/>
      <c r="V30" s="28"/>
      <c r="W30" s="28"/>
      <c r="X30" s="28"/>
      <c r="Y30" s="28"/>
    </row>
    <row r="31" spans="1:25" s="5" customFormat="1" ht="12.75" customHeight="1" x14ac:dyDescent="0.3">
      <c r="A31" s="24"/>
      <c r="B31" s="126"/>
      <c r="C31" s="126"/>
      <c r="D31" s="126"/>
      <c r="E31" s="126"/>
      <c r="F31" s="126"/>
      <c r="G31" s="126"/>
      <c r="H31" s="126"/>
      <c r="I31" s="126"/>
      <c r="J31" s="126"/>
      <c r="K31" s="24"/>
      <c r="M31" s="113"/>
      <c r="N31" s="113"/>
      <c r="O31" s="113"/>
      <c r="P31" s="113"/>
      <c r="Q31" s="113"/>
      <c r="R31" s="114"/>
      <c r="S31" s="114"/>
      <c r="T31" s="28"/>
      <c r="U31" s="28"/>
      <c r="V31" s="28"/>
      <c r="W31" s="28"/>
      <c r="X31" s="28"/>
      <c r="Y31" s="28"/>
    </row>
    <row r="32" spans="1:25" s="5" customFormat="1" ht="12.75" customHeight="1" x14ac:dyDescent="0.3">
      <c r="A32" s="24"/>
      <c r="B32" s="126"/>
      <c r="C32" s="126"/>
      <c r="D32" s="126"/>
      <c r="E32" s="126"/>
      <c r="F32" s="126"/>
      <c r="G32" s="126"/>
      <c r="H32" s="126"/>
      <c r="I32" s="126"/>
      <c r="J32" s="126"/>
      <c r="K32" s="24"/>
      <c r="M32" s="113"/>
      <c r="N32" s="113"/>
      <c r="O32" s="113"/>
      <c r="P32" s="113"/>
      <c r="Q32" s="113"/>
      <c r="R32" s="114"/>
      <c r="S32" s="114"/>
      <c r="T32" s="28"/>
      <c r="U32" s="28"/>
      <c r="V32" s="28"/>
      <c r="W32" s="28"/>
      <c r="X32" s="28"/>
      <c r="Y32" s="28"/>
    </row>
    <row r="33" spans="1:25" s="5" customFormat="1" ht="12.75" customHeight="1" x14ac:dyDescent="0.3">
      <c r="A33" s="24"/>
      <c r="B33" s="126"/>
      <c r="C33" s="126"/>
      <c r="D33" s="126"/>
      <c r="E33" s="126"/>
      <c r="F33" s="126"/>
      <c r="G33" s="126"/>
      <c r="H33" s="126"/>
      <c r="I33" s="126"/>
      <c r="J33" s="126"/>
      <c r="K33" s="24"/>
      <c r="M33" s="113"/>
      <c r="N33" s="113"/>
      <c r="O33" s="113"/>
      <c r="P33" s="113"/>
      <c r="Q33" s="113"/>
      <c r="R33" s="114"/>
      <c r="S33" s="116"/>
      <c r="T33" s="28"/>
      <c r="U33" s="28"/>
      <c r="V33" s="28"/>
      <c r="W33" s="28"/>
      <c r="X33" s="28"/>
      <c r="Y33" s="28"/>
    </row>
    <row r="34" spans="1:25" s="5" customFormat="1" ht="13.8" x14ac:dyDescent="0.3">
      <c r="A34" s="24"/>
      <c r="B34" s="117"/>
      <c r="C34" s="117"/>
      <c r="D34" s="128" t="s">
        <v>32</v>
      </c>
      <c r="E34" s="128"/>
      <c r="F34" s="128"/>
      <c r="G34" s="128"/>
      <c r="H34" s="128"/>
      <c r="I34" s="117"/>
      <c r="J34" s="117"/>
      <c r="K34" s="24"/>
      <c r="M34" s="113"/>
      <c r="N34" s="113"/>
      <c r="O34" s="113"/>
      <c r="P34" s="113"/>
      <c r="Q34" s="113"/>
      <c r="R34" s="114"/>
      <c r="S34" s="116"/>
      <c r="T34" s="28"/>
      <c r="U34" s="28"/>
      <c r="V34" s="28"/>
      <c r="W34" s="28"/>
      <c r="X34" s="28"/>
      <c r="Y34" s="28"/>
    </row>
    <row r="35" spans="1:25" s="5" customFormat="1" ht="12.75" customHeight="1" x14ac:dyDescent="0.3">
      <c r="A35" s="24"/>
      <c r="B35" s="24"/>
      <c r="C35" s="24"/>
      <c r="I35" s="24"/>
      <c r="J35" s="24"/>
      <c r="K35" s="24"/>
      <c r="M35" s="113"/>
      <c r="N35" s="113"/>
      <c r="O35" s="113"/>
      <c r="P35" s="113"/>
      <c r="Q35" s="113"/>
      <c r="R35" s="114"/>
      <c r="S35" s="114"/>
      <c r="T35" s="28"/>
      <c r="U35" s="28"/>
      <c r="V35" s="28"/>
      <c r="W35" s="28"/>
      <c r="X35" s="28"/>
      <c r="Y35" s="28"/>
    </row>
    <row r="36" spans="1:25" s="5" customFormat="1" ht="12.75" customHeight="1" x14ac:dyDescent="0.3">
      <c r="A36" s="24"/>
      <c r="B36" s="25" t="s">
        <v>33</v>
      </c>
      <c r="C36" s="24"/>
      <c r="D36" s="24"/>
      <c r="E36" s="24"/>
      <c r="F36" s="124"/>
      <c r="G36" s="24"/>
      <c r="H36" s="24"/>
      <c r="I36" s="24"/>
      <c r="J36" s="24"/>
      <c r="K36" s="24"/>
      <c r="M36" s="113"/>
      <c r="N36" s="113"/>
      <c r="O36" s="113"/>
      <c r="P36" s="113"/>
      <c r="Q36" s="113"/>
      <c r="R36" s="114"/>
      <c r="S36" s="114"/>
      <c r="T36" s="28"/>
      <c r="U36" s="28"/>
      <c r="V36" s="28"/>
      <c r="W36" s="28"/>
      <c r="X36" s="28"/>
      <c r="Y36" s="28"/>
    </row>
    <row r="37" spans="1:25" s="5" customFormat="1" ht="13.8" x14ac:dyDescent="0.3">
      <c r="A37" s="24"/>
      <c r="B37" s="25"/>
      <c r="C37" s="24"/>
      <c r="D37" s="24"/>
      <c r="E37" s="24"/>
      <c r="F37" s="124"/>
      <c r="G37" s="24"/>
      <c r="H37" s="24"/>
      <c r="I37" s="24"/>
      <c r="J37" s="24"/>
      <c r="K37" s="24"/>
      <c r="M37" s="113"/>
      <c r="N37" s="113"/>
      <c r="O37" s="113"/>
      <c r="P37" s="113"/>
      <c r="Q37" s="113"/>
      <c r="R37" s="114"/>
      <c r="S37" s="114"/>
      <c r="T37" s="28"/>
      <c r="U37" s="28"/>
      <c r="V37" s="28"/>
      <c r="W37" s="28"/>
      <c r="X37" s="28"/>
      <c r="Y37" s="28"/>
    </row>
    <row r="38" spans="1:25" s="5" customFormat="1" ht="12.75" customHeight="1" x14ac:dyDescent="0.3">
      <c r="A38" s="24"/>
      <c r="B38" s="126" t="s">
        <v>134</v>
      </c>
      <c r="C38" s="126"/>
      <c r="D38" s="126"/>
      <c r="E38" s="126"/>
      <c r="F38" s="126"/>
      <c r="G38" s="126"/>
      <c r="H38" s="126"/>
      <c r="I38" s="126"/>
      <c r="J38" s="126"/>
      <c r="K38" s="24"/>
      <c r="M38" s="113"/>
      <c r="N38" s="113"/>
      <c r="O38" s="113"/>
      <c r="P38" s="113"/>
      <c r="Q38" s="113"/>
      <c r="R38" s="114"/>
      <c r="S38" s="114"/>
      <c r="T38" s="28"/>
      <c r="U38" s="28"/>
      <c r="V38" s="28"/>
      <c r="W38" s="28"/>
      <c r="X38" s="28"/>
      <c r="Y38" s="28"/>
    </row>
    <row r="39" spans="1:25" s="5" customFormat="1" ht="13.8" x14ac:dyDescent="0.3">
      <c r="A39" s="24"/>
      <c r="B39" s="126"/>
      <c r="C39" s="126"/>
      <c r="D39" s="126"/>
      <c r="E39" s="126"/>
      <c r="F39" s="126"/>
      <c r="G39" s="126"/>
      <c r="H39" s="126"/>
      <c r="I39" s="126"/>
      <c r="J39" s="126"/>
      <c r="K39" s="24"/>
      <c r="M39" s="113"/>
      <c r="N39" s="113"/>
      <c r="O39" s="113"/>
      <c r="P39" s="113"/>
      <c r="Q39" s="113"/>
      <c r="R39" s="114"/>
      <c r="S39" s="114"/>
      <c r="T39" s="28"/>
      <c r="U39" s="28"/>
      <c r="V39" s="28"/>
      <c r="W39" s="28"/>
      <c r="X39" s="28"/>
      <c r="Y39" s="28"/>
    </row>
    <row r="40" spans="1:25" s="5" customFormat="1" ht="13.8" x14ac:dyDescent="0.3">
      <c r="A40" s="24"/>
      <c r="B40" s="117"/>
      <c r="C40" s="117"/>
      <c r="D40" s="117"/>
      <c r="E40" s="117"/>
      <c r="F40" s="117"/>
      <c r="G40" s="117"/>
      <c r="H40" s="117"/>
      <c r="I40" s="117"/>
      <c r="J40" s="117"/>
      <c r="K40" s="24"/>
      <c r="M40" s="113"/>
      <c r="N40" s="113"/>
      <c r="O40" s="113"/>
      <c r="P40" s="113"/>
      <c r="Q40" s="113"/>
      <c r="R40" s="114"/>
      <c r="S40" s="114"/>
      <c r="T40" s="28"/>
      <c r="U40" s="28"/>
      <c r="V40" s="28"/>
      <c r="W40" s="28"/>
      <c r="X40" s="28"/>
      <c r="Y40" s="28"/>
    </row>
    <row r="41" spans="1:25" s="5" customFormat="1" ht="12.75" customHeight="1" x14ac:dyDescent="0.3">
      <c r="A41" s="24"/>
      <c r="B41" s="126" t="s">
        <v>135</v>
      </c>
      <c r="C41" s="126"/>
      <c r="D41" s="126"/>
      <c r="E41" s="126"/>
      <c r="F41" s="126"/>
      <c r="G41" s="126"/>
      <c r="H41" s="126"/>
      <c r="I41" s="126"/>
      <c r="J41" s="126"/>
      <c r="K41" s="24"/>
      <c r="M41" s="113"/>
      <c r="N41" s="113"/>
      <c r="O41" s="113"/>
      <c r="P41" s="113"/>
      <c r="Q41" s="113"/>
      <c r="R41" s="114"/>
      <c r="S41" s="114"/>
      <c r="T41" s="28"/>
      <c r="U41" s="28"/>
      <c r="V41" s="28"/>
      <c r="W41" s="28"/>
      <c r="X41" s="28"/>
      <c r="Y41" s="28"/>
    </row>
    <row r="42" spans="1:25" s="5" customFormat="1" ht="13.8" x14ac:dyDescent="0.3">
      <c r="A42" s="24"/>
      <c r="B42" s="126"/>
      <c r="C42" s="126"/>
      <c r="D42" s="126"/>
      <c r="E42" s="126"/>
      <c r="F42" s="126"/>
      <c r="G42" s="126"/>
      <c r="H42" s="126"/>
      <c r="I42" s="126"/>
      <c r="J42" s="126"/>
      <c r="K42" s="24"/>
      <c r="M42" s="113"/>
      <c r="N42" s="113"/>
      <c r="O42" s="113"/>
      <c r="P42" s="113"/>
      <c r="Q42" s="113"/>
      <c r="R42" s="114"/>
      <c r="S42" s="114"/>
      <c r="T42" s="28"/>
      <c r="U42" s="28"/>
      <c r="V42" s="28"/>
      <c r="W42" s="28"/>
      <c r="X42" s="28"/>
      <c r="Y42" s="28"/>
    </row>
    <row r="43" spans="1:25" s="5" customFormat="1" ht="13.8" x14ac:dyDescent="0.3">
      <c r="A43" s="24"/>
      <c r="B43" s="126"/>
      <c r="C43" s="126"/>
      <c r="D43" s="126"/>
      <c r="E43" s="126"/>
      <c r="F43" s="126"/>
      <c r="G43" s="126"/>
      <c r="H43" s="126"/>
      <c r="I43" s="126"/>
      <c r="J43" s="126"/>
      <c r="K43" s="24"/>
      <c r="M43" s="113"/>
      <c r="N43" s="113"/>
      <c r="O43" s="113"/>
      <c r="P43" s="113"/>
      <c r="Q43" s="113"/>
      <c r="R43" s="114"/>
      <c r="S43" s="114"/>
      <c r="T43" s="28"/>
      <c r="U43" s="28"/>
      <c r="V43" s="28"/>
      <c r="W43" s="28"/>
      <c r="X43" s="28"/>
      <c r="Y43" s="28"/>
    </row>
    <row r="44" spans="1:25" s="5" customFormat="1" ht="12.75" customHeight="1" x14ac:dyDescent="0.3">
      <c r="A44" s="24"/>
      <c r="B44" s="117"/>
      <c r="C44" s="117"/>
      <c r="D44" s="117"/>
      <c r="E44" s="117"/>
      <c r="F44" s="117"/>
      <c r="G44" s="117"/>
      <c r="H44" s="117"/>
      <c r="I44" s="117"/>
      <c r="J44" s="117"/>
      <c r="K44" s="24"/>
      <c r="M44" s="113"/>
      <c r="N44" s="113"/>
      <c r="O44" s="113"/>
      <c r="P44" s="113"/>
      <c r="Q44" s="113"/>
      <c r="R44" s="114"/>
      <c r="S44" s="114"/>
      <c r="T44" s="28"/>
      <c r="U44" s="28"/>
      <c r="V44" s="28"/>
      <c r="W44" s="28"/>
      <c r="X44" s="28"/>
      <c r="Y44" s="28"/>
    </row>
    <row r="45" spans="1:25" s="5" customFormat="1" ht="12.75" customHeight="1" x14ac:dyDescent="0.3">
      <c r="A45" s="24"/>
      <c r="B45" s="126" t="s">
        <v>129</v>
      </c>
      <c r="C45" s="126"/>
      <c r="D45" s="126"/>
      <c r="E45" s="126"/>
      <c r="F45" s="126"/>
      <c r="G45" s="126"/>
      <c r="H45" s="126"/>
      <c r="I45" s="126"/>
      <c r="J45" s="126"/>
      <c r="K45" s="24"/>
      <c r="M45" s="113"/>
      <c r="N45" s="113"/>
      <c r="O45" s="113"/>
      <c r="P45" s="113"/>
      <c r="Q45" s="113"/>
      <c r="R45" s="114"/>
      <c r="S45" s="114"/>
      <c r="T45" s="28"/>
      <c r="U45" s="28"/>
      <c r="V45" s="28"/>
      <c r="W45" s="28"/>
      <c r="X45" s="28"/>
      <c r="Y45" s="28"/>
    </row>
    <row r="46" spans="1:25" s="5" customFormat="1" ht="13.8" x14ac:dyDescent="0.3">
      <c r="A46" s="24"/>
      <c r="B46" s="126"/>
      <c r="C46" s="126"/>
      <c r="D46" s="126"/>
      <c r="E46" s="126"/>
      <c r="F46" s="126"/>
      <c r="G46" s="126"/>
      <c r="H46" s="126"/>
      <c r="I46" s="126"/>
      <c r="J46" s="126"/>
      <c r="K46" s="24"/>
      <c r="M46" s="113"/>
      <c r="N46" s="113"/>
      <c r="O46" s="113"/>
      <c r="P46" s="113"/>
      <c r="Q46" s="113"/>
      <c r="R46" s="114"/>
      <c r="S46" s="114"/>
      <c r="T46" s="28"/>
      <c r="U46" s="28"/>
      <c r="V46" s="28"/>
      <c r="W46" s="28"/>
      <c r="X46" s="28"/>
      <c r="Y46" s="28"/>
    </row>
    <row r="47" spans="1:25" s="5" customFormat="1" ht="13.8" x14ac:dyDescent="0.3">
      <c r="A47" s="24"/>
      <c r="B47" s="126"/>
      <c r="C47" s="126"/>
      <c r="D47" s="126"/>
      <c r="E47" s="126"/>
      <c r="F47" s="126"/>
      <c r="G47" s="126"/>
      <c r="H47" s="126"/>
      <c r="I47" s="126"/>
      <c r="J47" s="126"/>
      <c r="K47" s="24"/>
      <c r="M47" s="113"/>
      <c r="N47" s="113"/>
      <c r="O47" s="113"/>
      <c r="P47" s="113"/>
      <c r="Q47" s="113"/>
      <c r="R47" s="114"/>
      <c r="S47" s="114"/>
      <c r="T47" s="28"/>
      <c r="U47" s="28"/>
      <c r="V47" s="28"/>
      <c r="W47" s="28"/>
      <c r="X47" s="28"/>
      <c r="Y47" s="28"/>
    </row>
    <row r="48" spans="1:25" s="5" customFormat="1" ht="12.75" customHeight="1" x14ac:dyDescent="0.3">
      <c r="A48" s="24"/>
      <c r="B48" s="126"/>
      <c r="C48" s="126"/>
      <c r="D48" s="126"/>
      <c r="E48" s="126"/>
      <c r="F48" s="126"/>
      <c r="G48" s="126"/>
      <c r="H48" s="126"/>
      <c r="I48" s="126"/>
      <c r="J48" s="126"/>
      <c r="K48" s="24"/>
      <c r="M48" s="113"/>
      <c r="N48" s="113"/>
      <c r="O48" s="113"/>
      <c r="P48" s="113"/>
      <c r="Q48" s="113"/>
      <c r="R48" s="114"/>
      <c r="S48" s="114"/>
      <c r="T48" s="28"/>
      <c r="U48" s="28"/>
      <c r="V48" s="28"/>
      <c r="W48" s="28"/>
      <c r="X48" s="28"/>
      <c r="Y48" s="28"/>
    </row>
    <row r="49" spans="1:25" s="5" customFormat="1" ht="13.8" x14ac:dyDescent="0.3">
      <c r="A49" s="24"/>
      <c r="B49" s="24" t="s">
        <v>136</v>
      </c>
      <c r="C49" s="24"/>
      <c r="D49" s="24"/>
      <c r="E49" s="24"/>
      <c r="F49" s="24"/>
      <c r="G49" s="24"/>
      <c r="H49" s="24"/>
      <c r="I49" s="24"/>
      <c r="J49" s="24"/>
      <c r="K49" s="24"/>
      <c r="M49" s="113"/>
      <c r="N49" s="113"/>
      <c r="O49" s="113"/>
      <c r="P49" s="113"/>
      <c r="Q49" s="113"/>
      <c r="R49" s="114"/>
      <c r="S49" s="114"/>
      <c r="T49" s="28"/>
      <c r="U49" s="28"/>
      <c r="V49" s="28"/>
      <c r="W49" s="28"/>
      <c r="X49" s="28"/>
      <c r="Y49" s="28"/>
    </row>
    <row r="50" spans="1:25" s="5" customFormat="1" ht="13.8" x14ac:dyDescent="0.3">
      <c r="A50" s="24"/>
      <c r="B50" s="24"/>
      <c r="C50" s="24"/>
      <c r="D50" s="24"/>
      <c r="F50" s="123" t="s">
        <v>141</v>
      </c>
      <c r="G50" s="124"/>
      <c r="H50" s="24"/>
      <c r="I50" s="24"/>
      <c r="J50" s="24"/>
      <c r="K50" s="24"/>
      <c r="M50" s="113"/>
      <c r="N50" s="113"/>
      <c r="O50" s="113"/>
      <c r="P50" s="113"/>
      <c r="Q50" s="113"/>
      <c r="R50" s="114"/>
      <c r="S50" s="114"/>
      <c r="T50" s="28"/>
      <c r="U50" s="28"/>
      <c r="V50" s="28"/>
      <c r="W50" s="28"/>
      <c r="X50" s="28"/>
      <c r="Y50" s="28"/>
    </row>
    <row r="51" spans="1:25" s="5" customFormat="1" ht="13.8" x14ac:dyDescent="0.3">
      <c r="A51" s="24"/>
      <c r="B51" s="24"/>
      <c r="C51" s="24"/>
      <c r="D51" s="24"/>
      <c r="E51" s="24"/>
      <c r="F51" s="24"/>
      <c r="G51" s="24"/>
      <c r="H51" s="24"/>
      <c r="I51" s="24"/>
      <c r="J51" s="24"/>
      <c r="K51" s="24"/>
      <c r="M51" s="113"/>
      <c r="N51" s="113"/>
      <c r="O51" s="113"/>
      <c r="P51" s="113"/>
      <c r="Q51" s="113"/>
      <c r="R51" s="114"/>
      <c r="S51" s="114"/>
      <c r="T51" s="28"/>
      <c r="U51" s="28"/>
      <c r="V51" s="28"/>
      <c r="W51" s="28"/>
      <c r="X51" s="28"/>
      <c r="Y51" s="28"/>
    </row>
    <row r="52" spans="1:25" s="5" customFormat="1" ht="12.75" customHeight="1" x14ac:dyDescent="0.3">
      <c r="A52" s="24"/>
      <c r="B52" s="25" t="s">
        <v>137</v>
      </c>
      <c r="C52" s="24"/>
      <c r="D52" s="24"/>
      <c r="E52" s="24"/>
      <c r="F52" s="24"/>
      <c r="G52" s="24"/>
      <c r="H52" s="24"/>
      <c r="I52" s="24"/>
      <c r="J52" s="24"/>
      <c r="K52" s="24"/>
      <c r="M52" s="113"/>
      <c r="N52" s="113"/>
      <c r="O52" s="113"/>
      <c r="P52" s="113"/>
      <c r="Q52" s="113"/>
      <c r="R52" s="114"/>
      <c r="S52" s="114"/>
      <c r="T52" s="28"/>
      <c r="U52" s="28"/>
      <c r="V52" s="28"/>
      <c r="W52" s="28"/>
      <c r="X52" s="28"/>
      <c r="Y52" s="28"/>
    </row>
    <row r="53" spans="1:25" s="5" customFormat="1" ht="13.8" x14ac:dyDescent="0.3">
      <c r="A53" s="24"/>
      <c r="B53" s="24"/>
      <c r="C53" s="24"/>
      <c r="D53" s="24"/>
      <c r="E53" s="24"/>
      <c r="F53" s="24"/>
      <c r="G53" s="24"/>
      <c r="H53" s="24"/>
      <c r="I53" s="24"/>
      <c r="J53" s="24"/>
      <c r="K53" s="24"/>
      <c r="M53" s="113"/>
      <c r="N53" s="113"/>
      <c r="O53" s="113"/>
      <c r="P53" s="113"/>
      <c r="Q53" s="113"/>
      <c r="R53" s="114"/>
      <c r="S53" s="114"/>
      <c r="T53" s="28"/>
      <c r="U53" s="28"/>
      <c r="V53" s="28"/>
      <c r="W53" s="28"/>
      <c r="X53" s="28"/>
      <c r="Y53" s="28"/>
    </row>
    <row r="54" spans="1:25" s="5" customFormat="1" ht="12.75" customHeight="1" x14ac:dyDescent="0.3">
      <c r="A54" s="24"/>
      <c r="B54" s="127" t="s">
        <v>138</v>
      </c>
      <c r="C54" s="127"/>
      <c r="D54" s="127"/>
      <c r="E54" s="127"/>
      <c r="F54" s="127"/>
      <c r="G54" s="127"/>
      <c r="H54" s="127"/>
      <c r="I54" s="127"/>
      <c r="J54" s="127"/>
      <c r="K54" s="24"/>
      <c r="M54" s="113"/>
      <c r="N54" s="113"/>
      <c r="O54" s="113"/>
      <c r="P54" s="113"/>
      <c r="Q54" s="113"/>
      <c r="R54" s="114"/>
      <c r="S54" s="114"/>
      <c r="T54" s="28"/>
      <c r="U54" s="28"/>
      <c r="V54" s="28"/>
      <c r="W54" s="28"/>
      <c r="X54" s="28"/>
      <c r="Y54" s="28"/>
    </row>
    <row r="55" spans="1:25" s="5" customFormat="1" ht="13.8" x14ac:dyDescent="0.3">
      <c r="A55" s="24"/>
      <c r="B55" s="127"/>
      <c r="C55" s="127"/>
      <c r="D55" s="127"/>
      <c r="E55" s="127"/>
      <c r="F55" s="127"/>
      <c r="G55" s="127"/>
      <c r="H55" s="127"/>
      <c r="I55" s="127"/>
      <c r="J55" s="127"/>
      <c r="K55" s="24"/>
      <c r="M55" s="113"/>
      <c r="N55" s="113"/>
      <c r="O55" s="113"/>
      <c r="P55" s="113"/>
      <c r="Q55" s="113"/>
      <c r="R55" s="114"/>
      <c r="S55" s="114"/>
      <c r="T55" s="28"/>
      <c r="U55" s="28"/>
      <c r="V55" s="28"/>
      <c r="W55" s="28"/>
      <c r="X55" s="28"/>
      <c r="Y55" s="28"/>
    </row>
    <row r="56" spans="1:25" s="5" customFormat="1" ht="13.8" x14ac:dyDescent="0.3">
      <c r="A56" s="24"/>
      <c r="B56" s="127"/>
      <c r="C56" s="127"/>
      <c r="D56" s="127"/>
      <c r="E56" s="127"/>
      <c r="F56" s="127"/>
      <c r="G56" s="127"/>
      <c r="H56" s="127"/>
      <c r="I56" s="127"/>
      <c r="J56" s="127"/>
      <c r="K56" s="24"/>
      <c r="M56" s="113"/>
      <c r="N56" s="113"/>
      <c r="O56" s="113"/>
      <c r="P56" s="113"/>
      <c r="Q56" s="113"/>
      <c r="R56" s="114"/>
      <c r="S56" s="114"/>
      <c r="T56" s="28"/>
      <c r="U56" s="28"/>
      <c r="V56" s="28"/>
      <c r="W56" s="28"/>
      <c r="X56" s="28"/>
      <c r="Y56" s="28"/>
    </row>
    <row r="57" spans="1:25" s="5" customFormat="1" ht="13.8" x14ac:dyDescent="0.3">
      <c r="A57" s="24"/>
      <c r="B57" s="24"/>
      <c r="C57" s="24"/>
      <c r="D57" s="24"/>
      <c r="F57" s="124"/>
      <c r="G57" s="24"/>
      <c r="H57" s="24"/>
      <c r="I57" s="24"/>
      <c r="J57" s="24"/>
      <c r="K57" s="24"/>
      <c r="M57" s="113"/>
      <c r="N57" s="113"/>
      <c r="O57" s="113"/>
      <c r="P57" s="113"/>
      <c r="Q57" s="113"/>
      <c r="R57" s="114"/>
      <c r="S57" s="114"/>
      <c r="T57" s="28"/>
      <c r="U57" s="28"/>
      <c r="V57" s="28"/>
      <c r="W57" s="28"/>
      <c r="X57" s="28"/>
      <c r="Y57" s="28"/>
    </row>
    <row r="58" spans="1:25" s="5" customFormat="1" ht="13.8" x14ac:dyDescent="0.3">
      <c r="A58" s="24"/>
      <c r="B58" s="24"/>
      <c r="C58" s="24"/>
      <c r="D58" s="24"/>
      <c r="E58" s="24"/>
      <c r="F58" s="24"/>
      <c r="G58" s="24"/>
      <c r="H58" s="24"/>
      <c r="I58" s="24"/>
      <c r="J58" s="24"/>
      <c r="K58" s="24"/>
      <c r="M58" s="113"/>
      <c r="N58" s="113"/>
      <c r="O58" s="113"/>
      <c r="P58" s="113"/>
      <c r="Q58" s="113"/>
      <c r="R58" s="114"/>
      <c r="S58" s="114"/>
      <c r="T58" s="28"/>
      <c r="U58" s="28"/>
      <c r="V58" s="28"/>
      <c r="W58" s="28"/>
      <c r="X58" s="28"/>
      <c r="Y58" s="28"/>
    </row>
    <row r="59" spans="1:25" s="5" customFormat="1" ht="13.8" x14ac:dyDescent="0.3">
      <c r="K59" s="24"/>
      <c r="M59" s="113"/>
      <c r="N59" s="113"/>
      <c r="O59" s="113"/>
      <c r="P59" s="113"/>
      <c r="Q59" s="113"/>
      <c r="R59" s="114"/>
      <c r="S59" s="114"/>
      <c r="T59" s="28"/>
      <c r="U59" s="28"/>
      <c r="V59" s="28"/>
      <c r="W59" s="28"/>
      <c r="X59" s="28"/>
      <c r="Y59" s="28"/>
    </row>
    <row r="60" spans="1:25" s="5" customFormat="1" ht="13.8" x14ac:dyDescent="0.3">
      <c r="A60" s="24"/>
      <c r="B60" s="24" t="s">
        <v>139</v>
      </c>
      <c r="C60" s="24"/>
      <c r="D60" s="24"/>
      <c r="E60" s="24"/>
      <c r="F60" s="24"/>
      <c r="G60" s="24"/>
      <c r="H60" s="24"/>
      <c r="I60" s="24"/>
      <c r="J60" s="24"/>
      <c r="K60" s="24"/>
      <c r="M60" s="113"/>
      <c r="N60" s="113"/>
      <c r="O60" s="113"/>
      <c r="P60" s="113"/>
      <c r="Q60" s="113"/>
      <c r="R60" s="114"/>
      <c r="S60" s="114"/>
      <c r="T60" s="28"/>
      <c r="U60" s="28"/>
      <c r="V60" s="28"/>
      <c r="W60" s="28"/>
      <c r="X60" s="28"/>
      <c r="Y60" s="28"/>
    </row>
    <row r="61" spans="1:25" s="5" customFormat="1" ht="13.8" x14ac:dyDescent="0.3">
      <c r="A61" s="24"/>
      <c r="C61" s="24"/>
      <c r="D61" s="24"/>
      <c r="F61" s="123" t="s">
        <v>142</v>
      </c>
      <c r="G61" s="125"/>
      <c r="H61" s="24"/>
      <c r="I61" s="24"/>
      <c r="J61" s="24"/>
      <c r="K61" s="24"/>
      <c r="M61" s="113"/>
      <c r="N61" s="113"/>
      <c r="O61" s="113"/>
      <c r="P61" s="113"/>
      <c r="Q61" s="113"/>
      <c r="R61" s="114"/>
      <c r="S61" s="114"/>
      <c r="T61" s="28"/>
      <c r="U61" s="28"/>
      <c r="V61" s="28"/>
      <c r="W61" s="28"/>
      <c r="X61" s="28"/>
      <c r="Y61" s="28"/>
    </row>
    <row r="62" spans="1:25" s="5" customFormat="1" ht="13.8" x14ac:dyDescent="0.3">
      <c r="A62" s="24"/>
      <c r="B62" s="24"/>
      <c r="C62" s="24"/>
      <c r="D62" s="24"/>
      <c r="E62" s="24"/>
      <c r="F62" s="24"/>
      <c r="G62" s="24"/>
      <c r="H62" s="24"/>
      <c r="I62" s="24"/>
      <c r="J62" s="24"/>
      <c r="K62" s="24"/>
      <c r="M62" s="113"/>
      <c r="N62" s="113"/>
      <c r="O62" s="113"/>
      <c r="P62" s="113"/>
      <c r="Q62" s="113"/>
      <c r="R62" s="114"/>
      <c r="S62" s="114"/>
      <c r="T62" s="28"/>
      <c r="U62" s="28"/>
      <c r="V62" s="28"/>
      <c r="W62" s="28"/>
      <c r="X62" s="28"/>
      <c r="Y62" s="2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Z614"/>
  <sheetViews>
    <sheetView tabSelected="1" view="pageBreakPreview" zoomScaleNormal="100" zoomScaleSheetLayoutView="100" workbookViewId="0"/>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30" width="9.109375" style="20"/>
    <col min="31" max="31" width="12.5546875" style="20" bestFit="1" customWidth="1"/>
    <col min="32" max="37" width="9.109375" style="20"/>
    <col min="38" max="38" width="11.44140625" style="20" customWidth="1"/>
    <col min="39" max="58" width="9.109375" style="20"/>
    <col min="59" max="66" width="8.5546875" style="20" customWidth="1"/>
    <col min="67" max="16384" width="9.109375" style="20"/>
  </cols>
  <sheetData>
    <row r="1" spans="1:67"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67" s="5" customFormat="1" ht="13.8" x14ac:dyDescent="0.3">
      <c r="B2" s="7" t="s">
        <v>10</v>
      </c>
      <c r="C2" s="15" t="s">
        <v>11</v>
      </c>
      <c r="F2" s="7" t="s">
        <v>12</v>
      </c>
      <c r="G2" s="15" t="s">
        <v>143</v>
      </c>
      <c r="M2" s="9" t="s">
        <v>13</v>
      </c>
      <c r="N2" s="9" t="s">
        <v>13</v>
      </c>
      <c r="O2" s="9" t="s">
        <v>4</v>
      </c>
      <c r="P2" s="9" t="s">
        <v>4</v>
      </c>
      <c r="Q2" s="9" t="s">
        <v>4</v>
      </c>
      <c r="R2" s="9" t="s">
        <v>13</v>
      </c>
      <c r="S2" s="9" t="s">
        <v>13</v>
      </c>
      <c r="W2" s="7" t="s">
        <v>14</v>
      </c>
      <c r="X2" s="8">
        <f>SUM(N:N)</f>
        <v>0</v>
      </c>
    </row>
    <row r="3" spans="1:67" s="5" customFormat="1" ht="13.8" x14ac:dyDescent="0.3">
      <c r="B3" s="7" t="s">
        <v>15</v>
      </c>
      <c r="C3" s="15" t="s">
        <v>16</v>
      </c>
      <c r="F3" s="7" t="s">
        <v>17</v>
      </c>
      <c r="G3" s="15" t="s">
        <v>18</v>
      </c>
      <c r="M3" s="9"/>
      <c r="N3" s="9"/>
      <c r="O3" s="9"/>
      <c r="P3" s="9"/>
      <c r="Q3" s="9"/>
      <c r="R3" s="9"/>
      <c r="S3" s="9"/>
      <c r="W3" s="7" t="s">
        <v>19</v>
      </c>
      <c r="X3" s="8">
        <f>SUM(O:O)</f>
        <v>0</v>
      </c>
    </row>
    <row r="4" spans="1:67" s="5" customFormat="1" ht="13.8" x14ac:dyDescent="0.3">
      <c r="B4" s="7" t="s">
        <v>20</v>
      </c>
      <c r="C4" s="8"/>
      <c r="F4" s="7" t="s">
        <v>21</v>
      </c>
      <c r="G4" s="26" t="s">
        <v>124</v>
      </c>
      <c r="M4" s="9">
        <v>0</v>
      </c>
      <c r="N4" s="9"/>
      <c r="O4" s="9"/>
      <c r="P4" s="9"/>
      <c r="Q4" s="11"/>
      <c r="R4" s="12"/>
      <c r="S4" s="12"/>
      <c r="W4" s="7" t="s">
        <v>19</v>
      </c>
      <c r="X4" s="8">
        <f>SUM(P:P)</f>
        <v>0</v>
      </c>
    </row>
    <row r="5" spans="1:67" s="5" customFormat="1" ht="13.8" x14ac:dyDescent="0.3">
      <c r="B5" s="7" t="s">
        <v>23</v>
      </c>
      <c r="C5" s="15" t="s">
        <v>34</v>
      </c>
      <c r="E5" s="7"/>
      <c r="M5" s="9"/>
      <c r="N5" s="9"/>
      <c r="O5" s="9"/>
      <c r="P5" s="9"/>
      <c r="Q5" s="11"/>
      <c r="R5" s="12"/>
      <c r="S5" s="12"/>
      <c r="W5" s="7" t="s">
        <v>19</v>
      </c>
      <c r="X5" s="8">
        <f>SUM(Q:Q)</f>
        <v>0</v>
      </c>
    </row>
    <row r="6" spans="1:67" s="5" customFormat="1" ht="13.8" x14ac:dyDescent="0.3">
      <c r="B6" s="5" t="s">
        <v>24</v>
      </c>
      <c r="C6" s="27"/>
      <c r="M6" s="9"/>
      <c r="N6" s="9"/>
      <c r="O6" s="9"/>
      <c r="P6" s="9"/>
      <c r="Q6" s="11"/>
      <c r="R6" s="12"/>
      <c r="S6" s="12"/>
      <c r="W6" s="7" t="s">
        <v>25</v>
      </c>
      <c r="X6" s="8">
        <f>SUM(R:R)</f>
        <v>0</v>
      </c>
    </row>
    <row r="7" spans="1:67" s="5" customFormat="1" ht="13.8" x14ac:dyDescent="0.3">
      <c r="M7" s="9"/>
      <c r="N7" s="9"/>
      <c r="O7" s="9"/>
      <c r="P7" s="9"/>
      <c r="Q7" s="11"/>
      <c r="R7" s="12"/>
      <c r="S7" s="12"/>
      <c r="W7" s="7" t="s">
        <v>26</v>
      </c>
      <c r="X7" s="8">
        <f>SUM(S:S)</f>
        <v>0</v>
      </c>
    </row>
    <row r="8" spans="1:67" s="33" customFormat="1" ht="13.8" x14ac:dyDescent="0.3">
      <c r="A8" s="14"/>
      <c r="B8" s="5"/>
      <c r="C8" s="5"/>
      <c r="D8" s="5"/>
      <c r="E8" s="7" t="s">
        <v>0</v>
      </c>
      <c r="F8" s="8" t="str">
        <f>$C$1</f>
        <v>R. Abbott</v>
      </c>
      <c r="G8" s="5"/>
      <c r="H8" s="15"/>
      <c r="I8" s="7" t="s">
        <v>27</v>
      </c>
      <c r="J8" s="16" t="str">
        <f>$G$2</f>
        <v>AA-SM-041-027</v>
      </c>
      <c r="K8" s="17"/>
      <c r="L8" s="18"/>
      <c r="M8" s="9"/>
      <c r="N8" s="9"/>
      <c r="O8" s="9"/>
      <c r="P8" s="9"/>
      <c r="Q8" s="11"/>
      <c r="R8" s="12"/>
      <c r="S8" s="12"/>
      <c r="T8" s="28"/>
    </row>
    <row r="9" spans="1:67" s="28" customFormat="1" ht="13.8" x14ac:dyDescent="0.3">
      <c r="A9" s="5"/>
      <c r="B9" s="5"/>
      <c r="C9" s="5"/>
      <c r="D9" s="5"/>
      <c r="E9" s="7" t="s">
        <v>10</v>
      </c>
      <c r="F9" s="15" t="str">
        <f>$C$2</f>
        <v xml:space="preserve"> </v>
      </c>
      <c r="G9" s="5"/>
      <c r="H9" s="15"/>
      <c r="I9" s="7" t="s">
        <v>28</v>
      </c>
      <c r="J9" s="17" t="str">
        <f>$G$3</f>
        <v>IR</v>
      </c>
      <c r="K9" s="17"/>
      <c r="L9" s="18"/>
      <c r="M9" s="9">
        <v>1</v>
      </c>
      <c r="N9" s="9"/>
      <c r="O9" s="9"/>
      <c r="P9" s="9"/>
      <c r="Q9" s="11"/>
      <c r="R9" s="12"/>
      <c r="S9" s="12"/>
    </row>
    <row r="10" spans="1:67" s="28" customFormat="1" ht="13.8" x14ac:dyDescent="0.3">
      <c r="A10" s="5"/>
      <c r="B10" s="5"/>
      <c r="C10" s="5"/>
      <c r="D10" s="5"/>
      <c r="E10" s="7" t="s">
        <v>15</v>
      </c>
      <c r="F10" s="15" t="str">
        <f>$C$3</f>
        <v>20/10/2013</v>
      </c>
      <c r="G10" s="5"/>
      <c r="H10" s="15"/>
      <c r="I10" s="7" t="s">
        <v>29</v>
      </c>
      <c r="J10" s="8" t="str">
        <f>L10&amp;" of "&amp;$G$1</f>
        <v>1 of 1</v>
      </c>
      <c r="K10" s="15"/>
      <c r="L10" s="18">
        <f>SUM($M$1:M9)</f>
        <v>1</v>
      </c>
      <c r="M10" s="9"/>
      <c r="N10" s="9"/>
      <c r="O10" s="9"/>
      <c r="P10" s="9"/>
      <c r="Q10" s="11"/>
      <c r="R10" s="12"/>
      <c r="S10" s="12"/>
    </row>
    <row r="11" spans="1:67" s="28" customFormat="1" ht="13.8" x14ac:dyDescent="0.3">
      <c r="A11" s="5"/>
      <c r="B11" s="5"/>
      <c r="C11" s="5"/>
      <c r="D11" s="5"/>
      <c r="E11" s="7" t="s">
        <v>30</v>
      </c>
      <c r="F11" s="15" t="str">
        <f>$C$5</f>
        <v>STANDARD METHOD</v>
      </c>
      <c r="G11" s="5"/>
      <c r="H11" s="5"/>
      <c r="I11" s="19"/>
      <c r="J11" s="8"/>
      <c r="K11" s="5"/>
      <c r="L11" s="5"/>
      <c r="M11" s="9"/>
      <c r="N11" s="9"/>
      <c r="O11" s="9"/>
      <c r="P11" s="9"/>
      <c r="Q11" s="9"/>
      <c r="R11" s="9"/>
      <c r="S11" s="9"/>
    </row>
    <row r="12" spans="1:67" s="34" customFormat="1" x14ac:dyDescent="0.3">
      <c r="A12" s="118"/>
      <c r="B12" s="21" t="str">
        <f>$G$4</f>
        <v>VON MISES STRESS ON CIRCULAR CROSS SECTION</v>
      </c>
      <c r="C12" s="119"/>
      <c r="D12" s="119"/>
      <c r="E12" s="120"/>
      <c r="F12" s="119"/>
      <c r="G12" s="119"/>
      <c r="H12" s="119"/>
      <c r="I12" s="119"/>
      <c r="J12" s="119"/>
      <c r="K12" s="119"/>
      <c r="L12" s="121"/>
      <c r="M12" s="122"/>
      <c r="N12" s="9"/>
      <c r="O12" s="9"/>
      <c r="P12" s="9"/>
      <c r="Q12" s="22"/>
      <c r="R12" s="22"/>
      <c r="S12" s="22"/>
      <c r="AB12" s="28"/>
    </row>
    <row r="13" spans="1:67" s="28" customFormat="1" ht="13.8" x14ac:dyDescent="0.3">
      <c r="B13" s="31" t="s">
        <v>36</v>
      </c>
      <c r="M13" s="9"/>
      <c r="N13" s="9"/>
      <c r="O13" s="9"/>
      <c r="P13" s="9"/>
      <c r="Q13" s="9"/>
      <c r="R13" s="9"/>
      <c r="S13" s="9"/>
      <c r="W13" s="28" t="s">
        <v>35</v>
      </c>
      <c r="AB13" s="28" t="s">
        <v>35</v>
      </c>
    </row>
    <row r="14" spans="1:67" s="28" customFormat="1" ht="13.8" x14ac:dyDescent="0.3">
      <c r="M14" s="11"/>
      <c r="N14" s="11"/>
      <c r="O14" s="11"/>
      <c r="P14" s="11"/>
      <c r="Q14" s="11"/>
      <c r="R14" s="12"/>
      <c r="S14" s="12"/>
      <c r="W14" s="28" t="s">
        <v>37</v>
      </c>
      <c r="AB14" s="28" t="s">
        <v>38</v>
      </c>
      <c r="AE14" s="28">
        <v>1</v>
      </c>
      <c r="AF14" s="28">
        <v>0.20799999999999999</v>
      </c>
      <c r="AG14" s="28">
        <v>0.20799999999999999</v>
      </c>
      <c r="AI14" s="5" t="s">
        <v>40</v>
      </c>
      <c r="AJ14" s="5"/>
      <c r="AK14" s="5"/>
      <c r="AL14" s="5"/>
      <c r="AM14" s="5"/>
      <c r="AN14" s="18" t="s">
        <v>39</v>
      </c>
      <c r="AO14" s="18"/>
      <c r="AP14" s="18"/>
      <c r="AQ14" s="18"/>
      <c r="AR14" s="5"/>
      <c r="AS14" s="5"/>
      <c r="AT14" s="5" t="s">
        <v>41</v>
      </c>
      <c r="AU14" s="5"/>
      <c r="AV14" s="5"/>
      <c r="AW14" s="5"/>
      <c r="AX14" s="5"/>
      <c r="AY14" s="18" t="s">
        <v>39</v>
      </c>
      <c r="AZ14" s="18"/>
      <c r="BA14" s="18"/>
      <c r="BB14" s="18"/>
      <c r="BC14" s="5"/>
      <c r="BE14" s="5"/>
      <c r="BF14" s="15" t="s">
        <v>91</v>
      </c>
      <c r="BG14" s="5"/>
      <c r="BH14" s="5"/>
      <c r="BI14" s="5"/>
      <c r="BJ14" s="5"/>
      <c r="BK14" s="5"/>
      <c r="BL14" s="5"/>
      <c r="BM14" s="5"/>
      <c r="BN14" s="5"/>
      <c r="BO14" s="5"/>
    </row>
    <row r="15" spans="1:67" s="28" customFormat="1" ht="13.8" x14ac:dyDescent="0.3">
      <c r="I15" s="35"/>
      <c r="J15" s="35"/>
      <c r="K15" s="35"/>
      <c r="M15" s="11"/>
      <c r="N15" s="11"/>
      <c r="O15" s="11"/>
      <c r="P15" s="11"/>
      <c r="Q15" s="11"/>
      <c r="R15" s="12"/>
      <c r="S15" s="12"/>
      <c r="W15" s="32" t="s">
        <v>39</v>
      </c>
      <c r="AB15" s="32" t="s">
        <v>39</v>
      </c>
      <c r="AE15" s="28">
        <v>1.5</v>
      </c>
      <c r="AF15" s="28">
        <v>0.23100000000000001</v>
      </c>
      <c r="AG15" s="28">
        <v>0.26900000000000002</v>
      </c>
      <c r="AI15" s="5" t="s">
        <v>45</v>
      </c>
      <c r="AJ15" s="5"/>
      <c r="AK15" s="5"/>
      <c r="AL15" s="5"/>
      <c r="AM15" s="5"/>
      <c r="AN15" s="18" t="s">
        <v>44</v>
      </c>
      <c r="AO15" s="18" t="s">
        <v>46</v>
      </c>
      <c r="AP15" s="18"/>
      <c r="AQ15" s="18" t="s">
        <v>47</v>
      </c>
      <c r="AR15" s="18" t="s">
        <v>48</v>
      </c>
      <c r="AS15" s="5"/>
      <c r="AT15" s="5" t="s">
        <v>45</v>
      </c>
      <c r="AU15" s="5"/>
      <c r="AV15" s="5"/>
      <c r="AW15" s="5"/>
      <c r="AX15" s="5"/>
      <c r="AY15" s="18" t="s">
        <v>44</v>
      </c>
      <c r="AZ15" s="18" t="s">
        <v>46</v>
      </c>
      <c r="BA15" s="18"/>
      <c r="BB15" s="18" t="s">
        <v>47</v>
      </c>
      <c r="BC15" s="18" t="s">
        <v>48</v>
      </c>
      <c r="BE15" s="5"/>
      <c r="BF15" s="5"/>
      <c r="BG15" s="5"/>
      <c r="BH15" s="5"/>
      <c r="BI15" s="5"/>
      <c r="BJ15" s="5"/>
      <c r="BK15" s="5"/>
      <c r="BL15" s="5"/>
      <c r="BM15" s="5"/>
      <c r="BN15" s="5"/>
      <c r="BO15" s="5"/>
    </row>
    <row r="16" spans="1:67" s="28" customFormat="1" ht="13.8" x14ac:dyDescent="0.3">
      <c r="F16" s="81" t="s">
        <v>42</v>
      </c>
      <c r="G16" s="82"/>
      <c r="H16" s="82"/>
      <c r="I16" s="88" t="s">
        <v>43</v>
      </c>
      <c r="J16" s="82"/>
      <c r="K16" s="82"/>
      <c r="M16" s="11"/>
      <c r="N16" s="11"/>
      <c r="O16" s="11"/>
      <c r="P16" s="11"/>
      <c r="Q16" s="11"/>
      <c r="R16" s="12"/>
      <c r="S16" s="12"/>
      <c r="W16" s="32" t="s">
        <v>44</v>
      </c>
      <c r="AB16" s="32" t="s">
        <v>44</v>
      </c>
      <c r="AE16" s="28">
        <v>2</v>
      </c>
      <c r="AF16" s="28">
        <v>0.246</v>
      </c>
      <c r="AG16" s="28">
        <v>0.309</v>
      </c>
      <c r="AI16" s="5" t="s">
        <v>52</v>
      </c>
      <c r="AJ16" s="5"/>
      <c r="AK16" s="5"/>
      <c r="AL16" s="36">
        <f>J28</f>
        <v>0.375</v>
      </c>
      <c r="AM16" s="5" t="s">
        <v>53</v>
      </c>
      <c r="AN16" s="18" t="s">
        <v>51</v>
      </c>
      <c r="AO16" s="18" t="s">
        <v>54</v>
      </c>
      <c r="AP16" s="18" t="s">
        <v>55</v>
      </c>
      <c r="AQ16" s="18" t="s">
        <v>56</v>
      </c>
      <c r="AR16" s="18" t="s">
        <v>57</v>
      </c>
      <c r="AS16" s="5"/>
      <c r="AT16" s="5" t="s">
        <v>58</v>
      </c>
      <c r="AU16" s="5"/>
      <c r="AV16" s="5"/>
      <c r="AW16" s="36">
        <f>J29</f>
        <v>0</v>
      </c>
      <c r="AX16" s="5" t="s">
        <v>53</v>
      </c>
      <c r="AY16" s="18" t="s">
        <v>51</v>
      </c>
      <c r="AZ16" s="18" t="s">
        <v>54</v>
      </c>
      <c r="BA16" s="18" t="s">
        <v>55</v>
      </c>
      <c r="BB16" s="18" t="s">
        <v>56</v>
      </c>
      <c r="BC16" s="18" t="s">
        <v>57</v>
      </c>
      <c r="BE16" s="5"/>
      <c r="BF16" s="15" t="s">
        <v>92</v>
      </c>
      <c r="BG16" s="5"/>
      <c r="BH16" s="5"/>
      <c r="BI16" s="5"/>
      <c r="BJ16" s="5"/>
      <c r="BK16" s="5"/>
      <c r="BL16" s="5"/>
      <c r="BM16" s="5"/>
      <c r="BN16" s="5"/>
      <c r="BO16" s="5"/>
    </row>
    <row r="17" spans="1:390" s="28" customFormat="1" ht="13.8" x14ac:dyDescent="0.3">
      <c r="F17" s="84" t="s">
        <v>49</v>
      </c>
      <c r="G17" s="82" t="str">
        <f ca="1">[1]!xlv(G19)</f>
        <v>π × (R² - r²)</v>
      </c>
      <c r="H17" s="82"/>
      <c r="I17" s="84" t="s">
        <v>50</v>
      </c>
      <c r="J17" s="82" t="str">
        <f ca="1">[1]!xlv(J19)</f>
        <v>(Iₓ / A)⁰·⁵</v>
      </c>
      <c r="K17" s="82"/>
      <c r="M17" s="11"/>
      <c r="N17" s="11"/>
      <c r="O17" s="11"/>
      <c r="P17" s="11"/>
      <c r="Q17" s="11"/>
      <c r="R17" s="12"/>
      <c r="S17" s="12"/>
      <c r="W17" s="32" t="s">
        <v>51</v>
      </c>
      <c r="AB17" s="32" t="s">
        <v>51</v>
      </c>
      <c r="AE17" s="28">
        <v>3</v>
      </c>
      <c r="AF17" s="28">
        <v>0.26700000000000002</v>
      </c>
      <c r="AG17" s="28">
        <v>0.35499999999999998</v>
      </c>
      <c r="AI17" s="5" t="s">
        <v>60</v>
      </c>
      <c r="AJ17" s="5"/>
      <c r="AK17" s="5"/>
      <c r="AL17" s="36">
        <f>G20</f>
        <v>0.375</v>
      </c>
      <c r="AM17" s="5" t="s">
        <v>53</v>
      </c>
      <c r="AN17" s="18" t="s">
        <v>59</v>
      </c>
      <c r="AO17" s="18" t="s">
        <v>59</v>
      </c>
      <c r="AP17" s="18" t="s">
        <v>59</v>
      </c>
      <c r="AQ17" s="18" t="s">
        <v>61</v>
      </c>
      <c r="AR17" s="18" t="s">
        <v>62</v>
      </c>
      <c r="AS17" s="5"/>
      <c r="AT17" s="5" t="s">
        <v>60</v>
      </c>
      <c r="AU17" s="5"/>
      <c r="AV17" s="5"/>
      <c r="AW17" s="36">
        <f>G21</f>
        <v>0.375</v>
      </c>
      <c r="AX17" s="5" t="s">
        <v>53</v>
      </c>
      <c r="AY17" s="18" t="s">
        <v>59</v>
      </c>
      <c r="AZ17" s="18" t="s">
        <v>59</v>
      </c>
      <c r="BA17" s="18" t="s">
        <v>59</v>
      </c>
      <c r="BB17" s="18" t="s">
        <v>61</v>
      </c>
      <c r="BC17" s="18" t="s">
        <v>62</v>
      </c>
      <c r="BD17" s="37"/>
      <c r="BE17" s="5"/>
      <c r="BF17" s="15"/>
      <c r="BG17" s="15"/>
      <c r="BH17" s="15"/>
      <c r="BI17" s="15"/>
      <c r="BJ17" s="15"/>
      <c r="BK17" s="15"/>
      <c r="BL17" s="15"/>
      <c r="BM17" s="15"/>
      <c r="BN17" s="15"/>
      <c r="BO17" s="15"/>
      <c r="BP17" s="37"/>
      <c r="BQ17" s="37"/>
      <c r="BR17" s="37"/>
      <c r="BS17" s="37"/>
      <c r="BT17" s="37"/>
      <c r="BU17" s="37"/>
      <c r="BV17" s="37"/>
      <c r="BW17" s="37"/>
      <c r="BX17" s="37"/>
      <c r="BY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row>
    <row r="18" spans="1:390" s="28" customFormat="1" ht="13.8" x14ac:dyDescent="0.3">
      <c r="F18" s="84" t="s">
        <v>49</v>
      </c>
      <c r="G18" s="82" t="str">
        <f>[1]!xln(G19)</f>
        <v>π × (0.375² - 0²)</v>
      </c>
      <c r="H18" s="82"/>
      <c r="I18" s="84" t="s">
        <v>50</v>
      </c>
      <c r="J18" s="82" t="str">
        <f>[1]!xln(J19)</f>
        <v>(0.0155 / 0.442)⁰·⁵</v>
      </c>
      <c r="K18" s="82"/>
      <c r="M18" s="11"/>
      <c r="N18" s="11"/>
      <c r="O18" s="11"/>
      <c r="P18" s="11"/>
      <c r="Q18" s="11"/>
      <c r="R18" s="12"/>
      <c r="S18" s="12"/>
      <c r="W18" s="32" t="s">
        <v>59</v>
      </c>
      <c r="AB18" s="32" t="s">
        <v>59</v>
      </c>
      <c r="AE18" s="28">
        <v>4</v>
      </c>
      <c r="AF18" s="28">
        <v>0.28199999999999997</v>
      </c>
      <c r="AG18" s="28">
        <v>0.378</v>
      </c>
      <c r="AI18" s="5" t="s">
        <v>64</v>
      </c>
      <c r="AJ18" s="5"/>
      <c r="AK18" s="5"/>
      <c r="AL18" s="41">
        <f>J29</f>
        <v>0</v>
      </c>
      <c r="AM18" s="5" t="s">
        <v>53</v>
      </c>
      <c r="AN18" s="42">
        <f>AN19+AN38/20</f>
        <v>0.75000000000000056</v>
      </c>
      <c r="AO18" s="42">
        <f t="shared" ref="AO18:AO37" si="0">AN18/2</f>
        <v>0.37500000000000028</v>
      </c>
      <c r="AP18" s="42">
        <f>(AL17-AO18)</f>
        <v>-2.7755575615628914E-16</v>
      </c>
      <c r="AQ18" s="42">
        <f>AN18*AL18</f>
        <v>0</v>
      </c>
      <c r="AR18" s="43" t="e">
        <f>C34*(AQ18*AP18)/(AL19*AL18)</f>
        <v>#DIV/0!</v>
      </c>
      <c r="AS18" s="5"/>
      <c r="AT18" s="5" t="s">
        <v>64</v>
      </c>
      <c r="AU18" s="5"/>
      <c r="AV18" s="5"/>
      <c r="AW18" s="41">
        <f>J28</f>
        <v>0.375</v>
      </c>
      <c r="AX18" s="5" t="s">
        <v>53</v>
      </c>
      <c r="AY18" s="42">
        <f>AY19+AY38/20</f>
        <v>0.75000000000000056</v>
      </c>
      <c r="AZ18" s="42">
        <f t="shared" ref="AZ18:AZ37" si="1">AY18/2</f>
        <v>0.37500000000000028</v>
      </c>
      <c r="BA18" s="42">
        <f>(AW17-AZ18)</f>
        <v>-2.7755575615628914E-16</v>
      </c>
      <c r="BB18" s="42">
        <f>AY18*AW18</f>
        <v>0.28125000000000022</v>
      </c>
      <c r="BC18" s="43">
        <f>C33*(BB18*BA18)/(AW19*AW18)</f>
        <v>-6.7014156251412425E-12</v>
      </c>
      <c r="BD18" s="39"/>
      <c r="BE18" s="5"/>
      <c r="BF18" s="70" t="s">
        <v>93</v>
      </c>
      <c r="BG18" s="15" t="s">
        <v>94</v>
      </c>
      <c r="BH18" s="15"/>
      <c r="BI18" s="70" t="s">
        <v>95</v>
      </c>
      <c r="BJ18" s="15"/>
      <c r="BK18" s="70" t="s">
        <v>95</v>
      </c>
      <c r="BL18" s="15"/>
      <c r="BM18" s="70" t="s">
        <v>96</v>
      </c>
      <c r="BN18" s="15"/>
      <c r="BO18" s="15"/>
      <c r="BP18" s="39"/>
      <c r="BQ18" s="39"/>
      <c r="BR18" s="39"/>
      <c r="BS18" s="39"/>
      <c r="BT18" s="39"/>
      <c r="BU18" s="39"/>
      <c r="BV18" s="39"/>
      <c r="BW18" s="39"/>
      <c r="BX18" s="39"/>
      <c r="BY18" s="39"/>
      <c r="CA18" s="38"/>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P18" s="38"/>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G18" s="38"/>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X18" s="38"/>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O18" s="38"/>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row>
    <row r="19" spans="1:390" s="28" customFormat="1" x14ac:dyDescent="0.3">
      <c r="F19" s="84" t="s">
        <v>49</v>
      </c>
      <c r="G19" s="98">
        <f>PI()*(J28^2-J29^2)</f>
        <v>0.44178646691106466</v>
      </c>
      <c r="H19" s="99" t="s">
        <v>63</v>
      </c>
      <c r="I19" s="98" t="s">
        <v>50</v>
      </c>
      <c r="J19" s="98">
        <f>(G26/G19)^0.5</f>
        <v>0.1875</v>
      </c>
      <c r="K19" s="83" t="s">
        <v>53</v>
      </c>
      <c r="M19" s="11"/>
      <c r="N19" s="11"/>
      <c r="O19" s="11"/>
      <c r="P19" s="11"/>
      <c r="Q19" s="11"/>
      <c r="R19" s="12"/>
      <c r="S19" s="12"/>
      <c r="W19" s="40">
        <f t="shared" ref="W19:W59" si="2">AN18</f>
        <v>0.75000000000000056</v>
      </c>
      <c r="X19" s="28">
        <f>(W19-G21)*C35/G26</f>
        <v>29697.605025645084</v>
      </c>
      <c r="AB19" s="40">
        <f t="shared" ref="AB19:AB59" si="3">AY18</f>
        <v>0.75000000000000056</v>
      </c>
      <c r="AC19" s="28">
        <f>(AB19-G20)*C36/J26</f>
        <v>-130379.72938088086</v>
      </c>
      <c r="AE19" s="28">
        <v>6</v>
      </c>
      <c r="AF19" s="28">
        <v>0.29899999999999999</v>
      </c>
      <c r="AG19" s="28">
        <v>0.40200000000000002</v>
      </c>
      <c r="AI19" s="5" t="s">
        <v>67</v>
      </c>
      <c r="AJ19" s="5"/>
      <c r="AK19" s="5"/>
      <c r="AL19" s="48">
        <f>J26</f>
        <v>1.5531555477342116E-2</v>
      </c>
      <c r="AM19" s="5" t="s">
        <v>68</v>
      </c>
      <c r="AN19" s="42">
        <f>AN20+AN38/20</f>
        <v>0.73125000000000051</v>
      </c>
      <c r="AO19" s="42">
        <f t="shared" si="0"/>
        <v>0.36562500000000026</v>
      </c>
      <c r="AP19" s="42">
        <f>(AL17-AO19)</f>
        <v>9.3749999999997446E-3</v>
      </c>
      <c r="AQ19" s="42">
        <f>AN19*AL18</f>
        <v>0</v>
      </c>
      <c r="AR19" s="43" t="e">
        <f>C34*(AQ19*AP19)/(AL19*AL18)</f>
        <v>#DIV/0!</v>
      </c>
      <c r="AS19" s="5"/>
      <c r="AT19" s="5" t="s">
        <v>67</v>
      </c>
      <c r="AU19" s="5"/>
      <c r="AV19" s="5"/>
      <c r="AW19" s="48">
        <f>G26</f>
        <v>1.5531555477342116E-2</v>
      </c>
      <c r="AX19" s="5" t="s">
        <v>68</v>
      </c>
      <c r="AY19" s="42">
        <f>AY20+AY38/20</f>
        <v>0.73125000000000051</v>
      </c>
      <c r="AZ19" s="42">
        <f t="shared" si="1"/>
        <v>0.36562500000000026</v>
      </c>
      <c r="BA19" s="42">
        <f>(AW17-AZ19)</f>
        <v>9.3749999999997446E-3</v>
      </c>
      <c r="BB19" s="42">
        <f>AY19*AW18</f>
        <v>0.27421875000000018</v>
      </c>
      <c r="BC19" s="43">
        <f>C33*(BB19*BA19)/(AW19*AW18)</f>
        <v>220.69485442075566</v>
      </c>
      <c r="BD19" s="44"/>
      <c r="BE19" s="5"/>
      <c r="BF19" s="15"/>
      <c r="BG19" s="71" t="s">
        <v>97</v>
      </c>
      <c r="BH19" s="15"/>
      <c r="BI19" s="70" t="s">
        <v>98</v>
      </c>
      <c r="BJ19" s="15"/>
      <c r="BK19" s="70" t="s">
        <v>99</v>
      </c>
      <c r="BL19" s="15"/>
      <c r="BM19" s="70" t="s">
        <v>100</v>
      </c>
      <c r="BN19" s="70" t="s">
        <v>101</v>
      </c>
      <c r="BO19" s="70" t="s">
        <v>102</v>
      </c>
      <c r="BP19" s="44"/>
      <c r="BQ19" s="44"/>
      <c r="BR19" s="44"/>
      <c r="BS19" s="44"/>
      <c r="BT19" s="44"/>
      <c r="BU19" s="44"/>
      <c r="BV19" s="44"/>
      <c r="BW19" s="44"/>
      <c r="BX19" s="44"/>
      <c r="BY19" s="44"/>
      <c r="BZ19" s="34"/>
      <c r="CA19" s="39"/>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34"/>
      <c r="DP19" s="39"/>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34"/>
      <c r="FG19" s="39"/>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34"/>
      <c r="GX19" s="39"/>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34"/>
      <c r="IO19" s="39"/>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34"/>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c r="NK19" s="46"/>
      <c r="NL19" s="46"/>
      <c r="NM19" s="46"/>
      <c r="NN19" s="46"/>
      <c r="NO19" s="46"/>
      <c r="NP19" s="47"/>
      <c r="NQ19" s="47"/>
      <c r="NR19" s="47"/>
      <c r="NS19" s="47"/>
      <c r="NT19" s="47"/>
      <c r="NU19" s="47"/>
      <c r="NV19" s="47"/>
      <c r="NW19" s="47"/>
      <c r="NX19" s="47"/>
      <c r="NY19" s="47"/>
      <c r="NZ19" s="47"/>
    </row>
    <row r="20" spans="1:390" s="28" customFormat="1" ht="13.8" x14ac:dyDescent="0.3">
      <c r="F20" s="86" t="s">
        <v>65</v>
      </c>
      <c r="G20" s="101">
        <f>J28</f>
        <v>0.375</v>
      </c>
      <c r="H20" s="101" t="s">
        <v>53</v>
      </c>
      <c r="I20" s="98" t="s">
        <v>66</v>
      </c>
      <c r="J20" s="82" t="str">
        <f ca="1">[1]!xlv(J22)</f>
        <v>(Iᵧ / A)⁰·⁵</v>
      </c>
      <c r="K20" s="82"/>
      <c r="M20" s="11"/>
      <c r="N20" s="11"/>
      <c r="O20" s="11"/>
      <c r="P20" s="11"/>
      <c r="Q20" s="11"/>
      <c r="R20" s="12"/>
      <c r="S20" s="12"/>
      <c r="W20" s="40">
        <f t="shared" si="2"/>
        <v>0.73125000000000051</v>
      </c>
      <c r="X20" s="28">
        <f>(W20-G21)*C35/G26</f>
        <v>28212.724774362829</v>
      </c>
      <c r="AB20" s="40">
        <f t="shared" si="3"/>
        <v>0.73125000000000051</v>
      </c>
      <c r="AC20" s="28">
        <f>(AB20-G20)*C36/J26</f>
        <v>-123860.74291183682</v>
      </c>
      <c r="AE20" s="28">
        <v>8</v>
      </c>
      <c r="AF20" s="28">
        <v>0.307</v>
      </c>
      <c r="AG20" s="28">
        <v>0.41399999999999998</v>
      </c>
      <c r="AI20" s="5"/>
      <c r="AJ20" s="5"/>
      <c r="AK20" s="5"/>
      <c r="AL20" s="5"/>
      <c r="AM20" s="5"/>
      <c r="AN20" s="42">
        <f>AN21+AN38/20</f>
        <v>0.71250000000000047</v>
      </c>
      <c r="AO20" s="42">
        <f t="shared" si="0"/>
        <v>0.35625000000000023</v>
      </c>
      <c r="AP20" s="42">
        <f>(AL17-AO20)</f>
        <v>1.8749999999999767E-2</v>
      </c>
      <c r="AQ20" s="42">
        <f>AN20*AL18</f>
        <v>0</v>
      </c>
      <c r="AR20" s="43" t="e">
        <f>C34*(AQ20*AP20)/(AL19*AL18)</f>
        <v>#DIV/0!</v>
      </c>
      <c r="AS20" s="5"/>
      <c r="AT20" s="5"/>
      <c r="AU20" s="5"/>
      <c r="AV20" s="5"/>
      <c r="AW20" s="5"/>
      <c r="AX20" s="5"/>
      <c r="AY20" s="42">
        <f>AY21+AY38/20</f>
        <v>0.71250000000000047</v>
      </c>
      <c r="AZ20" s="42">
        <f t="shared" si="1"/>
        <v>0.35625000000000023</v>
      </c>
      <c r="BA20" s="42">
        <f>(AW17-AZ20)</f>
        <v>1.8749999999999767E-2</v>
      </c>
      <c r="BB20" s="42">
        <f>AY20*AW18</f>
        <v>0.26718750000000019</v>
      </c>
      <c r="BC20" s="43">
        <f>C33*(BB20*BA20)/(AW19*AW18)</f>
        <v>430.07202399942764</v>
      </c>
      <c r="BD20" s="44"/>
      <c r="BE20" s="5"/>
      <c r="BF20" s="70"/>
      <c r="BG20" s="70" t="s">
        <v>62</v>
      </c>
      <c r="BH20" s="70"/>
      <c r="BI20" s="70" t="s">
        <v>62</v>
      </c>
      <c r="BJ20" s="15"/>
      <c r="BK20" s="70" t="s">
        <v>62</v>
      </c>
      <c r="BL20" s="15"/>
      <c r="BM20" s="70" t="s">
        <v>62</v>
      </c>
      <c r="BN20" s="70" t="s">
        <v>62</v>
      </c>
      <c r="BO20" s="70" t="s">
        <v>62</v>
      </c>
      <c r="BP20" s="44"/>
      <c r="BQ20" s="44"/>
      <c r="BR20" s="44"/>
      <c r="BS20" s="44"/>
      <c r="BT20" s="44"/>
      <c r="BU20" s="44"/>
      <c r="BV20" s="44"/>
      <c r="BW20" s="44"/>
      <c r="BX20" s="44"/>
      <c r="BY20" s="44"/>
      <c r="CA20" s="39"/>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P20" s="39"/>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G20" s="39"/>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X20" s="39"/>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O20" s="39"/>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F20" s="45"/>
      <c r="KG20" s="45"/>
      <c r="KH20" s="45"/>
      <c r="KI20" s="45"/>
      <c r="KJ20" s="45"/>
      <c r="KK20" s="45"/>
      <c r="KL20" s="45"/>
      <c r="KM20" s="45"/>
      <c r="KN20" s="45"/>
      <c r="KO20" s="45"/>
      <c r="KP20" s="45"/>
      <c r="KQ20" s="45"/>
      <c r="KR20" s="45"/>
      <c r="KS20" s="45"/>
      <c r="KT20" s="45"/>
      <c r="KU20" s="45"/>
      <c r="KV20" s="45"/>
      <c r="KW20" s="45"/>
      <c r="KX20" s="45"/>
      <c r="KY20" s="45"/>
      <c r="KZ20" s="45"/>
      <c r="LA20" s="45"/>
      <c r="LB20" s="45"/>
      <c r="LC20" s="45"/>
      <c r="LD20" s="45"/>
      <c r="LE20" s="45"/>
      <c r="LF20" s="45"/>
      <c r="LG20" s="45"/>
      <c r="LH20" s="45"/>
      <c r="LI20" s="45"/>
      <c r="LJ20" s="45"/>
      <c r="LK20" s="45"/>
      <c r="LL20" s="45"/>
      <c r="LM20" s="45"/>
      <c r="LN20" s="45"/>
      <c r="LO20" s="45"/>
      <c r="LP20" s="45"/>
      <c r="LQ20" s="45"/>
      <c r="LR20" s="45"/>
      <c r="LS20" s="45"/>
      <c r="LT20" s="45"/>
      <c r="MA20" s="46"/>
      <c r="MB20" s="46"/>
      <c r="MC20" s="46"/>
      <c r="MD20" s="46"/>
      <c r="ME20" s="46"/>
      <c r="MF20" s="46"/>
      <c r="MG20" s="46"/>
      <c r="MH20" s="46"/>
      <c r="MI20" s="46"/>
      <c r="MJ20" s="46"/>
      <c r="MK20" s="46"/>
      <c r="ML20" s="46"/>
      <c r="MM20" s="46"/>
      <c r="MN20" s="46"/>
      <c r="MO20" s="46"/>
      <c r="MP20" s="46"/>
      <c r="MQ20" s="46"/>
      <c r="MR20" s="46"/>
      <c r="MS20" s="46"/>
      <c r="MT20" s="46"/>
      <c r="MU20" s="46"/>
      <c r="MV20" s="46"/>
      <c r="MW20" s="46"/>
      <c r="MX20" s="46"/>
      <c r="MY20" s="46"/>
      <c r="MZ20" s="46"/>
      <c r="NA20" s="46"/>
      <c r="NB20" s="46"/>
      <c r="NC20" s="46"/>
      <c r="ND20" s="46"/>
      <c r="NE20" s="46"/>
      <c r="NF20" s="46"/>
      <c r="NG20" s="46"/>
      <c r="NH20" s="46"/>
      <c r="NI20" s="46"/>
      <c r="NJ20" s="46"/>
      <c r="NK20" s="46"/>
      <c r="NL20" s="46"/>
      <c r="NM20" s="46"/>
      <c r="NN20" s="46"/>
      <c r="NO20" s="46"/>
      <c r="NP20" s="47"/>
      <c r="NQ20" s="47"/>
      <c r="NR20" s="47"/>
      <c r="NS20" s="47"/>
      <c r="NT20" s="47"/>
      <c r="NU20" s="47"/>
      <c r="NV20" s="47"/>
      <c r="NW20" s="47"/>
      <c r="NX20" s="47"/>
      <c r="NY20" s="47"/>
      <c r="NZ20" s="47"/>
    </row>
    <row r="21" spans="1:390" s="28" customFormat="1" ht="13.8" x14ac:dyDescent="0.3">
      <c r="F21" s="86" t="s">
        <v>69</v>
      </c>
      <c r="G21" s="101">
        <f>J28</f>
        <v>0.375</v>
      </c>
      <c r="H21" s="101" t="s">
        <v>53</v>
      </c>
      <c r="I21" s="98" t="s">
        <v>66</v>
      </c>
      <c r="J21" s="82" t="str">
        <f>[1]!xln(J22)</f>
        <v>(0.0155 / 0.442)⁰·⁵</v>
      </c>
      <c r="K21" s="82"/>
      <c r="M21" s="11"/>
      <c r="N21" s="11"/>
      <c r="O21" s="11"/>
      <c r="P21" s="11"/>
      <c r="Q21" s="11"/>
      <c r="R21" s="12"/>
      <c r="S21" s="12"/>
      <c r="W21" s="40">
        <f t="shared" si="2"/>
        <v>0.71250000000000047</v>
      </c>
      <c r="X21" s="28">
        <f>(W21-G21)*C35/G26</f>
        <v>26727.844523080574</v>
      </c>
      <c r="AB21" s="40">
        <f t="shared" si="3"/>
        <v>0.71250000000000047</v>
      </c>
      <c r="AC21" s="28">
        <f>(AB21-G20)*C36/J26</f>
        <v>-117341.75644279276</v>
      </c>
      <c r="AE21" s="28">
        <v>10</v>
      </c>
      <c r="AF21" s="28">
        <v>0.313</v>
      </c>
      <c r="AG21" s="28">
        <v>0.42099999999999999</v>
      </c>
      <c r="AI21" s="5"/>
      <c r="AJ21" s="5"/>
      <c r="AK21" s="5"/>
      <c r="AL21" s="5"/>
      <c r="AM21" s="5"/>
      <c r="AN21" s="42">
        <f>AN22+AN38/20</f>
        <v>0.69375000000000042</v>
      </c>
      <c r="AO21" s="42">
        <f t="shared" si="0"/>
        <v>0.34687500000000021</v>
      </c>
      <c r="AP21" s="42">
        <f>(AL17-AO21)</f>
        <v>2.8124999999999789E-2</v>
      </c>
      <c r="AQ21" s="42">
        <f>AN21*AL18</f>
        <v>0</v>
      </c>
      <c r="AR21" s="43" t="e">
        <f>C34*(AQ21*AP21)/(AL19*AL18)</f>
        <v>#DIV/0!</v>
      </c>
      <c r="AS21" s="5"/>
      <c r="AT21" s="5"/>
      <c r="AU21" s="5"/>
      <c r="AV21" s="5"/>
      <c r="AW21" s="5"/>
      <c r="AX21" s="5"/>
      <c r="AY21" s="42">
        <f>AY22+AY38/20</f>
        <v>0.69375000000000042</v>
      </c>
      <c r="AZ21" s="42">
        <f t="shared" si="1"/>
        <v>0.34687500000000021</v>
      </c>
      <c r="BA21" s="42">
        <f>(AW17-AZ21)</f>
        <v>2.8124999999999789E-2</v>
      </c>
      <c r="BB21" s="42">
        <f>AY21*AW18</f>
        <v>0.26015625000000014</v>
      </c>
      <c r="BC21" s="43">
        <f>C33*(BB21*BA21)/(AW19*AW18)</f>
        <v>628.13150873600921</v>
      </c>
      <c r="BD21" s="44"/>
      <c r="BE21" s="5"/>
      <c r="BF21" s="18">
        <v>1</v>
      </c>
      <c r="BG21" s="72">
        <f>C32/G19</f>
        <v>-6790.6109052542015</v>
      </c>
      <c r="BH21" s="73"/>
      <c r="BI21" s="72">
        <f>C35*G21/G26</f>
        <v>29697.60502564504</v>
      </c>
      <c r="BJ21" s="73"/>
      <c r="BK21" s="72">
        <v>0</v>
      </c>
      <c r="BL21" s="73"/>
      <c r="BM21" s="72">
        <f>BK21+BI21+BG21</f>
        <v>22906.994120390838</v>
      </c>
      <c r="BN21" s="18">
        <v>0</v>
      </c>
      <c r="BO21" s="18">
        <v>0</v>
      </c>
      <c r="BP21" s="44"/>
      <c r="BQ21" s="44"/>
      <c r="BR21" s="44"/>
      <c r="BS21" s="44"/>
      <c r="BT21" s="44"/>
      <c r="BU21" s="44"/>
      <c r="BV21" s="44"/>
      <c r="BW21" s="44"/>
      <c r="BX21" s="44"/>
      <c r="BY21" s="44"/>
      <c r="CA21" s="39"/>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P21" s="39"/>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G21" s="39"/>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X21" s="39"/>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O21" s="39"/>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MA21" s="46"/>
      <c r="MB21" s="46"/>
      <c r="MC21" s="46"/>
      <c r="MD21" s="46"/>
      <c r="ME21" s="46"/>
      <c r="MF21" s="46"/>
      <c r="MG21" s="46"/>
      <c r="MH21" s="46"/>
      <c r="MI21" s="46"/>
      <c r="MJ21" s="46"/>
      <c r="MK21" s="46"/>
      <c r="ML21" s="46"/>
      <c r="MM21" s="46"/>
      <c r="MN21" s="46"/>
      <c r="MO21" s="46"/>
      <c r="MP21" s="46"/>
      <c r="MQ21" s="46"/>
      <c r="MR21" s="46"/>
      <c r="MS21" s="46"/>
      <c r="MT21" s="46"/>
      <c r="MU21" s="46"/>
      <c r="MV21" s="46"/>
      <c r="MW21" s="46"/>
      <c r="MX21" s="46"/>
      <c r="MY21" s="46"/>
      <c r="MZ21" s="46"/>
      <c r="NA21" s="46"/>
      <c r="NB21" s="46"/>
      <c r="NC21" s="46"/>
      <c r="ND21" s="46"/>
      <c r="NE21" s="46"/>
      <c r="NF21" s="46"/>
      <c r="NG21" s="46"/>
      <c r="NH21" s="46"/>
      <c r="NI21" s="46"/>
      <c r="NJ21" s="46"/>
      <c r="NK21" s="46"/>
      <c r="NL21" s="46"/>
      <c r="NM21" s="46"/>
      <c r="NN21" s="46"/>
      <c r="NO21" s="46"/>
      <c r="NP21" s="47"/>
      <c r="NQ21" s="47"/>
      <c r="NR21" s="47"/>
      <c r="NS21" s="47"/>
      <c r="NT21" s="47"/>
      <c r="NU21" s="47"/>
      <c r="NV21" s="47"/>
      <c r="NW21" s="47"/>
      <c r="NX21" s="47"/>
      <c r="NY21" s="47"/>
      <c r="NZ21" s="47"/>
    </row>
    <row r="22" spans="1:390" s="28" customFormat="1" ht="13.8" x14ac:dyDescent="0.3">
      <c r="F22" s="82"/>
      <c r="G22" s="101"/>
      <c r="H22" s="101"/>
      <c r="I22" s="98" t="s">
        <v>66</v>
      </c>
      <c r="J22" s="101">
        <f>(J26/G19)^0.5</f>
        <v>0.1875</v>
      </c>
      <c r="K22" s="83" t="s">
        <v>53</v>
      </c>
      <c r="M22" s="11"/>
      <c r="N22" s="11"/>
      <c r="O22" s="11"/>
      <c r="P22" s="11"/>
      <c r="Q22" s="11"/>
      <c r="R22" s="12"/>
      <c r="S22" s="12"/>
      <c r="W22" s="40">
        <f t="shared" si="2"/>
        <v>0.69375000000000042</v>
      </c>
      <c r="X22" s="28">
        <f>(W22-G21)*C35/G26</f>
        <v>25242.964271798319</v>
      </c>
      <c r="AB22" s="40">
        <f t="shared" si="3"/>
        <v>0.69375000000000042</v>
      </c>
      <c r="AC22" s="28">
        <f>(AB22-G20)*C36/J26</f>
        <v>-110822.76997374871</v>
      </c>
      <c r="AF22" s="74"/>
      <c r="AG22" s="74"/>
      <c r="AI22" s="5"/>
      <c r="AJ22" s="5"/>
      <c r="AK22" s="5"/>
      <c r="AL22" s="5"/>
      <c r="AM22" s="5"/>
      <c r="AN22" s="42">
        <f>AN23+AN38/20</f>
        <v>0.67500000000000038</v>
      </c>
      <c r="AO22" s="42">
        <f t="shared" si="0"/>
        <v>0.33750000000000019</v>
      </c>
      <c r="AP22" s="42">
        <f>(AL17-AO22)</f>
        <v>3.7499999999999811E-2</v>
      </c>
      <c r="AQ22" s="42">
        <f>AN22*AL18</f>
        <v>0</v>
      </c>
      <c r="AR22" s="43" t="e">
        <f>C34*(AQ22*AP22)/(AL19*AL18)</f>
        <v>#DIV/0!</v>
      </c>
      <c r="AS22" s="5"/>
      <c r="AT22" s="5"/>
      <c r="AU22" s="5"/>
      <c r="AV22" s="5"/>
      <c r="AW22" s="5"/>
      <c r="AX22" s="5"/>
      <c r="AY22" s="42">
        <f>AY23+AY38/20</f>
        <v>0.67500000000000038</v>
      </c>
      <c r="AZ22" s="42">
        <f t="shared" si="1"/>
        <v>0.33750000000000019</v>
      </c>
      <c r="BA22" s="42">
        <f>(AW17-AZ22)</f>
        <v>3.7499999999999811E-2</v>
      </c>
      <c r="BB22" s="42">
        <f>AY22*AW18</f>
        <v>0.25312500000000016</v>
      </c>
      <c r="BC22" s="43">
        <f>C33*(BB22*BA22)/(AW19*AW18)</f>
        <v>814.87330863050045</v>
      </c>
      <c r="BD22" s="44"/>
      <c r="BE22" s="5"/>
      <c r="BF22" s="18">
        <v>2</v>
      </c>
      <c r="BG22" s="72">
        <f>C32/G19</f>
        <v>-6790.6109052542015</v>
      </c>
      <c r="BH22" s="73"/>
      <c r="BI22" s="72">
        <v>0</v>
      </c>
      <c r="BJ22" s="73"/>
      <c r="BK22" s="72">
        <f>-C36*G20/J26</f>
        <v>130379.72938088067</v>
      </c>
      <c r="BL22" s="73"/>
      <c r="BM22" s="72">
        <f t="shared" ref="BM22:BM24" si="4">BK22+BI22+BG22</f>
        <v>123589.11847562647</v>
      </c>
      <c r="BN22" s="18">
        <v>0</v>
      </c>
      <c r="BO22" s="18">
        <v>0</v>
      </c>
      <c r="BP22" s="44"/>
      <c r="BQ22" s="44"/>
      <c r="BR22" s="44"/>
      <c r="BS22" s="44"/>
      <c r="BT22" s="44"/>
      <c r="BU22" s="44"/>
      <c r="BV22" s="44"/>
      <c r="BW22" s="44"/>
      <c r="BX22" s="44"/>
      <c r="BY22" s="44"/>
      <c r="CA22" s="39"/>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P22" s="39"/>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G22" s="39"/>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X22" s="39"/>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O22" s="39"/>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F22" s="45"/>
      <c r="KG22" s="45"/>
      <c r="KH22" s="45"/>
      <c r="KI22" s="45"/>
      <c r="KJ22" s="45"/>
      <c r="KK22" s="45"/>
      <c r="KL22" s="45"/>
      <c r="KM22" s="45"/>
      <c r="KN22" s="45"/>
      <c r="KO22" s="45"/>
      <c r="KP22" s="45"/>
      <c r="KQ22" s="45"/>
      <c r="KR22" s="45"/>
      <c r="KS22" s="45"/>
      <c r="KT22" s="45"/>
      <c r="KU22" s="45"/>
      <c r="KV22" s="45"/>
      <c r="KW22" s="45"/>
      <c r="KX22" s="45"/>
      <c r="KY22" s="45"/>
      <c r="KZ22" s="45"/>
      <c r="LA22" s="45"/>
      <c r="LB22" s="45"/>
      <c r="LC22" s="45"/>
      <c r="LD22" s="45"/>
      <c r="LE22" s="45"/>
      <c r="LF22" s="45"/>
      <c r="LG22" s="45"/>
      <c r="LH22" s="45"/>
      <c r="LI22" s="45"/>
      <c r="LJ22" s="45"/>
      <c r="LK22" s="45"/>
      <c r="LL22" s="45"/>
      <c r="LM22" s="45"/>
      <c r="LN22" s="45"/>
      <c r="LO22" s="45"/>
      <c r="LP22" s="45"/>
      <c r="LQ22" s="45"/>
      <c r="LR22" s="45"/>
      <c r="LS22" s="45"/>
      <c r="LT22" s="45"/>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7"/>
      <c r="NQ22" s="47"/>
      <c r="NR22" s="47"/>
      <c r="NS22" s="47"/>
      <c r="NT22" s="47"/>
      <c r="NU22" s="47"/>
      <c r="NV22" s="47"/>
      <c r="NW22" s="47"/>
      <c r="NX22" s="47"/>
      <c r="NY22" s="47"/>
      <c r="NZ22" s="47"/>
    </row>
    <row r="23" spans="1:390" s="28" customFormat="1" ht="13.8" x14ac:dyDescent="0.3">
      <c r="F23" s="81" t="s">
        <v>70</v>
      </c>
      <c r="G23" s="82"/>
      <c r="H23" s="82"/>
      <c r="I23" s="82"/>
      <c r="J23" s="82"/>
      <c r="K23" s="81"/>
      <c r="M23" s="11"/>
      <c r="N23" s="11"/>
      <c r="O23" s="11"/>
      <c r="P23" s="11"/>
      <c r="Q23" s="11"/>
      <c r="R23" s="12"/>
      <c r="S23" s="12"/>
      <c r="W23" s="40">
        <f t="shared" si="2"/>
        <v>0.67500000000000038</v>
      </c>
      <c r="X23" s="28">
        <f>(W23-G21)*C35/G26</f>
        <v>23758.084020516064</v>
      </c>
      <c r="AB23" s="40">
        <f t="shared" si="3"/>
        <v>0.67500000000000038</v>
      </c>
      <c r="AC23" s="28">
        <f>(AB23-G20)*C36/J26</f>
        <v>-104303.78350470467</v>
      </c>
      <c r="AI23" s="5"/>
      <c r="AJ23" s="5"/>
      <c r="AK23" s="5"/>
      <c r="AL23" s="5"/>
      <c r="AM23" s="5"/>
      <c r="AN23" s="42">
        <f>AN24+AN38/20</f>
        <v>0.65625000000000033</v>
      </c>
      <c r="AO23" s="42">
        <f t="shared" si="0"/>
        <v>0.32812500000000017</v>
      </c>
      <c r="AP23" s="42">
        <f>(AL17-AO23)</f>
        <v>4.6874999999999833E-2</v>
      </c>
      <c r="AQ23" s="42">
        <f>AN23*AL18</f>
        <v>0</v>
      </c>
      <c r="AR23" s="43" t="e">
        <f>C34*(AQ23*AP23)/(AL19*AL18)</f>
        <v>#DIV/0!</v>
      </c>
      <c r="AS23" s="5"/>
      <c r="AT23" s="5"/>
      <c r="AU23" s="5"/>
      <c r="AV23" s="5"/>
      <c r="AW23" s="5"/>
      <c r="AX23" s="5"/>
      <c r="AY23" s="42">
        <f>AY24+AY38/20</f>
        <v>0.65625000000000033</v>
      </c>
      <c r="AZ23" s="42">
        <f t="shared" si="1"/>
        <v>0.32812500000000017</v>
      </c>
      <c r="BA23" s="42">
        <f>(AW17-AZ23)</f>
        <v>4.6874999999999833E-2</v>
      </c>
      <c r="BB23" s="42">
        <f>AY23*AW18</f>
        <v>0.24609375000000011</v>
      </c>
      <c r="BC23" s="43">
        <f>C33*(BB23*BA23)/(AW19*AW18)</f>
        <v>990.29742368290113</v>
      </c>
      <c r="BD23" s="44"/>
      <c r="BE23" s="5"/>
      <c r="BF23" s="18">
        <v>3</v>
      </c>
      <c r="BG23" s="72">
        <f>C32/G19</f>
        <v>-6790.6109052542015</v>
      </c>
      <c r="BH23" s="73"/>
      <c r="BI23" s="72">
        <f>-C35*G21/G26</f>
        <v>-29697.60502564504</v>
      </c>
      <c r="BJ23" s="73"/>
      <c r="BK23" s="72">
        <f>-BK21</f>
        <v>0</v>
      </c>
      <c r="BL23" s="73"/>
      <c r="BM23" s="72">
        <f t="shared" si="4"/>
        <v>-36488.215930899241</v>
      </c>
      <c r="BN23" s="18">
        <v>0</v>
      </c>
      <c r="BO23" s="18">
        <v>0</v>
      </c>
      <c r="BP23" s="44"/>
      <c r="BQ23" s="44"/>
      <c r="BR23" s="44"/>
      <c r="BS23" s="44"/>
      <c r="BT23" s="44"/>
      <c r="BU23" s="44"/>
      <c r="BV23" s="44"/>
      <c r="BW23" s="44"/>
      <c r="BX23" s="44"/>
      <c r="BY23" s="44"/>
      <c r="CA23" s="39"/>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P23" s="39"/>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G23" s="39"/>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X23" s="39"/>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O23" s="39"/>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F23" s="45"/>
      <c r="KG23" s="45"/>
      <c r="KH23" s="45"/>
      <c r="KI23" s="45"/>
      <c r="KJ23" s="45"/>
      <c r="KK23" s="45"/>
      <c r="KL23" s="45"/>
      <c r="KM23" s="45"/>
      <c r="KN23" s="45"/>
      <c r="KO23" s="45"/>
      <c r="KP23" s="45"/>
      <c r="KQ23" s="45"/>
      <c r="KR23" s="45"/>
      <c r="KS23" s="45"/>
      <c r="KT23" s="45"/>
      <c r="KU23" s="45"/>
      <c r="KV23" s="45"/>
      <c r="KW23" s="45"/>
      <c r="KX23" s="45"/>
      <c r="KY23" s="45"/>
      <c r="KZ23" s="45"/>
      <c r="LA23" s="45"/>
      <c r="LB23" s="45"/>
      <c r="LC23" s="45"/>
      <c r="LD23" s="45"/>
      <c r="LE23" s="45"/>
      <c r="LF23" s="45"/>
      <c r="LG23" s="45"/>
      <c r="LH23" s="45"/>
      <c r="LI23" s="45"/>
      <c r="LJ23" s="45"/>
      <c r="LK23" s="45"/>
      <c r="LL23" s="45"/>
      <c r="LM23" s="45"/>
      <c r="LN23" s="45"/>
      <c r="LO23" s="45"/>
      <c r="LP23" s="45"/>
      <c r="LQ23" s="45"/>
      <c r="LR23" s="45"/>
      <c r="LS23" s="45"/>
      <c r="LT23" s="45"/>
      <c r="MA23" s="46"/>
      <c r="MB23" s="46"/>
      <c r="MC23" s="46"/>
      <c r="MD23" s="46"/>
      <c r="ME23" s="46"/>
      <c r="MF23" s="46"/>
      <c r="MG23" s="46"/>
      <c r="MH23" s="46"/>
      <c r="MI23" s="46"/>
      <c r="MJ23" s="46"/>
      <c r="MK23" s="46"/>
      <c r="ML23" s="46"/>
      <c r="MM23" s="46"/>
      <c r="MN23" s="46"/>
      <c r="MO23" s="46"/>
      <c r="MP23" s="46"/>
      <c r="MQ23" s="46"/>
      <c r="MR23" s="46"/>
      <c r="MS23" s="46"/>
      <c r="MT23" s="46"/>
      <c r="MU23" s="46"/>
      <c r="MV23" s="46"/>
      <c r="MW23" s="46"/>
      <c r="MX23" s="46"/>
      <c r="MY23" s="46"/>
      <c r="MZ23" s="46"/>
      <c r="NA23" s="46"/>
      <c r="NB23" s="46"/>
      <c r="NC23" s="46"/>
      <c r="ND23" s="46"/>
      <c r="NE23" s="46"/>
      <c r="NF23" s="46"/>
      <c r="NG23" s="46"/>
      <c r="NH23" s="46"/>
      <c r="NI23" s="46"/>
      <c r="NJ23" s="46"/>
      <c r="NK23" s="46"/>
      <c r="NL23" s="46"/>
      <c r="NM23" s="46"/>
      <c r="NN23" s="46"/>
      <c r="NO23" s="46"/>
      <c r="NP23" s="47"/>
      <c r="NQ23" s="47"/>
      <c r="NR23" s="47"/>
      <c r="NS23" s="47"/>
      <c r="NT23" s="47"/>
      <c r="NU23" s="47"/>
      <c r="NV23" s="47"/>
      <c r="NW23" s="47"/>
      <c r="NX23" s="47"/>
      <c r="NY23" s="47"/>
      <c r="NZ23" s="47"/>
    </row>
    <row r="24" spans="1:390" s="28" customFormat="1" ht="13.8" x14ac:dyDescent="0.3">
      <c r="F24" s="84" t="s">
        <v>71</v>
      </c>
      <c r="G24" s="82" t="str">
        <f ca="1">[1]!xlv(G26)</f>
        <v>π × (R⁴ - r⁴) / 4</v>
      </c>
      <c r="H24" s="82"/>
      <c r="I24" s="86" t="s">
        <v>72</v>
      </c>
      <c r="J24" s="82" t="str">
        <f ca="1">[1]!xlv(J26)</f>
        <v>π × (R⁴ - r⁴) / 4</v>
      </c>
      <c r="K24" s="82"/>
      <c r="M24" s="11"/>
      <c r="N24" s="11"/>
      <c r="O24" s="11"/>
      <c r="P24" s="11"/>
      <c r="Q24" s="11"/>
      <c r="R24" s="12"/>
      <c r="S24" s="12"/>
      <c r="W24" s="40">
        <f t="shared" si="2"/>
        <v>0.65625000000000033</v>
      </c>
      <c r="X24" s="28">
        <f>(W24-G21)*C35/G26</f>
        <v>22273.203769233805</v>
      </c>
      <c r="AB24" s="40">
        <f t="shared" si="3"/>
        <v>0.65625000000000033</v>
      </c>
      <c r="AC24" s="28">
        <f>(AB24-G20)*C36/J26</f>
        <v>-97784.797035660624</v>
      </c>
      <c r="AE24" s="28">
        <f>J29/J28</f>
        <v>0</v>
      </c>
      <c r="AF24" s="75">
        <f xml:space="preserve"> -0.00004004*AE24^4 + 0.00114084*AE24^3 - 0.01241635*AE24^2 + 0.0659418*AE24 + 0.15464017</f>
        <v>0.15464016999999999</v>
      </c>
      <c r="AG24" s="75">
        <f xml:space="preserve"> -0.0000052643*AE24^6 + 0.000197589*AE24^5 - 0.0030475907*AE24^4 + 0.0250059798*AE24^3 - 0.1178360298*AE24^2 + 0.3195795125*AE24 - 0.0158449795</f>
        <v>-1.5844979499999998E-2</v>
      </c>
      <c r="AI24" s="5"/>
      <c r="AJ24" s="5"/>
      <c r="AK24" s="5"/>
      <c r="AL24" s="5"/>
      <c r="AM24" s="5"/>
      <c r="AN24" s="42">
        <f>AN25+AN38/20</f>
        <v>0.63750000000000029</v>
      </c>
      <c r="AO24" s="42">
        <f t="shared" si="0"/>
        <v>0.31875000000000014</v>
      </c>
      <c r="AP24" s="42">
        <f>(AL17-AO24)</f>
        <v>5.6249999999999856E-2</v>
      </c>
      <c r="AQ24" s="42">
        <f>AN24*AL18</f>
        <v>0</v>
      </c>
      <c r="AR24" s="43" t="e">
        <f>C34*(AQ24*AP24)/(AL19*AL18)</f>
        <v>#DIV/0!</v>
      </c>
      <c r="AS24" s="5"/>
      <c r="AT24" s="5"/>
      <c r="AU24" s="5"/>
      <c r="AV24" s="5"/>
      <c r="AW24" s="5"/>
      <c r="AX24" s="5"/>
      <c r="AY24" s="42">
        <f>AY25+AY38/20</f>
        <v>0.63750000000000029</v>
      </c>
      <c r="AZ24" s="42">
        <f t="shared" si="1"/>
        <v>0.31875000000000014</v>
      </c>
      <c r="BA24" s="42">
        <f>(AW17-AZ24)</f>
        <v>5.6249999999999856E-2</v>
      </c>
      <c r="BB24" s="42">
        <f>AY24*AW18</f>
        <v>0.23906250000000012</v>
      </c>
      <c r="BC24" s="43">
        <f>C33*(BB24*BA24)/(AW19*AW18)</f>
        <v>1154.4038538932118</v>
      </c>
      <c r="BD24" s="44"/>
      <c r="BE24" s="5"/>
      <c r="BF24" s="18">
        <v>4</v>
      </c>
      <c r="BG24" s="72">
        <f>C32/G19</f>
        <v>-6790.6109052542015</v>
      </c>
      <c r="BH24" s="73"/>
      <c r="BI24" s="72">
        <v>0</v>
      </c>
      <c r="BJ24" s="73"/>
      <c r="BK24" s="72">
        <f>C36*G20/J26</f>
        <v>-130379.72938088067</v>
      </c>
      <c r="BL24" s="73"/>
      <c r="BM24" s="72">
        <f t="shared" si="4"/>
        <v>-137170.34028613486</v>
      </c>
      <c r="BN24" s="18">
        <v>0</v>
      </c>
      <c r="BO24" s="18">
        <v>0</v>
      </c>
      <c r="BP24" s="44"/>
      <c r="BQ24" s="44"/>
      <c r="BR24" s="44"/>
      <c r="BS24" s="44"/>
      <c r="BT24" s="44"/>
      <c r="BU24" s="44"/>
      <c r="BV24" s="44"/>
      <c r="BW24" s="44"/>
      <c r="BX24" s="44"/>
      <c r="BY24" s="44"/>
      <c r="CA24" s="39"/>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P24" s="39"/>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G24" s="39"/>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X24" s="39"/>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O24" s="39"/>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F24" s="45"/>
      <c r="KG24" s="45"/>
      <c r="KH24" s="45"/>
      <c r="KI24" s="45"/>
      <c r="KJ24" s="45"/>
      <c r="KK24" s="45"/>
      <c r="KL24" s="45"/>
      <c r="KM24" s="45"/>
      <c r="KN24" s="45"/>
      <c r="KO24" s="45"/>
      <c r="KP24" s="45"/>
      <c r="KQ24" s="45"/>
      <c r="KR24" s="45"/>
      <c r="KS24" s="45"/>
      <c r="KT24" s="45"/>
      <c r="KU24" s="45"/>
      <c r="KV24" s="45"/>
      <c r="KW24" s="45"/>
      <c r="KX24" s="45"/>
      <c r="KY24" s="45"/>
      <c r="KZ24" s="45"/>
      <c r="LA24" s="45"/>
      <c r="LB24" s="45"/>
      <c r="LC24" s="45"/>
      <c r="LD24" s="45"/>
      <c r="LE24" s="45"/>
      <c r="LF24" s="45"/>
      <c r="LG24" s="45"/>
      <c r="LH24" s="45"/>
      <c r="LI24" s="45"/>
      <c r="LJ24" s="45"/>
      <c r="LK24" s="45"/>
      <c r="LL24" s="45"/>
      <c r="LM24" s="45"/>
      <c r="LN24" s="45"/>
      <c r="LO24" s="45"/>
      <c r="LP24" s="45"/>
      <c r="LQ24" s="45"/>
      <c r="LR24" s="45"/>
      <c r="LS24" s="45"/>
      <c r="LT24" s="45"/>
      <c r="MA24" s="46"/>
      <c r="MB24" s="46"/>
      <c r="MC24" s="46"/>
      <c r="MD24" s="46"/>
      <c r="ME24" s="46"/>
      <c r="MF24" s="46"/>
      <c r="MG24" s="46"/>
      <c r="MH24" s="46"/>
      <c r="MI24" s="46"/>
      <c r="MJ24" s="46"/>
      <c r="MK24" s="46"/>
      <c r="ML24" s="46"/>
      <c r="MM24" s="46"/>
      <c r="MN24" s="46"/>
      <c r="MO24" s="46"/>
      <c r="MP24" s="46"/>
      <c r="MQ24" s="46"/>
      <c r="MR24" s="46"/>
      <c r="MS24" s="46"/>
      <c r="MT24" s="46"/>
      <c r="MU24" s="46"/>
      <c r="MV24" s="46"/>
      <c r="MW24" s="46"/>
      <c r="MX24" s="46"/>
      <c r="MY24" s="46"/>
      <c r="MZ24" s="46"/>
      <c r="NA24" s="46"/>
      <c r="NB24" s="46"/>
      <c r="NC24" s="46"/>
      <c r="ND24" s="46"/>
      <c r="NE24" s="46"/>
      <c r="NF24" s="46"/>
      <c r="NG24" s="46"/>
      <c r="NH24" s="46"/>
      <c r="NI24" s="46"/>
      <c r="NJ24" s="46"/>
      <c r="NK24" s="46"/>
      <c r="NL24" s="46"/>
      <c r="NM24" s="46"/>
      <c r="NN24" s="46"/>
      <c r="NO24" s="46"/>
      <c r="NP24" s="47"/>
      <c r="NQ24" s="47"/>
      <c r="NR24" s="47"/>
      <c r="NS24" s="47"/>
      <c r="NT24" s="47"/>
      <c r="NU24" s="47"/>
      <c r="NV24" s="47"/>
      <c r="NW24" s="47"/>
      <c r="NX24" s="47"/>
      <c r="NY24" s="47"/>
      <c r="NZ24" s="47"/>
    </row>
    <row r="25" spans="1:390" s="28" customFormat="1" ht="13.8" x14ac:dyDescent="0.3">
      <c r="F25" s="84" t="s">
        <v>71</v>
      </c>
      <c r="G25" s="82" t="str">
        <f>[1]!xln(G26)</f>
        <v>π × (0.375⁴ - 0⁴) / 4</v>
      </c>
      <c r="H25" s="82"/>
      <c r="I25" s="86" t="s">
        <v>72</v>
      </c>
      <c r="J25" s="82" t="str">
        <f>[1]!xln(J26)</f>
        <v>π × (0.375⁴ - 0⁴) / 4</v>
      </c>
      <c r="K25" s="82"/>
      <c r="M25" s="11"/>
      <c r="N25" s="11"/>
      <c r="O25" s="11"/>
      <c r="P25" s="11"/>
      <c r="Q25" s="11"/>
      <c r="R25" s="12"/>
      <c r="S25" s="12"/>
      <c r="W25" s="40">
        <f t="shared" si="2"/>
        <v>0.63750000000000029</v>
      </c>
      <c r="X25" s="28">
        <f>(W25-G21)*C35/G26</f>
        <v>20788.32351795155</v>
      </c>
      <c r="AB25" s="40">
        <f t="shared" si="3"/>
        <v>0.63750000000000029</v>
      </c>
      <c r="AC25" s="28">
        <f>(AB25-G20)*C36/J26</f>
        <v>-91265.810566616565</v>
      </c>
      <c r="AI25" s="5"/>
      <c r="AJ25" s="5"/>
      <c r="AK25" s="5"/>
      <c r="AL25" s="5"/>
      <c r="AM25" s="5"/>
      <c r="AN25" s="42">
        <f>AN26+AN38/20</f>
        <v>0.61875000000000024</v>
      </c>
      <c r="AO25" s="42">
        <f t="shared" si="0"/>
        <v>0.30937500000000012</v>
      </c>
      <c r="AP25" s="42">
        <f>(AL17-AO25)</f>
        <v>6.5624999999999878E-2</v>
      </c>
      <c r="AQ25" s="42">
        <f>AN25*AL18</f>
        <v>0</v>
      </c>
      <c r="AR25" s="43" t="e">
        <f>C34*(AQ25*AP25)/(AL19*AL18)</f>
        <v>#DIV/0!</v>
      </c>
      <c r="AS25" s="5"/>
      <c r="AT25" s="5"/>
      <c r="AU25" s="5"/>
      <c r="AV25" s="5"/>
      <c r="AW25" s="5"/>
      <c r="AX25" s="5"/>
      <c r="AY25" s="42">
        <f>AY26+AY38/20</f>
        <v>0.61875000000000024</v>
      </c>
      <c r="AZ25" s="42">
        <f t="shared" si="1"/>
        <v>0.30937500000000012</v>
      </c>
      <c r="BA25" s="42">
        <f>(AW17-AZ25)</f>
        <v>6.5624999999999878E-2</v>
      </c>
      <c r="BB25" s="42">
        <f>AY25*AW18</f>
        <v>0.23203125000000008</v>
      </c>
      <c r="BC25" s="43">
        <f>C33*(BB25*BA25)/(AW19*AW18)</f>
        <v>1307.1925992614317</v>
      </c>
      <c r="BD25" s="44"/>
      <c r="BE25" s="5"/>
      <c r="BF25" s="18"/>
      <c r="BG25" s="72"/>
      <c r="BH25" s="73"/>
      <c r="BI25" s="72"/>
      <c r="BJ25" s="72"/>
      <c r="BK25" s="72"/>
      <c r="BL25" s="72"/>
      <c r="BM25" s="72"/>
      <c r="BN25" s="18"/>
      <c r="BO25" s="18"/>
      <c r="BP25" s="44"/>
      <c r="BQ25" s="44"/>
      <c r="BR25" s="44"/>
      <c r="BS25" s="44"/>
      <c r="BT25" s="44"/>
      <c r="BU25" s="44"/>
      <c r="BV25" s="44"/>
      <c r="BW25" s="44"/>
      <c r="BX25" s="44"/>
      <c r="BY25" s="44"/>
      <c r="CA25" s="39"/>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P25" s="39"/>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G25" s="39"/>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X25" s="39"/>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O25" s="39"/>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F25" s="45"/>
      <c r="KG25" s="45"/>
      <c r="KH25" s="45"/>
      <c r="KI25" s="45"/>
      <c r="KJ25" s="45"/>
      <c r="KK25" s="45"/>
      <c r="KL25" s="45"/>
      <c r="KM25" s="45"/>
      <c r="KN25" s="45"/>
      <c r="KO25" s="45"/>
      <c r="KP25" s="45"/>
      <c r="KQ25" s="45"/>
      <c r="KR25" s="45"/>
      <c r="KS25" s="45"/>
      <c r="KT25" s="45"/>
      <c r="KU25" s="45"/>
      <c r="KV25" s="45"/>
      <c r="KW25" s="45"/>
      <c r="KX25" s="45"/>
      <c r="KY25" s="45"/>
      <c r="KZ25" s="45"/>
      <c r="LA25" s="45"/>
      <c r="LB25" s="45"/>
      <c r="LC25" s="45"/>
      <c r="LD25" s="45"/>
      <c r="LE25" s="45"/>
      <c r="LF25" s="45"/>
      <c r="LG25" s="45"/>
      <c r="LH25" s="45"/>
      <c r="LI25" s="45"/>
      <c r="LJ25" s="45"/>
      <c r="LK25" s="45"/>
      <c r="LL25" s="45"/>
      <c r="LM25" s="45"/>
      <c r="LN25" s="45"/>
      <c r="LO25" s="45"/>
      <c r="LP25" s="45"/>
      <c r="LQ25" s="45"/>
      <c r="LR25" s="45"/>
      <c r="LS25" s="45"/>
      <c r="LT25" s="45"/>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7"/>
      <c r="NQ25" s="47"/>
      <c r="NR25" s="47"/>
      <c r="NS25" s="47"/>
      <c r="NT25" s="47"/>
      <c r="NU25" s="47"/>
      <c r="NV25" s="47"/>
      <c r="NW25" s="47"/>
      <c r="NX25" s="47"/>
      <c r="NY25" s="47"/>
      <c r="NZ25" s="47"/>
    </row>
    <row r="26" spans="1:390" s="28" customFormat="1" ht="13.8" x14ac:dyDescent="0.3">
      <c r="F26" s="84" t="s">
        <v>71</v>
      </c>
      <c r="G26" s="98">
        <f>PI()*(J28^4-J29^4)/4</f>
        <v>1.5531555477342116E-2</v>
      </c>
      <c r="H26" s="99" t="s">
        <v>68</v>
      </c>
      <c r="I26" s="100" t="s">
        <v>72</v>
      </c>
      <c r="J26" s="101">
        <f>PI()*(J28^4-J29^4)/4</f>
        <v>1.5531555477342116E-2</v>
      </c>
      <c r="K26" s="83" t="s">
        <v>68</v>
      </c>
      <c r="M26" s="11"/>
      <c r="N26" s="11"/>
      <c r="O26" s="11"/>
      <c r="P26" s="11"/>
      <c r="Q26" s="11"/>
      <c r="R26" s="12"/>
      <c r="S26" s="12"/>
      <c r="W26" s="40">
        <f t="shared" si="2"/>
        <v>0.61875000000000024</v>
      </c>
      <c r="X26" s="28">
        <f>(W26-G21)*C35/G26</f>
        <v>19303.443266669296</v>
      </c>
      <c r="AB26" s="40">
        <f t="shared" si="3"/>
        <v>0.61875000000000024</v>
      </c>
      <c r="AC26" s="28">
        <f>(AB26-G20)*C36/J26</f>
        <v>-84746.82409757252</v>
      </c>
      <c r="AI26" s="5"/>
      <c r="AJ26" s="5"/>
      <c r="AK26" s="5"/>
      <c r="AL26" s="5"/>
      <c r="AM26" s="5"/>
      <c r="AN26" s="42">
        <f>AN27+AN38/20</f>
        <v>0.6000000000000002</v>
      </c>
      <c r="AO26" s="42">
        <f t="shared" si="0"/>
        <v>0.3000000000000001</v>
      </c>
      <c r="AP26" s="42">
        <f>(AL17-AO26)</f>
        <v>7.49999999999999E-2</v>
      </c>
      <c r="AQ26" s="42">
        <f>AN26*AL18</f>
        <v>0</v>
      </c>
      <c r="AR26" s="43" t="e">
        <f>C34*(AQ26*AP26)/(AL19*AL18)</f>
        <v>#DIV/0!</v>
      </c>
      <c r="AS26" s="5"/>
      <c r="AT26" s="5"/>
      <c r="AU26" s="5"/>
      <c r="AV26" s="5"/>
      <c r="AW26" s="5"/>
      <c r="AX26" s="5"/>
      <c r="AY26" s="42">
        <f>AY27+AY38/20</f>
        <v>0.6000000000000002</v>
      </c>
      <c r="AZ26" s="42">
        <f t="shared" si="1"/>
        <v>0.3000000000000001</v>
      </c>
      <c r="BA26" s="42">
        <f>(AW17-AZ26)</f>
        <v>7.49999999999999E-2</v>
      </c>
      <c r="BB26" s="42">
        <f>AY26*AW18</f>
        <v>0.22500000000000009</v>
      </c>
      <c r="BC26" s="43">
        <f>C33*(BB26*BA26)/(AW19*AW18)</f>
        <v>1448.6636597875613</v>
      </c>
      <c r="BD26" s="44"/>
      <c r="BE26" s="5"/>
      <c r="BF26" s="18"/>
      <c r="BG26" s="72"/>
      <c r="BH26" s="73"/>
      <c r="BI26" s="72"/>
      <c r="BJ26" s="73"/>
      <c r="BK26" s="72"/>
      <c r="BL26" s="73"/>
      <c r="BM26" s="72"/>
      <c r="BN26" s="18"/>
      <c r="BO26" s="18"/>
      <c r="BP26" s="44"/>
      <c r="BQ26" s="44"/>
      <c r="BR26" s="44"/>
      <c r="BS26" s="44"/>
      <c r="BT26" s="44"/>
      <c r="BU26" s="44"/>
      <c r="BV26" s="44"/>
      <c r="BW26" s="44"/>
      <c r="BX26" s="44"/>
      <c r="BY26" s="44"/>
      <c r="CA26" s="39"/>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P26" s="39"/>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G26" s="39"/>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X26" s="39"/>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O26" s="39"/>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F26" s="45"/>
      <c r="KG26" s="45"/>
      <c r="KH26" s="45"/>
      <c r="KI26" s="45"/>
      <c r="KJ26" s="45"/>
      <c r="KK26" s="45"/>
      <c r="KL26" s="45"/>
      <c r="KM26" s="45"/>
      <c r="KN26" s="45"/>
      <c r="KO26" s="45"/>
      <c r="KP26" s="45"/>
      <c r="KQ26" s="45"/>
      <c r="KR26" s="45"/>
      <c r="KS26" s="45"/>
      <c r="KT26" s="45"/>
      <c r="KU26" s="45"/>
      <c r="KV26" s="45"/>
      <c r="KW26" s="45"/>
      <c r="KX26" s="45"/>
      <c r="KY26" s="45"/>
      <c r="KZ26" s="45"/>
      <c r="LA26" s="45"/>
      <c r="LB26" s="45"/>
      <c r="LC26" s="45"/>
      <c r="LD26" s="45"/>
      <c r="LE26" s="45"/>
      <c r="LF26" s="45"/>
      <c r="LG26" s="45"/>
      <c r="LH26" s="45"/>
      <c r="LI26" s="45"/>
      <c r="LJ26" s="45"/>
      <c r="LK26" s="45"/>
      <c r="LL26" s="45"/>
      <c r="LM26" s="45"/>
      <c r="LN26" s="45"/>
      <c r="LO26" s="45"/>
      <c r="LP26" s="45"/>
      <c r="LQ26" s="45"/>
      <c r="LR26" s="45"/>
      <c r="LS26" s="45"/>
      <c r="LT26" s="45"/>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7"/>
      <c r="NQ26" s="47"/>
      <c r="NR26" s="47"/>
      <c r="NS26" s="47"/>
      <c r="NT26" s="47"/>
      <c r="NU26" s="47"/>
      <c r="NV26" s="47"/>
      <c r="NW26" s="47"/>
      <c r="NX26" s="47"/>
      <c r="NY26" s="47"/>
      <c r="NZ26" s="47"/>
    </row>
    <row r="27" spans="1:390" s="28" customFormat="1" ht="13.8" x14ac:dyDescent="0.3">
      <c r="F27" s="84" t="s">
        <v>73</v>
      </c>
      <c r="G27" s="82" t="str">
        <f ca="1">[1]!xlv(G29)</f>
        <v>Iₓ + Iₓ</v>
      </c>
      <c r="H27" s="82"/>
      <c r="I27" s="82"/>
      <c r="J27" s="82"/>
      <c r="K27" s="82"/>
      <c r="M27" s="11"/>
      <c r="N27" s="11"/>
      <c r="O27" s="11"/>
      <c r="P27" s="11"/>
      <c r="Q27" s="11"/>
      <c r="R27" s="12"/>
      <c r="S27" s="12"/>
      <c r="W27" s="40">
        <f t="shared" si="2"/>
        <v>0.6000000000000002</v>
      </c>
      <c r="X27" s="28">
        <f>(W27-G21)*C35/G26</f>
        <v>17818.563015387041</v>
      </c>
      <c r="AB27" s="40">
        <f t="shared" si="3"/>
        <v>0.6000000000000002</v>
      </c>
      <c r="AC27" s="28">
        <f>(AB27-G20)*C36/J26</f>
        <v>-78227.837628528476</v>
      </c>
      <c r="AI27" s="5"/>
      <c r="AJ27" s="5"/>
      <c r="AK27" s="5"/>
      <c r="AL27" s="5"/>
      <c r="AM27" s="5"/>
      <c r="AN27" s="42">
        <f>AN28+AN38/20</f>
        <v>0.58125000000000016</v>
      </c>
      <c r="AO27" s="42">
        <f t="shared" si="0"/>
        <v>0.29062500000000008</v>
      </c>
      <c r="AP27" s="42">
        <f>(AL17-AO27)</f>
        <v>8.4374999999999922E-2</v>
      </c>
      <c r="AQ27" s="42">
        <f>AN27*AL18</f>
        <v>0</v>
      </c>
      <c r="AR27" s="43" t="e">
        <f>C34*(AQ27*AP27)/(AL19*AL18)</f>
        <v>#DIV/0!</v>
      </c>
      <c r="AS27" s="5"/>
      <c r="AT27" s="5"/>
      <c r="AU27" s="5"/>
      <c r="AV27" s="5"/>
      <c r="AW27" s="5"/>
      <c r="AX27" s="5"/>
      <c r="AY27" s="42">
        <f>AY28+AY38/20</f>
        <v>0.58125000000000016</v>
      </c>
      <c r="AZ27" s="42">
        <f t="shared" si="1"/>
        <v>0.29062500000000008</v>
      </c>
      <c r="BA27" s="42">
        <f>(AW17-AZ27)</f>
        <v>8.4374999999999922E-2</v>
      </c>
      <c r="BB27" s="42">
        <f>AY27*AW18</f>
        <v>0.21796875000000004</v>
      </c>
      <c r="BC27" s="43">
        <f>C33*(BB27*BA27)/(AW19*AW18)</f>
        <v>1578.8170354716005</v>
      </c>
      <c r="BD27" s="44"/>
      <c r="BE27" s="5"/>
      <c r="BF27" s="18"/>
      <c r="BG27" s="72"/>
      <c r="BH27" s="73"/>
      <c r="BI27" s="72"/>
      <c r="BJ27" s="73"/>
      <c r="BK27" s="72"/>
      <c r="BL27" s="73"/>
      <c r="BM27" s="72"/>
      <c r="BN27" s="18"/>
      <c r="BO27" s="18"/>
      <c r="BP27" s="44"/>
      <c r="BQ27" s="44"/>
      <c r="BR27" s="44"/>
      <c r="BS27" s="44"/>
      <c r="BT27" s="44"/>
      <c r="BU27" s="44"/>
      <c r="BV27" s="44"/>
      <c r="BW27" s="44"/>
      <c r="BX27" s="44"/>
      <c r="BY27" s="44"/>
      <c r="CA27" s="39"/>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P27" s="39"/>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G27" s="39"/>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X27" s="39"/>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O27" s="39"/>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F27" s="45"/>
      <c r="KG27" s="45"/>
      <c r="KH27" s="45"/>
      <c r="KI27" s="45"/>
      <c r="KJ27" s="45"/>
      <c r="KK27" s="45"/>
      <c r="KL27" s="45"/>
      <c r="KM27" s="45"/>
      <c r="KN27" s="45"/>
      <c r="KO27" s="45"/>
      <c r="KP27" s="45"/>
      <c r="KQ27" s="45"/>
      <c r="KR27" s="45"/>
      <c r="KS27" s="45"/>
      <c r="KT27" s="45"/>
      <c r="KU27" s="45"/>
      <c r="KV27" s="45"/>
      <c r="KW27" s="45"/>
      <c r="KX27" s="45"/>
      <c r="KY27" s="45"/>
      <c r="KZ27" s="45"/>
      <c r="LA27" s="45"/>
      <c r="LB27" s="45"/>
      <c r="LC27" s="45"/>
      <c r="LD27" s="45"/>
      <c r="LE27" s="45"/>
      <c r="LF27" s="45"/>
      <c r="LG27" s="45"/>
      <c r="LH27" s="45"/>
      <c r="LI27" s="45"/>
      <c r="LJ27" s="45"/>
      <c r="LK27" s="45"/>
      <c r="LL27" s="45"/>
      <c r="LM27" s="45"/>
      <c r="LN27" s="45"/>
      <c r="LO27" s="45"/>
      <c r="LP27" s="45"/>
      <c r="LQ27" s="45"/>
      <c r="LR27" s="45"/>
      <c r="LS27" s="45"/>
      <c r="LT27" s="45"/>
      <c r="MA27" s="46"/>
      <c r="MB27" s="46"/>
      <c r="MC27" s="46"/>
      <c r="MD27" s="46"/>
      <c r="ME27" s="46"/>
      <c r="MF27" s="46"/>
      <c r="MG27" s="46"/>
      <c r="MH27" s="46"/>
      <c r="MI27" s="46"/>
      <c r="MJ27" s="46"/>
      <c r="MK27" s="46"/>
      <c r="ML27" s="46"/>
      <c r="MM27" s="46"/>
      <c r="MN27" s="46"/>
      <c r="MO27" s="46"/>
      <c r="MP27" s="46"/>
      <c r="MQ27" s="46"/>
      <c r="MR27" s="46"/>
      <c r="MS27" s="46"/>
      <c r="MT27" s="46"/>
      <c r="MU27" s="46"/>
      <c r="MV27" s="46"/>
      <c r="MW27" s="46"/>
      <c r="MX27" s="46"/>
      <c r="MY27" s="46"/>
      <c r="MZ27" s="46"/>
      <c r="NA27" s="46"/>
      <c r="NB27" s="46"/>
      <c r="NC27" s="46"/>
      <c r="ND27" s="46"/>
      <c r="NE27" s="46"/>
      <c r="NF27" s="46"/>
      <c r="NG27" s="46"/>
      <c r="NH27" s="46"/>
      <c r="NI27" s="46"/>
      <c r="NJ27" s="46"/>
      <c r="NK27" s="46"/>
      <c r="NL27" s="46"/>
      <c r="NM27" s="46"/>
      <c r="NN27" s="46"/>
      <c r="NO27" s="46"/>
      <c r="NP27" s="47"/>
      <c r="NQ27" s="47"/>
      <c r="NR27" s="47"/>
      <c r="NS27" s="47"/>
      <c r="NT27" s="47"/>
      <c r="NU27" s="47"/>
      <c r="NV27" s="47"/>
      <c r="NW27" s="47"/>
      <c r="NX27" s="47"/>
      <c r="NY27" s="47"/>
      <c r="NZ27" s="47"/>
    </row>
    <row r="28" spans="1:390" s="28" customFormat="1" ht="13.8" x14ac:dyDescent="0.3">
      <c r="F28" s="84" t="s">
        <v>73</v>
      </c>
      <c r="G28" s="82" t="str">
        <f>[1]!xln(G29)</f>
        <v>0.0155 + 0.0155</v>
      </c>
      <c r="H28" s="82"/>
      <c r="I28" s="84" t="s">
        <v>120</v>
      </c>
      <c r="J28" s="102">
        <f>0.75/2</f>
        <v>0.375</v>
      </c>
      <c r="K28" s="83" t="s">
        <v>53</v>
      </c>
      <c r="M28" s="11"/>
      <c r="N28" s="11"/>
      <c r="O28" s="11"/>
      <c r="P28" s="11"/>
      <c r="Q28" s="11"/>
      <c r="R28" s="12"/>
      <c r="S28" s="12"/>
      <c r="W28" s="40">
        <f t="shared" si="2"/>
        <v>0.58125000000000016</v>
      </c>
      <c r="X28" s="28">
        <f>(W28-G21)*C35/G26</f>
        <v>16333.682764104786</v>
      </c>
      <c r="AB28" s="40">
        <f t="shared" si="3"/>
        <v>0.58125000000000016</v>
      </c>
      <c r="AC28" s="28">
        <f>(AB28-G20)*C36/J26</f>
        <v>-71708.851159484431</v>
      </c>
      <c r="AI28" s="5"/>
      <c r="AJ28" s="5"/>
      <c r="AK28" s="5"/>
      <c r="AL28" s="5"/>
      <c r="AM28" s="5"/>
      <c r="AN28" s="42">
        <f>AN29+AN38/20</f>
        <v>0.56250000000000011</v>
      </c>
      <c r="AO28" s="42">
        <f t="shared" si="0"/>
        <v>0.28125000000000006</v>
      </c>
      <c r="AP28" s="42">
        <f>(AL17-AO28)</f>
        <v>9.3749999999999944E-2</v>
      </c>
      <c r="AQ28" s="42">
        <f>AN28*AL18</f>
        <v>0</v>
      </c>
      <c r="AR28" s="43" t="e">
        <f>C34*(AQ28*AP28)/(AL19*AL18)</f>
        <v>#DIV/0!</v>
      </c>
      <c r="AS28" s="5"/>
      <c r="AT28" s="5"/>
      <c r="AU28" s="5"/>
      <c r="AV28" s="5"/>
      <c r="AW28" s="5"/>
      <c r="AX28" s="5"/>
      <c r="AY28" s="42">
        <f>AY29+AY38/20</f>
        <v>0.56250000000000011</v>
      </c>
      <c r="AZ28" s="42">
        <f t="shared" si="1"/>
        <v>0.28125000000000006</v>
      </c>
      <c r="BA28" s="42">
        <f>(AW17-AZ28)</f>
        <v>9.3749999999999944E-2</v>
      </c>
      <c r="BB28" s="42">
        <f>AY28*AW18</f>
        <v>0.21093750000000006</v>
      </c>
      <c r="BC28" s="43">
        <f>C33*(BB28*BA28)/(AW19*AW18)</f>
        <v>1697.6527263135497</v>
      </c>
      <c r="BD28" s="44"/>
      <c r="BE28" s="5"/>
      <c r="BF28" s="18"/>
      <c r="BG28" s="72"/>
      <c r="BH28" s="73"/>
      <c r="BI28" s="72"/>
      <c r="BJ28" s="73"/>
      <c r="BK28" s="72"/>
      <c r="BL28" s="73"/>
      <c r="BM28" s="72"/>
      <c r="BN28" s="18"/>
      <c r="BO28" s="18"/>
      <c r="BP28" s="44"/>
      <c r="BQ28" s="44"/>
      <c r="BR28" s="44"/>
      <c r="BS28" s="44"/>
      <c r="BT28" s="44"/>
      <c r="BU28" s="44"/>
      <c r="BV28" s="44"/>
      <c r="BW28" s="44"/>
      <c r="BX28" s="44"/>
      <c r="BY28" s="44"/>
      <c r="CA28" s="39"/>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P28" s="39"/>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G28" s="39"/>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X28" s="39"/>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O28" s="39"/>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F28" s="45"/>
      <c r="KG28" s="45"/>
      <c r="KH28" s="45"/>
      <c r="KI28" s="45"/>
      <c r="KJ28" s="45"/>
      <c r="KK28" s="45"/>
      <c r="KL28" s="45"/>
      <c r="KM28" s="45"/>
      <c r="KN28" s="45"/>
      <c r="KO28" s="45"/>
      <c r="KP28" s="45"/>
      <c r="KQ28" s="45"/>
      <c r="KR28" s="45"/>
      <c r="KS28" s="45"/>
      <c r="KT28" s="45"/>
      <c r="KU28" s="45"/>
      <c r="KV28" s="45"/>
      <c r="KW28" s="45"/>
      <c r="KX28" s="45"/>
      <c r="KY28" s="45"/>
      <c r="KZ28" s="45"/>
      <c r="LA28" s="45"/>
      <c r="LB28" s="45"/>
      <c r="LC28" s="45"/>
      <c r="LD28" s="45"/>
      <c r="LE28" s="45"/>
      <c r="LF28" s="45"/>
      <c r="LG28" s="45"/>
      <c r="LH28" s="45"/>
      <c r="LI28" s="45"/>
      <c r="LJ28" s="45"/>
      <c r="LK28" s="45"/>
      <c r="LL28" s="45"/>
      <c r="LM28" s="45"/>
      <c r="LN28" s="45"/>
      <c r="LO28" s="45"/>
      <c r="LP28" s="45"/>
      <c r="LQ28" s="45"/>
      <c r="LR28" s="45"/>
      <c r="LS28" s="45"/>
      <c r="LT28" s="45"/>
      <c r="MA28" s="46"/>
      <c r="MB28" s="46"/>
      <c r="MC28" s="46"/>
      <c r="MD28" s="46"/>
      <c r="ME28" s="46"/>
      <c r="MF28" s="46"/>
      <c r="MG28" s="46"/>
      <c r="MH28" s="46"/>
      <c r="MI28" s="46"/>
      <c r="MJ28" s="46"/>
      <c r="MK28" s="46"/>
      <c r="ML28" s="46"/>
      <c r="MM28" s="46"/>
      <c r="MN28" s="46"/>
      <c r="MO28" s="46"/>
      <c r="MP28" s="46"/>
      <c r="MQ28" s="46"/>
      <c r="MR28" s="46"/>
      <c r="MS28" s="46"/>
      <c r="MT28" s="46"/>
      <c r="MU28" s="46"/>
      <c r="MV28" s="46"/>
      <c r="MW28" s="46"/>
      <c r="MX28" s="46"/>
      <c r="MY28" s="46"/>
      <c r="MZ28" s="46"/>
      <c r="NA28" s="46"/>
      <c r="NB28" s="46"/>
      <c r="NC28" s="46"/>
      <c r="ND28" s="46"/>
      <c r="NE28" s="46"/>
      <c r="NF28" s="46"/>
      <c r="NG28" s="46"/>
      <c r="NH28" s="46"/>
      <c r="NI28" s="46"/>
      <c r="NJ28" s="46"/>
      <c r="NK28" s="46"/>
      <c r="NL28" s="46"/>
      <c r="NM28" s="46"/>
      <c r="NN28" s="46"/>
      <c r="NO28" s="46"/>
      <c r="NP28" s="47"/>
      <c r="NQ28" s="47"/>
      <c r="NR28" s="47"/>
      <c r="NS28" s="47"/>
      <c r="NT28" s="47"/>
      <c r="NU28" s="47"/>
      <c r="NV28" s="47"/>
      <c r="NW28" s="47"/>
      <c r="NX28" s="47"/>
      <c r="NY28" s="47"/>
      <c r="NZ28" s="47"/>
    </row>
    <row r="29" spans="1:390" s="28" customFormat="1" ht="13.8" x14ac:dyDescent="0.3">
      <c r="A29" s="24"/>
      <c r="F29" s="84" t="s">
        <v>73</v>
      </c>
      <c r="G29" s="98">
        <f>G26+G26</f>
        <v>3.1063110954684232E-2</v>
      </c>
      <c r="H29" s="83" t="s">
        <v>68</v>
      </c>
      <c r="I29" s="84" t="s">
        <v>121</v>
      </c>
      <c r="J29" s="102">
        <v>0</v>
      </c>
      <c r="K29" s="83" t="s">
        <v>53</v>
      </c>
      <c r="M29" s="11"/>
      <c r="N29" s="11"/>
      <c r="O29" s="11"/>
      <c r="P29" s="11"/>
      <c r="Q29" s="11"/>
      <c r="R29" s="12"/>
      <c r="S29" s="12"/>
      <c r="W29" s="40">
        <f t="shared" si="2"/>
        <v>0.56250000000000011</v>
      </c>
      <c r="X29" s="28">
        <f>(W29-G21)*C35/G26</f>
        <v>14848.802512822529</v>
      </c>
      <c r="AB29" s="40">
        <f t="shared" si="3"/>
        <v>0.56250000000000011</v>
      </c>
      <c r="AC29" s="28">
        <f>(AB29-G20)*C36/J26</f>
        <v>-65189.864690440372</v>
      </c>
      <c r="AI29" s="5"/>
      <c r="AJ29" s="5"/>
      <c r="AK29" s="5"/>
      <c r="AL29" s="5"/>
      <c r="AM29" s="5"/>
      <c r="AN29" s="42">
        <f>AN30+AN38/20</f>
        <v>0.54375000000000007</v>
      </c>
      <c r="AO29" s="42">
        <f t="shared" si="0"/>
        <v>0.27187500000000003</v>
      </c>
      <c r="AP29" s="42">
        <f>(AL17-AO29)</f>
        <v>0.10312499999999997</v>
      </c>
      <c r="AQ29" s="42">
        <f>AN29*AL18</f>
        <v>0</v>
      </c>
      <c r="AR29" s="43" t="e">
        <f>C34*(AQ29*AP29)/(AL19*AL18)</f>
        <v>#DIV/0!</v>
      </c>
      <c r="AS29" s="5"/>
      <c r="AT29" s="5"/>
      <c r="AU29" s="5"/>
      <c r="AV29" s="5"/>
      <c r="AW29" s="5"/>
      <c r="AX29" s="5"/>
      <c r="AY29" s="42">
        <f>AY30+AY38/20</f>
        <v>0.54375000000000007</v>
      </c>
      <c r="AZ29" s="42">
        <f t="shared" si="1"/>
        <v>0.27187500000000003</v>
      </c>
      <c r="BA29" s="42">
        <f>(AW17-AZ29)</f>
        <v>0.10312499999999997</v>
      </c>
      <c r="BB29" s="42">
        <f>AY29*AW18</f>
        <v>0.20390625000000001</v>
      </c>
      <c r="BC29" s="43">
        <f>C33*(BB29*BA29)/(AW19*AW18)</f>
        <v>1805.1707323134081</v>
      </c>
      <c r="BD29" s="44"/>
      <c r="BE29" s="5"/>
      <c r="BF29" s="18"/>
      <c r="BG29" s="72"/>
      <c r="BH29" s="73"/>
      <c r="BI29" s="72"/>
      <c r="BJ29" s="73"/>
      <c r="BK29" s="72"/>
      <c r="BL29" s="73"/>
      <c r="BM29" s="72"/>
      <c r="BN29" s="18"/>
      <c r="BO29" s="18"/>
      <c r="BP29" s="44"/>
      <c r="BQ29" s="44"/>
      <c r="BR29" s="44"/>
      <c r="BS29" s="44"/>
      <c r="BT29" s="44"/>
      <c r="BU29" s="44"/>
      <c r="BV29" s="44"/>
      <c r="BW29" s="44"/>
      <c r="BX29" s="44"/>
      <c r="BY29" s="44"/>
      <c r="CA29" s="39"/>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P29" s="39"/>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G29" s="39"/>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X29" s="39"/>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O29" s="39"/>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46"/>
      <c r="MY29" s="46"/>
      <c r="MZ29" s="46"/>
      <c r="NA29" s="46"/>
      <c r="NB29" s="46"/>
      <c r="NC29" s="46"/>
      <c r="ND29" s="46"/>
      <c r="NE29" s="46"/>
      <c r="NF29" s="46"/>
      <c r="NG29" s="46"/>
      <c r="NH29" s="46"/>
      <c r="NI29" s="46"/>
      <c r="NJ29" s="46"/>
      <c r="NK29" s="46"/>
      <c r="NL29" s="46"/>
      <c r="NM29" s="46"/>
      <c r="NN29" s="46"/>
      <c r="NO29" s="46"/>
      <c r="NP29" s="47"/>
      <c r="NQ29" s="47"/>
      <c r="NR29" s="47"/>
      <c r="NS29" s="47"/>
      <c r="NT29" s="47"/>
      <c r="NU29" s="47"/>
      <c r="NV29" s="47"/>
      <c r="NW29" s="47"/>
      <c r="NX29" s="47"/>
      <c r="NY29" s="47"/>
      <c r="NZ29" s="47"/>
    </row>
    <row r="30" spans="1:390" s="28" customFormat="1" ht="13.8" x14ac:dyDescent="0.3">
      <c r="A30" s="24"/>
      <c r="M30" s="11"/>
      <c r="N30" s="11"/>
      <c r="O30" s="11"/>
      <c r="P30" s="11"/>
      <c r="Q30" s="11"/>
      <c r="R30" s="12"/>
      <c r="S30" s="12"/>
      <c r="W30" s="40">
        <f t="shared" si="2"/>
        <v>0.54375000000000007</v>
      </c>
      <c r="X30" s="28">
        <f>(W30-G21)*C35/G26</f>
        <v>13363.922261540274</v>
      </c>
      <c r="AB30" s="40">
        <f t="shared" si="3"/>
        <v>0.54375000000000007</v>
      </c>
      <c r="AC30" s="28">
        <f>(AB30-G20)*C36/J26</f>
        <v>-58670.87822139632</v>
      </c>
      <c r="AI30" s="5"/>
      <c r="AJ30" s="5"/>
      <c r="AK30" s="5"/>
      <c r="AL30" s="5"/>
      <c r="AM30" s="5"/>
      <c r="AN30" s="42">
        <f>AN31+AN38/20</f>
        <v>0.52500000000000002</v>
      </c>
      <c r="AO30" s="42">
        <f t="shared" si="0"/>
        <v>0.26250000000000001</v>
      </c>
      <c r="AP30" s="42">
        <f>(AL17-AO30)</f>
        <v>0.11249999999999999</v>
      </c>
      <c r="AQ30" s="42">
        <f>AN30*AL18</f>
        <v>0</v>
      </c>
      <c r="AR30" s="43" t="e">
        <f>C34*(AQ30*AP30)/(AL19*AL18)</f>
        <v>#DIV/0!</v>
      </c>
      <c r="AS30" s="5"/>
      <c r="AT30" s="5"/>
      <c r="AU30" s="5"/>
      <c r="AV30" s="5"/>
      <c r="AW30" s="5"/>
      <c r="AX30" s="5"/>
      <c r="AY30" s="42">
        <f>AY31+AY38/20</f>
        <v>0.52500000000000002</v>
      </c>
      <c r="AZ30" s="42">
        <f t="shared" si="1"/>
        <v>0.26250000000000001</v>
      </c>
      <c r="BA30" s="42">
        <f>(AW17-AZ30)</f>
        <v>0.11249999999999999</v>
      </c>
      <c r="BB30" s="42">
        <f>AY30*AW18</f>
        <v>0.19687500000000002</v>
      </c>
      <c r="BC30" s="43">
        <f>C33*(BB30*BA30)/(AW19*AW18)</f>
        <v>1901.3710534711763</v>
      </c>
      <c r="BD30" s="44"/>
      <c r="BE30" s="5"/>
      <c r="BF30" s="5"/>
      <c r="BG30" s="5"/>
      <c r="BH30" s="5"/>
      <c r="BI30" s="5"/>
      <c r="BJ30" s="5"/>
      <c r="BK30" s="5"/>
      <c r="BL30" s="5"/>
      <c r="BM30" s="5"/>
      <c r="BN30" s="5"/>
      <c r="BO30" s="5"/>
      <c r="BP30" s="44"/>
      <c r="BQ30" s="44"/>
      <c r="BR30" s="44"/>
      <c r="BS30" s="44"/>
      <c r="BT30" s="44"/>
      <c r="BU30" s="44"/>
      <c r="BV30" s="44"/>
      <c r="BW30" s="44"/>
      <c r="BX30" s="44"/>
      <c r="BY30" s="44"/>
      <c r="CA30" s="39"/>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P30" s="39"/>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G30" s="39"/>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X30" s="39"/>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O30" s="39"/>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F30" s="45"/>
      <c r="KG30" s="45"/>
      <c r="KH30" s="45"/>
      <c r="KI30" s="45"/>
      <c r="KJ30" s="45"/>
      <c r="KK30" s="45"/>
      <c r="KL30" s="45"/>
      <c r="KM30" s="45"/>
      <c r="KN30" s="45"/>
      <c r="KO30" s="45"/>
      <c r="KP30" s="45"/>
      <c r="KQ30" s="45"/>
      <c r="KR30" s="45"/>
      <c r="KS30" s="45"/>
      <c r="KT30" s="45"/>
      <c r="KU30" s="45"/>
      <c r="KV30" s="45"/>
      <c r="KW30" s="45"/>
      <c r="KX30" s="45"/>
      <c r="KY30" s="45"/>
      <c r="KZ30" s="45"/>
      <c r="LA30" s="45"/>
      <c r="LB30" s="45"/>
      <c r="LC30" s="45"/>
      <c r="LD30" s="45"/>
      <c r="LE30" s="45"/>
      <c r="LF30" s="45"/>
      <c r="LG30" s="45"/>
      <c r="LH30" s="45"/>
      <c r="LI30" s="45"/>
      <c r="LJ30" s="45"/>
      <c r="LK30" s="45"/>
      <c r="LL30" s="45"/>
      <c r="LM30" s="45"/>
      <c r="LN30" s="45"/>
      <c r="LO30" s="45"/>
      <c r="LP30" s="45"/>
      <c r="LQ30" s="45"/>
      <c r="LR30" s="45"/>
      <c r="LS30" s="45"/>
      <c r="LT30" s="45"/>
      <c r="LW30" s="37"/>
      <c r="LX30" s="37"/>
      <c r="LY30" s="37"/>
      <c r="LZ30" s="37"/>
      <c r="MA30" s="46"/>
      <c r="MB30" s="46"/>
      <c r="MC30" s="46"/>
      <c r="MD30" s="46"/>
      <c r="ME30" s="46"/>
      <c r="MF30" s="46"/>
      <c r="MG30" s="46"/>
      <c r="MH30" s="46"/>
      <c r="MI30" s="46"/>
      <c r="MJ30" s="46"/>
      <c r="MK30" s="46"/>
      <c r="ML30" s="46"/>
      <c r="MM30" s="46"/>
      <c r="MN30" s="46"/>
      <c r="MO30" s="46"/>
      <c r="MP30" s="46"/>
      <c r="MQ30" s="46"/>
      <c r="MR30" s="46"/>
      <c r="MS30" s="46"/>
      <c r="MT30" s="46"/>
      <c r="MU30" s="46"/>
      <c r="MV30" s="46"/>
      <c r="MW30" s="46"/>
      <c r="MX30" s="46"/>
      <c r="MY30" s="46"/>
      <c r="MZ30" s="46"/>
      <c r="NA30" s="46"/>
      <c r="NB30" s="46"/>
      <c r="NC30" s="46"/>
      <c r="ND30" s="46"/>
      <c r="NE30" s="46"/>
      <c r="NF30" s="46"/>
      <c r="NG30" s="46"/>
      <c r="NH30" s="46"/>
      <c r="NI30" s="46"/>
      <c r="NJ30" s="46"/>
      <c r="NK30" s="46"/>
      <c r="NL30" s="46"/>
      <c r="NM30" s="46"/>
      <c r="NN30" s="46"/>
      <c r="NO30" s="46"/>
      <c r="NP30" s="47"/>
      <c r="NQ30" s="47"/>
      <c r="NR30" s="47"/>
      <c r="NS30" s="47"/>
      <c r="NT30" s="47"/>
      <c r="NU30" s="47"/>
      <c r="NV30" s="47"/>
      <c r="NW30" s="47"/>
      <c r="NX30" s="47"/>
      <c r="NY30" s="47"/>
      <c r="NZ30" s="47"/>
    </row>
    <row r="31" spans="1:390" s="28" customFormat="1" ht="13.8" x14ac:dyDescent="0.3">
      <c r="A31" s="24"/>
      <c r="B31" s="31" t="s">
        <v>74</v>
      </c>
      <c r="G31" s="31" t="s">
        <v>75</v>
      </c>
      <c r="M31" s="11"/>
      <c r="N31" s="11"/>
      <c r="O31" s="11"/>
      <c r="P31" s="11"/>
      <c r="Q31" s="11"/>
      <c r="R31" s="12"/>
      <c r="S31" s="12"/>
      <c r="W31" s="40">
        <f t="shared" si="2"/>
        <v>0.52500000000000002</v>
      </c>
      <c r="X31" s="28">
        <f>(W31-G21)*C35/G26</f>
        <v>11879.042010258019</v>
      </c>
      <c r="AB31" s="40">
        <f t="shared" si="3"/>
        <v>0.52500000000000002</v>
      </c>
      <c r="AC31" s="28">
        <f>(AB31-G20)*C36/J26</f>
        <v>-52151.891752352276</v>
      </c>
      <c r="AI31" s="5"/>
      <c r="AJ31" s="5"/>
      <c r="AK31" s="5"/>
      <c r="AL31" s="5"/>
      <c r="AM31" s="5"/>
      <c r="AN31" s="42">
        <f>AN32+AN38/20</f>
        <v>0.50624999999999998</v>
      </c>
      <c r="AO31" s="42">
        <f t="shared" si="0"/>
        <v>0.25312499999999999</v>
      </c>
      <c r="AP31" s="42">
        <f>(AL17-AO31)</f>
        <v>0.12187500000000001</v>
      </c>
      <c r="AQ31" s="42">
        <f>AN31*AL18</f>
        <v>0</v>
      </c>
      <c r="AR31" s="43" t="e">
        <f>C34*(AQ31*AP31)/(AL19*AL18)</f>
        <v>#DIV/0!</v>
      </c>
      <c r="AS31" s="5"/>
      <c r="AT31" s="5"/>
      <c r="AU31" s="5"/>
      <c r="AV31" s="5"/>
      <c r="AW31" s="5"/>
      <c r="AX31" s="5"/>
      <c r="AY31" s="42">
        <f>AY32+AY38/20</f>
        <v>0.50624999999999998</v>
      </c>
      <c r="AZ31" s="42">
        <f t="shared" si="1"/>
        <v>0.25312499999999999</v>
      </c>
      <c r="BA31" s="42">
        <f>(AW17-AZ31)</f>
        <v>0.12187500000000001</v>
      </c>
      <c r="BB31" s="42">
        <f>AY31*AW18</f>
        <v>0.18984374999999998</v>
      </c>
      <c r="BC31" s="43">
        <f>C33*(BB31*BA31)/(AW19*AW18)</f>
        <v>1986.2536897868538</v>
      </c>
      <c r="BD31" s="44"/>
      <c r="BE31" s="5"/>
      <c r="BF31" s="15" t="s">
        <v>103</v>
      </c>
      <c r="BG31" s="5"/>
      <c r="BH31" s="5"/>
      <c r="BI31" s="5"/>
      <c r="BJ31" s="5"/>
      <c r="BK31" s="5"/>
      <c r="BL31" s="5"/>
      <c r="BM31" s="5"/>
      <c r="BN31" s="5"/>
      <c r="BO31" s="5"/>
      <c r="BP31" s="44"/>
      <c r="BQ31" s="44"/>
      <c r="BR31" s="44"/>
      <c r="BS31" s="44"/>
      <c r="BT31" s="44"/>
      <c r="BU31" s="44"/>
      <c r="BV31" s="44"/>
      <c r="BW31" s="44"/>
      <c r="BX31" s="44"/>
      <c r="BY31" s="44"/>
      <c r="CA31" s="39"/>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P31" s="39"/>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G31" s="39"/>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X31" s="39"/>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O31" s="39"/>
      <c r="IP31" s="44"/>
      <c r="IQ31" s="44"/>
      <c r="IR31" s="44"/>
      <c r="IS31" s="44"/>
      <c r="IT31" s="44"/>
      <c r="IU31" s="44"/>
      <c r="IV31" s="44"/>
      <c r="IW31" s="44"/>
      <c r="IX31" s="44"/>
      <c r="IY31" s="44"/>
      <c r="IZ31" s="44"/>
      <c r="JA31" s="44"/>
      <c r="JB31" s="44"/>
      <c r="JC31" s="44"/>
      <c r="JD31" s="44"/>
      <c r="JE31" s="44"/>
      <c r="JF31" s="44"/>
      <c r="JG31" s="44"/>
      <c r="JH31" s="44"/>
      <c r="JI31" s="44"/>
      <c r="JJ31" s="44"/>
      <c r="JK31" s="44"/>
      <c r="JL31" s="44"/>
      <c r="JM31" s="44"/>
      <c r="JN31" s="44"/>
      <c r="JO31" s="44"/>
      <c r="JP31" s="44"/>
      <c r="JQ31" s="44"/>
      <c r="JR31" s="44"/>
      <c r="JS31" s="44"/>
      <c r="JT31" s="44"/>
      <c r="JU31" s="44"/>
      <c r="JV31" s="44"/>
      <c r="JW31" s="44"/>
      <c r="JX31" s="44"/>
      <c r="JY31" s="44"/>
      <c r="JZ31" s="44"/>
      <c r="KA31" s="44"/>
      <c r="KB31" s="44"/>
      <c r="KC31" s="44"/>
      <c r="KD31" s="44"/>
      <c r="KF31" s="45"/>
      <c r="KG31" s="45"/>
      <c r="KH31" s="45"/>
      <c r="KI31" s="45"/>
      <c r="KJ31" s="45"/>
      <c r="KK31" s="45"/>
      <c r="KL31" s="45"/>
      <c r="KM31" s="45"/>
      <c r="KN31" s="45"/>
      <c r="KO31" s="45"/>
      <c r="KP31" s="45"/>
      <c r="KQ31" s="45"/>
      <c r="KR31" s="45"/>
      <c r="KS31" s="45"/>
      <c r="KT31" s="45"/>
      <c r="KU31" s="45"/>
      <c r="KV31" s="45"/>
      <c r="KW31" s="45"/>
      <c r="KX31" s="45"/>
      <c r="KY31" s="45"/>
      <c r="KZ31" s="45"/>
      <c r="LA31" s="45"/>
      <c r="LB31" s="45"/>
      <c r="LC31" s="45"/>
      <c r="LD31" s="45"/>
      <c r="LE31" s="45"/>
      <c r="LF31" s="45"/>
      <c r="LG31" s="45"/>
      <c r="LH31" s="45"/>
      <c r="LI31" s="45"/>
      <c r="LJ31" s="45"/>
      <c r="LK31" s="45"/>
      <c r="LL31" s="45"/>
      <c r="LM31" s="45"/>
      <c r="LN31" s="45"/>
      <c r="LO31" s="45"/>
      <c r="LP31" s="45"/>
      <c r="LQ31" s="45"/>
      <c r="LR31" s="45"/>
      <c r="LS31" s="45"/>
      <c r="LT31" s="45"/>
      <c r="LW31" s="37"/>
      <c r="LX31" s="37"/>
      <c r="LY31" s="37"/>
      <c r="LZ31" s="37"/>
      <c r="MA31" s="46"/>
      <c r="MB31" s="46"/>
      <c r="MC31" s="46"/>
      <c r="MD31" s="46"/>
      <c r="ME31" s="46"/>
      <c r="MF31" s="46"/>
      <c r="MG31" s="46"/>
      <c r="MH31" s="46"/>
      <c r="MI31" s="46"/>
      <c r="MJ31" s="46"/>
      <c r="MK31" s="46"/>
      <c r="ML31" s="46"/>
      <c r="MM31" s="46"/>
      <c r="MN31" s="46"/>
      <c r="MO31" s="46"/>
      <c r="MP31" s="46"/>
      <c r="MQ31" s="46"/>
      <c r="MR31" s="46"/>
      <c r="MS31" s="46"/>
      <c r="MT31" s="46"/>
      <c r="MU31" s="46"/>
      <c r="MV31" s="46"/>
      <c r="MW31" s="46"/>
      <c r="MX31" s="46"/>
      <c r="MY31" s="46"/>
      <c r="MZ31" s="46"/>
      <c r="NA31" s="46"/>
      <c r="NB31" s="46"/>
      <c r="NC31" s="46"/>
      <c r="ND31" s="46"/>
      <c r="NE31" s="46"/>
      <c r="NF31" s="46"/>
      <c r="NG31" s="46"/>
      <c r="NH31" s="46"/>
      <c r="NI31" s="46"/>
      <c r="NJ31" s="46"/>
      <c r="NK31" s="46"/>
      <c r="NL31" s="46"/>
      <c r="NM31" s="46"/>
      <c r="NN31" s="46"/>
      <c r="NO31" s="46"/>
      <c r="NP31" s="47"/>
      <c r="NQ31" s="47"/>
      <c r="NR31" s="47"/>
      <c r="NS31" s="47"/>
      <c r="NT31" s="47"/>
      <c r="NU31" s="47"/>
      <c r="NV31" s="47"/>
      <c r="NW31" s="47"/>
      <c r="NX31" s="47"/>
      <c r="NY31" s="47"/>
      <c r="NZ31" s="47"/>
    </row>
    <row r="32" spans="1:390" s="28" customFormat="1" ht="12.75" customHeight="1" x14ac:dyDescent="0.3">
      <c r="A32" s="24"/>
      <c r="B32" s="130" t="s">
        <v>76</v>
      </c>
      <c r="C32" s="49">
        <v>-3000</v>
      </c>
      <c r="D32" s="28" t="s">
        <v>77</v>
      </c>
      <c r="E32" s="103">
        <f>C32/G19</f>
        <v>-6790.6109052542015</v>
      </c>
      <c r="F32" s="50" t="s">
        <v>78</v>
      </c>
      <c r="M32" s="11"/>
      <c r="N32" s="11"/>
      <c r="O32" s="11"/>
      <c r="P32" s="11"/>
      <c r="Q32" s="11"/>
      <c r="R32" s="12"/>
      <c r="S32" s="12"/>
      <c r="W32" s="40">
        <f t="shared" si="2"/>
        <v>0.50624999999999998</v>
      </c>
      <c r="X32" s="28">
        <f>(W32-G21)*C35/G26</f>
        <v>10394.161758975762</v>
      </c>
      <c r="AB32" s="40">
        <f t="shared" si="3"/>
        <v>0.50624999999999998</v>
      </c>
      <c r="AC32" s="28">
        <f>(AB32-G20)*C36/J26</f>
        <v>-45632.905283308224</v>
      </c>
      <c r="AI32" s="5"/>
      <c r="AJ32" s="5"/>
      <c r="AK32" s="5"/>
      <c r="AL32" s="5"/>
      <c r="AM32" s="5"/>
      <c r="AN32" s="42">
        <f>AN33+AN38/20</f>
        <v>0.48749999999999993</v>
      </c>
      <c r="AO32" s="42">
        <f t="shared" si="0"/>
        <v>0.24374999999999997</v>
      </c>
      <c r="AP32" s="42">
        <f>(AL17-AO32)</f>
        <v>0.13125000000000003</v>
      </c>
      <c r="AQ32" s="42">
        <f>AN32*AL18</f>
        <v>0</v>
      </c>
      <c r="AR32" s="43" t="e">
        <f>C34*(AQ32*AP32)/(AL19*AL18)</f>
        <v>#DIV/0!</v>
      </c>
      <c r="AS32" s="5"/>
      <c r="AT32" s="5"/>
      <c r="AU32" s="5"/>
      <c r="AV32" s="5"/>
      <c r="AW32" s="5"/>
      <c r="AX32" s="5"/>
      <c r="AY32" s="42">
        <f>AY33+AY38/20</f>
        <v>0.48749999999999993</v>
      </c>
      <c r="AZ32" s="42">
        <f t="shared" si="1"/>
        <v>0.24374999999999997</v>
      </c>
      <c r="BA32" s="42">
        <f>(AW17-AZ32)</f>
        <v>0.13125000000000003</v>
      </c>
      <c r="BB32" s="42">
        <f>AY32*AW18</f>
        <v>0.18281249999999999</v>
      </c>
      <c r="BC32" s="43">
        <f>C33*(BB32*BA32)/(AW19*AW18)</f>
        <v>2059.8186412604414</v>
      </c>
      <c r="BD32" s="44"/>
      <c r="BE32" s="5"/>
      <c r="BF32" s="104" t="s">
        <v>104</v>
      </c>
      <c r="BG32" s="76"/>
      <c r="BH32" s="76"/>
      <c r="BI32" s="76"/>
      <c r="BJ32" s="76"/>
      <c r="BK32" s="76"/>
      <c r="BL32" s="76"/>
      <c r="BM32" s="76"/>
      <c r="BN32" s="76"/>
      <c r="BO32" s="5"/>
      <c r="BP32" s="44"/>
      <c r="BQ32" s="44"/>
      <c r="BR32" s="44"/>
      <c r="BS32" s="44"/>
      <c r="BT32" s="44"/>
      <c r="BU32" s="44"/>
      <c r="BV32" s="44"/>
      <c r="BW32" s="44"/>
      <c r="BX32" s="44"/>
      <c r="BY32" s="44"/>
      <c r="CA32" s="39"/>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P32" s="39"/>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G32" s="39"/>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X32" s="39"/>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O32" s="39"/>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F32" s="45"/>
      <c r="KG32" s="45"/>
      <c r="KH32" s="45"/>
      <c r="KI32" s="45"/>
      <c r="KJ32" s="45"/>
      <c r="KK32" s="45"/>
      <c r="KL32" s="45"/>
      <c r="KM32" s="45"/>
      <c r="KN32" s="45"/>
      <c r="KO32" s="45"/>
      <c r="KP32" s="45"/>
      <c r="KQ32" s="45"/>
      <c r="KR32" s="45"/>
      <c r="KS32" s="45"/>
      <c r="KT32" s="45"/>
      <c r="KU32" s="45"/>
      <c r="KV32" s="45"/>
      <c r="KW32" s="45"/>
      <c r="KX32" s="45"/>
      <c r="KY32" s="45"/>
      <c r="KZ32" s="45"/>
      <c r="LA32" s="45"/>
      <c r="LB32" s="45"/>
      <c r="LC32" s="45"/>
      <c r="LD32" s="45"/>
      <c r="LE32" s="45"/>
      <c r="LF32" s="45"/>
      <c r="LG32" s="45"/>
      <c r="LH32" s="45"/>
      <c r="LI32" s="45"/>
      <c r="LJ32" s="45"/>
      <c r="LK32" s="45"/>
      <c r="LL32" s="45"/>
      <c r="LM32" s="45"/>
      <c r="LN32" s="45"/>
      <c r="LO32" s="45"/>
      <c r="LP32" s="45"/>
      <c r="LQ32" s="45"/>
      <c r="LR32" s="45"/>
      <c r="LS32" s="45"/>
      <c r="LT32" s="45"/>
      <c r="LV32" s="51"/>
      <c r="LW32" s="5"/>
      <c r="LX32" s="5"/>
      <c r="LY32" s="5"/>
      <c r="MA32" s="46"/>
      <c r="MB32" s="46"/>
      <c r="MC32" s="46"/>
      <c r="MD32" s="46"/>
      <c r="ME32" s="46"/>
      <c r="MF32" s="46"/>
      <c r="MG32" s="46"/>
      <c r="MH32" s="46"/>
      <c r="MI32" s="46"/>
      <c r="MJ32" s="46"/>
      <c r="MK32" s="46"/>
      <c r="ML32" s="46"/>
      <c r="MM32" s="46"/>
      <c r="MN32" s="46"/>
      <c r="MO32" s="46"/>
      <c r="MP32" s="46"/>
      <c r="MQ32" s="46"/>
      <c r="MR32" s="46"/>
      <c r="MS32" s="46"/>
      <c r="MT32" s="46"/>
      <c r="MU32" s="46"/>
      <c r="MV32" s="46"/>
      <c r="MW32" s="46"/>
      <c r="MX32" s="46"/>
      <c r="MY32" s="46"/>
      <c r="MZ32" s="46"/>
      <c r="NA32" s="46"/>
      <c r="NB32" s="46"/>
      <c r="NC32" s="46"/>
      <c r="ND32" s="46"/>
      <c r="NE32" s="46"/>
      <c r="NF32" s="46"/>
      <c r="NG32" s="46"/>
      <c r="NH32" s="46"/>
      <c r="NI32" s="46"/>
      <c r="NJ32" s="46"/>
      <c r="NK32" s="46"/>
      <c r="NL32" s="46"/>
      <c r="NM32" s="46"/>
      <c r="NN32" s="46"/>
      <c r="NO32" s="46"/>
      <c r="NP32" s="47"/>
      <c r="NQ32" s="47"/>
      <c r="NR32" s="47"/>
      <c r="NS32" s="47"/>
      <c r="NT32" s="47"/>
      <c r="NU32" s="47"/>
      <c r="NV32" s="47"/>
      <c r="NW32" s="47"/>
      <c r="NX32" s="47"/>
      <c r="NY32" s="47"/>
      <c r="NZ32" s="47"/>
    </row>
    <row r="33" spans="1:390" s="28" customFormat="1" ht="13.8" x14ac:dyDescent="0.3">
      <c r="B33" s="130" t="s">
        <v>79</v>
      </c>
      <c r="C33" s="49">
        <v>500</v>
      </c>
      <c r="D33" s="28" t="s">
        <v>77</v>
      </c>
      <c r="E33" s="103">
        <f>3/2*C33/G19</f>
        <v>1697.6527263135504</v>
      </c>
      <c r="F33" s="50" t="s">
        <v>78</v>
      </c>
      <c r="G33" s="28" t="s">
        <v>80</v>
      </c>
      <c r="H33" s="49">
        <v>195000</v>
      </c>
      <c r="I33" s="28" t="s">
        <v>78</v>
      </c>
      <c r="M33" s="11"/>
      <c r="N33" s="11"/>
      <c r="O33" s="11"/>
      <c r="P33" s="11"/>
      <c r="Q33" s="11"/>
      <c r="R33" s="12"/>
      <c r="S33" s="12"/>
      <c r="W33" s="40">
        <f t="shared" si="2"/>
        <v>0.48749999999999993</v>
      </c>
      <c r="X33" s="28">
        <f>(W33-G21)*C35/G26</f>
        <v>8909.2815076935076</v>
      </c>
      <c r="AB33" s="40">
        <f t="shared" si="3"/>
        <v>0.48749999999999993</v>
      </c>
      <c r="AC33" s="28">
        <f>(AB33-G20)*C36/J26</f>
        <v>-39113.91881426418</v>
      </c>
      <c r="AI33" s="5"/>
      <c r="AJ33" s="5"/>
      <c r="AK33" s="5"/>
      <c r="AL33" s="5"/>
      <c r="AM33" s="5"/>
      <c r="AN33" s="42">
        <f>AN34+AN38/20</f>
        <v>0.46874999999999994</v>
      </c>
      <c r="AO33" s="42">
        <f t="shared" si="0"/>
        <v>0.23437499999999997</v>
      </c>
      <c r="AP33" s="42">
        <f>(AL17-AO33)</f>
        <v>0.14062500000000003</v>
      </c>
      <c r="AQ33" s="42">
        <f>AN33*AL18</f>
        <v>0</v>
      </c>
      <c r="AR33" s="43" t="e">
        <f>C34*(AQ33*AP33)/(AL19*AL18)</f>
        <v>#DIV/0!</v>
      </c>
      <c r="AS33" s="5"/>
      <c r="AT33" s="5"/>
      <c r="AU33" s="5"/>
      <c r="AV33" s="5"/>
      <c r="AW33" s="5"/>
      <c r="AX33" s="5"/>
      <c r="AY33" s="42">
        <f>AY34+AY38/20</f>
        <v>0.46874999999999994</v>
      </c>
      <c r="AZ33" s="42">
        <f t="shared" si="1"/>
        <v>0.23437499999999997</v>
      </c>
      <c r="BA33" s="42">
        <f>(AW17-AZ33)</f>
        <v>0.14062500000000003</v>
      </c>
      <c r="BB33" s="42">
        <f>AY33*AW18</f>
        <v>0.17578124999999997</v>
      </c>
      <c r="BC33" s="43">
        <f>C33*(BB33*BA33)/(AW19*AW18)</f>
        <v>2122.065907891938</v>
      </c>
      <c r="BD33" s="44"/>
      <c r="BE33" s="5"/>
      <c r="BF33" s="76"/>
      <c r="BG33" s="76"/>
      <c r="BH33" s="76"/>
      <c r="BI33" s="76"/>
      <c r="BJ33" s="76"/>
      <c r="BK33" s="76"/>
      <c r="BL33" s="76"/>
      <c r="BM33" s="76"/>
      <c r="BN33" s="76"/>
      <c r="BO33" s="5"/>
      <c r="BP33" s="44"/>
      <c r="BQ33" s="44"/>
      <c r="BR33" s="44"/>
      <c r="BS33" s="44"/>
      <c r="BT33" s="44"/>
      <c r="BU33" s="44"/>
      <c r="BV33" s="44"/>
      <c r="BW33" s="44"/>
      <c r="BX33" s="44"/>
      <c r="BY33" s="44"/>
      <c r="CA33" s="39"/>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P33" s="39"/>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G33" s="39"/>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X33" s="39"/>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O33" s="39"/>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F33" s="45"/>
      <c r="KG33" s="45"/>
      <c r="KH33" s="45"/>
      <c r="KI33" s="45"/>
      <c r="KJ33" s="45"/>
      <c r="KK33" s="45"/>
      <c r="KL33" s="45"/>
      <c r="KM33" s="45"/>
      <c r="KN33" s="45"/>
      <c r="KO33" s="45"/>
      <c r="KP33" s="45"/>
      <c r="KQ33" s="45"/>
      <c r="KR33" s="45"/>
      <c r="KS33" s="45"/>
      <c r="KT33" s="45"/>
      <c r="KU33" s="45"/>
      <c r="KV33" s="45"/>
      <c r="KW33" s="45"/>
      <c r="KX33" s="45"/>
      <c r="KY33" s="45"/>
      <c r="KZ33" s="45"/>
      <c r="LA33" s="45"/>
      <c r="LB33" s="45"/>
      <c r="LC33" s="45"/>
      <c r="LD33" s="45"/>
      <c r="LE33" s="45"/>
      <c r="LF33" s="45"/>
      <c r="LG33" s="45"/>
      <c r="LH33" s="45"/>
      <c r="LI33" s="45"/>
      <c r="LJ33" s="45"/>
      <c r="LK33" s="45"/>
      <c r="LL33" s="45"/>
      <c r="LM33" s="45"/>
      <c r="LN33" s="45"/>
      <c r="LO33" s="45"/>
      <c r="LP33" s="45"/>
      <c r="LQ33" s="45"/>
      <c r="LR33" s="45"/>
      <c r="LS33" s="45"/>
      <c r="LT33" s="45"/>
      <c r="LV33" s="52"/>
      <c r="LW33" s="5"/>
      <c r="LX33" s="5"/>
      <c r="LY33" s="5"/>
      <c r="MA33" s="46"/>
      <c r="MB33" s="46"/>
      <c r="MC33" s="46"/>
      <c r="MD33" s="46"/>
      <c r="ME33" s="46"/>
      <c r="MF33" s="46"/>
      <c r="MG33" s="46"/>
      <c r="MH33" s="46"/>
      <c r="MI33" s="46"/>
      <c r="MJ33" s="46"/>
      <c r="MK33" s="46"/>
      <c r="ML33" s="46"/>
      <c r="MM33" s="46"/>
      <c r="MN33" s="46"/>
      <c r="MO33" s="46"/>
      <c r="MP33" s="46"/>
      <c r="MQ33" s="46"/>
      <c r="MR33" s="46"/>
      <c r="MS33" s="46"/>
      <c r="MT33" s="46"/>
      <c r="MU33" s="46"/>
      <c r="MV33" s="46"/>
      <c r="MW33" s="46"/>
      <c r="MX33" s="46"/>
      <c r="MY33" s="46"/>
      <c r="MZ33" s="46"/>
      <c r="NA33" s="46"/>
      <c r="NB33" s="46"/>
      <c r="NC33" s="46"/>
      <c r="ND33" s="46"/>
      <c r="NE33" s="46"/>
      <c r="NF33" s="46"/>
      <c r="NG33" s="46"/>
      <c r="NH33" s="46"/>
      <c r="NI33" s="46"/>
      <c r="NJ33" s="46"/>
      <c r="NK33" s="46"/>
      <c r="NL33" s="46"/>
      <c r="NM33" s="46"/>
      <c r="NN33" s="46"/>
      <c r="NO33" s="46"/>
      <c r="NP33" s="47"/>
      <c r="NQ33" s="47"/>
      <c r="NR33" s="47"/>
      <c r="NS33" s="47"/>
      <c r="NT33" s="47"/>
      <c r="NU33" s="47"/>
      <c r="NV33" s="47"/>
      <c r="NW33" s="47"/>
      <c r="NX33" s="47"/>
      <c r="NY33" s="47"/>
      <c r="NZ33" s="47"/>
    </row>
    <row r="34" spans="1:390" s="28" customFormat="1" ht="13.8" x14ac:dyDescent="0.3">
      <c r="B34" s="130" t="s">
        <v>81</v>
      </c>
      <c r="C34" s="49">
        <v>650</v>
      </c>
      <c r="D34" s="28" t="s">
        <v>77</v>
      </c>
      <c r="E34" s="103">
        <f>3/2*C34/G19</f>
        <v>2206.9485442076152</v>
      </c>
      <c r="F34" s="50" t="s">
        <v>78</v>
      </c>
      <c r="G34" s="28" t="s">
        <v>82</v>
      </c>
      <c r="M34" s="11"/>
      <c r="N34" s="11"/>
      <c r="O34" s="11"/>
      <c r="P34" s="11"/>
      <c r="Q34" s="11"/>
      <c r="R34" s="12"/>
      <c r="S34" s="12"/>
      <c r="W34" s="40">
        <f t="shared" si="2"/>
        <v>0.46874999999999994</v>
      </c>
      <c r="X34" s="28">
        <f>(W34-G21)*C35/G26</f>
        <v>7424.4012564112554</v>
      </c>
      <c r="AB34" s="40">
        <f t="shared" si="3"/>
        <v>0.46874999999999994</v>
      </c>
      <c r="AC34" s="28">
        <f>(AB34-G20)*C36/J26</f>
        <v>-32594.93234522015</v>
      </c>
      <c r="AI34" s="5"/>
      <c r="AJ34" s="5"/>
      <c r="AK34" s="5"/>
      <c r="AL34" s="5"/>
      <c r="AM34" s="5"/>
      <c r="AN34" s="42">
        <f>AN35+AN38/20</f>
        <v>0.44999999999999996</v>
      </c>
      <c r="AO34" s="42">
        <f t="shared" si="0"/>
        <v>0.22499999999999998</v>
      </c>
      <c r="AP34" s="42">
        <f>(AL17-AO34)</f>
        <v>0.15000000000000002</v>
      </c>
      <c r="AQ34" s="42">
        <f>AN34*AL18</f>
        <v>0</v>
      </c>
      <c r="AR34" s="43" t="e">
        <f>C34*(AQ34*AP34)/(AL19*AL18)</f>
        <v>#DIV/0!</v>
      </c>
      <c r="AS34" s="5"/>
      <c r="AT34" s="5"/>
      <c r="AU34" s="5"/>
      <c r="AV34" s="5"/>
      <c r="AW34" s="5"/>
      <c r="AX34" s="5"/>
      <c r="AY34" s="42">
        <f>AY35+AY38/20</f>
        <v>0.44999999999999996</v>
      </c>
      <c r="AZ34" s="42">
        <f t="shared" si="1"/>
        <v>0.22499999999999998</v>
      </c>
      <c r="BA34" s="42">
        <f>(AW17-AZ34)</f>
        <v>0.15000000000000002</v>
      </c>
      <c r="BB34" s="42">
        <f>AY34*AW18</f>
        <v>0.16874999999999998</v>
      </c>
      <c r="BC34" s="43">
        <f>C33*(BB34*BA34)/(AW19*AW18)</f>
        <v>2172.9954896813442</v>
      </c>
      <c r="BD34" s="44"/>
      <c r="BE34" s="5"/>
      <c r="BF34" s="5"/>
      <c r="BG34" s="5"/>
      <c r="BH34" s="7" t="s">
        <v>105</v>
      </c>
      <c r="BI34" s="5" t="s">
        <v>106</v>
      </c>
      <c r="BJ34" s="5"/>
      <c r="BK34" s="5"/>
      <c r="BL34" s="5"/>
      <c r="BM34" s="5"/>
      <c r="BN34" s="5"/>
      <c r="BO34" s="5"/>
      <c r="BP34" s="44"/>
      <c r="BQ34" s="44"/>
      <c r="BR34" s="44"/>
      <c r="BS34" s="44"/>
      <c r="BT34" s="44"/>
      <c r="BU34" s="44"/>
      <c r="BV34" s="44"/>
      <c r="BW34" s="44"/>
      <c r="BX34" s="44"/>
      <c r="BY34" s="44"/>
      <c r="CA34" s="39"/>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P34" s="39"/>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G34" s="39"/>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X34" s="39"/>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O34" s="39"/>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F34" s="45"/>
      <c r="KG34" s="45"/>
      <c r="KH34" s="45"/>
      <c r="KI34" s="45"/>
      <c r="KJ34" s="45"/>
      <c r="KK34" s="45"/>
      <c r="KL34" s="45"/>
      <c r="KM34" s="45"/>
      <c r="KN34" s="45"/>
      <c r="KO34" s="45"/>
      <c r="KP34" s="45"/>
      <c r="KQ34" s="45"/>
      <c r="KR34" s="45"/>
      <c r="KS34" s="45"/>
      <c r="KT34" s="45"/>
      <c r="KU34" s="45"/>
      <c r="KV34" s="45"/>
      <c r="KW34" s="45"/>
      <c r="KX34" s="45"/>
      <c r="KY34" s="45"/>
      <c r="KZ34" s="45"/>
      <c r="LA34" s="45"/>
      <c r="LB34" s="45"/>
      <c r="LC34" s="45"/>
      <c r="LD34" s="45"/>
      <c r="LE34" s="45"/>
      <c r="LF34" s="45"/>
      <c r="LG34" s="45"/>
      <c r="LH34" s="45"/>
      <c r="LI34" s="45"/>
      <c r="LJ34" s="45"/>
      <c r="LK34" s="45"/>
      <c r="LL34" s="45"/>
      <c r="LM34" s="45"/>
      <c r="LN34" s="45"/>
      <c r="LO34" s="45"/>
      <c r="LP34" s="45"/>
      <c r="LQ34" s="45"/>
      <c r="LR34" s="45"/>
      <c r="LS34" s="45"/>
      <c r="LT34" s="45"/>
      <c r="LV34" s="52"/>
      <c r="LW34" s="5"/>
      <c r="LX34" s="5"/>
      <c r="LY34" s="18"/>
      <c r="MA34" s="46"/>
      <c r="MB34" s="46"/>
      <c r="MC34" s="46"/>
      <c r="MD34" s="46"/>
      <c r="ME34" s="46"/>
      <c r="MF34" s="46"/>
      <c r="MG34" s="46"/>
      <c r="MH34" s="46"/>
      <c r="MI34" s="46"/>
      <c r="MJ34" s="46"/>
      <c r="MK34" s="46"/>
      <c r="ML34" s="46"/>
      <c r="MM34" s="46"/>
      <c r="MN34" s="46"/>
      <c r="MO34" s="46"/>
      <c r="MP34" s="46"/>
      <c r="MQ34" s="46"/>
      <c r="MR34" s="46"/>
      <c r="MS34" s="46"/>
      <c r="MT34" s="46"/>
      <c r="MU34" s="46"/>
      <c r="MV34" s="46"/>
      <c r="MW34" s="46"/>
      <c r="MX34" s="46"/>
      <c r="MY34" s="46"/>
      <c r="MZ34" s="46"/>
      <c r="NA34" s="46"/>
      <c r="NB34" s="46"/>
      <c r="NC34" s="46"/>
      <c r="ND34" s="46"/>
      <c r="NE34" s="46"/>
      <c r="NF34" s="46"/>
      <c r="NG34" s="46"/>
      <c r="NH34" s="46"/>
      <c r="NI34" s="46"/>
      <c r="NJ34" s="46"/>
      <c r="NK34" s="46"/>
      <c r="NL34" s="46"/>
      <c r="NM34" s="46"/>
      <c r="NN34" s="46"/>
      <c r="NO34" s="46"/>
      <c r="NP34" s="47"/>
      <c r="NQ34" s="47"/>
      <c r="NR34" s="47"/>
      <c r="NS34" s="47"/>
      <c r="NT34" s="47"/>
      <c r="NU34" s="47"/>
      <c r="NV34" s="47"/>
      <c r="NW34" s="47"/>
      <c r="NX34" s="47"/>
      <c r="NY34" s="47"/>
      <c r="NZ34" s="47"/>
    </row>
    <row r="35" spans="1:390" s="28" customFormat="1" ht="13.8" x14ac:dyDescent="0.3">
      <c r="B35" s="130" t="s">
        <v>83</v>
      </c>
      <c r="C35" s="49">
        <v>1230</v>
      </c>
      <c r="D35" s="28" t="s">
        <v>84</v>
      </c>
      <c r="E35" s="103">
        <f>C35*G21/G26</f>
        <v>29697.60502564504</v>
      </c>
      <c r="F35" s="50" t="s">
        <v>78</v>
      </c>
      <c r="G35" s="29" t="s">
        <v>85</v>
      </c>
      <c r="H35" s="131">
        <v>1.1499999999999999</v>
      </c>
      <c r="I35" s="53" t="s">
        <v>86</v>
      </c>
      <c r="M35" s="11"/>
      <c r="N35" s="11"/>
      <c r="O35" s="11"/>
      <c r="P35" s="11"/>
      <c r="Q35" s="11"/>
      <c r="R35" s="12"/>
      <c r="S35" s="12"/>
      <c r="W35" s="40">
        <f t="shared" si="2"/>
        <v>0.44999999999999996</v>
      </c>
      <c r="X35" s="28">
        <f>(W35-G21)*C35/G26</f>
        <v>5939.5210051290051</v>
      </c>
      <c r="AB35" s="40">
        <f t="shared" si="3"/>
        <v>0.44999999999999996</v>
      </c>
      <c r="AC35" s="28">
        <f>(AB35-G20)*C36/J26</f>
        <v>-26075.94587617612</v>
      </c>
      <c r="AI35" s="5"/>
      <c r="AJ35" s="5"/>
      <c r="AK35" s="5"/>
      <c r="AL35" s="5"/>
      <c r="AM35" s="5"/>
      <c r="AN35" s="42">
        <f>AN36+AN38/20</f>
        <v>0.43124999999999997</v>
      </c>
      <c r="AO35" s="42">
        <f t="shared" si="0"/>
        <v>0.21562499999999998</v>
      </c>
      <c r="AP35" s="42">
        <f>(AL17-AO35)</f>
        <v>0.15937500000000002</v>
      </c>
      <c r="AQ35" s="42">
        <f>AN35*AL18</f>
        <v>0</v>
      </c>
      <c r="AR35" s="43" t="e">
        <f>C34*(AQ35*AP35)/(AL19*AL18)</f>
        <v>#DIV/0!</v>
      </c>
      <c r="AS35" s="5"/>
      <c r="AT35" s="5"/>
      <c r="AU35" s="5"/>
      <c r="AV35" s="5"/>
      <c r="AW35" s="5"/>
      <c r="AX35" s="5"/>
      <c r="AY35" s="42">
        <f>AY36+AY38/20</f>
        <v>0.43124999999999997</v>
      </c>
      <c r="AZ35" s="42">
        <f t="shared" si="1"/>
        <v>0.21562499999999998</v>
      </c>
      <c r="BA35" s="42">
        <f>(AW17-AZ35)</f>
        <v>0.15937500000000002</v>
      </c>
      <c r="BB35" s="42">
        <f>AY35*AW18</f>
        <v>0.16171874999999999</v>
      </c>
      <c r="BC35" s="43">
        <f>C33*(BB35*BA35)/(AW19*AW18)</f>
        <v>2212.6073866286606</v>
      </c>
      <c r="BD35" s="44"/>
      <c r="BE35" s="5"/>
      <c r="BF35" s="5" t="s">
        <v>107</v>
      </c>
      <c r="BG35" s="5"/>
      <c r="BH35" s="5"/>
      <c r="BI35" s="5"/>
      <c r="BJ35" s="5"/>
      <c r="BK35" s="5"/>
      <c r="BL35" s="5"/>
      <c r="BM35" s="5"/>
      <c r="BN35" s="5"/>
      <c r="BO35" s="5"/>
      <c r="BP35" s="44"/>
      <c r="BQ35" s="44"/>
      <c r="BR35" s="44"/>
      <c r="BS35" s="44"/>
      <c r="BT35" s="44"/>
      <c r="BU35" s="44"/>
      <c r="BV35" s="44"/>
      <c r="BW35" s="44"/>
      <c r="BX35" s="44"/>
      <c r="BY35" s="44"/>
      <c r="CA35" s="39"/>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P35" s="39"/>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G35" s="39"/>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X35" s="39"/>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O35" s="39"/>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F35" s="45"/>
      <c r="KG35" s="45"/>
      <c r="KH35" s="45"/>
      <c r="KI35" s="45"/>
      <c r="KJ35" s="45"/>
      <c r="KK35" s="45"/>
      <c r="KL35" s="45"/>
      <c r="KM35" s="45"/>
      <c r="KN35" s="45"/>
      <c r="KO35" s="45"/>
      <c r="KP35" s="45"/>
      <c r="KQ35" s="45"/>
      <c r="KR35" s="45"/>
      <c r="KS35" s="45"/>
      <c r="KT35" s="45"/>
      <c r="KU35" s="45"/>
      <c r="KV35" s="45"/>
      <c r="KW35" s="45"/>
      <c r="KX35" s="45"/>
      <c r="KY35" s="45"/>
      <c r="KZ35" s="45"/>
      <c r="LA35" s="45"/>
      <c r="LB35" s="45"/>
      <c r="LC35" s="45"/>
      <c r="LD35" s="45"/>
      <c r="LE35" s="45"/>
      <c r="LF35" s="45"/>
      <c r="LG35" s="45"/>
      <c r="LH35" s="45"/>
      <c r="LI35" s="45"/>
      <c r="LJ35" s="45"/>
      <c r="LK35" s="45"/>
      <c r="LL35" s="45"/>
      <c r="LM35" s="45"/>
      <c r="LN35" s="45"/>
      <c r="LO35" s="45"/>
      <c r="LP35" s="45"/>
      <c r="LQ35" s="45"/>
      <c r="LR35" s="45"/>
      <c r="LS35" s="45"/>
      <c r="LT35" s="45"/>
      <c r="LV35" s="52"/>
      <c r="LW35" s="54"/>
      <c r="LX35" s="5"/>
      <c r="LY35" s="18"/>
      <c r="MA35" s="46"/>
      <c r="MB35" s="46"/>
      <c r="MC35" s="46"/>
      <c r="MD35" s="46"/>
      <c r="ME35" s="46"/>
      <c r="MF35" s="46"/>
      <c r="MG35" s="46"/>
      <c r="MH35" s="46"/>
      <c r="MI35" s="46"/>
      <c r="MJ35" s="46"/>
      <c r="MK35" s="46"/>
      <c r="ML35" s="46"/>
      <c r="MM35" s="46"/>
      <c r="MN35" s="46"/>
      <c r="MO35" s="46"/>
      <c r="MP35" s="46"/>
      <c r="MQ35" s="46"/>
      <c r="MR35" s="46"/>
      <c r="MS35" s="46"/>
      <c r="MT35" s="46"/>
      <c r="MU35" s="46"/>
      <c r="MV35" s="46"/>
      <c r="MW35" s="46"/>
      <c r="MX35" s="46"/>
      <c r="MY35" s="46"/>
      <c r="MZ35" s="46"/>
      <c r="NA35" s="46"/>
      <c r="NB35" s="46"/>
      <c r="NC35" s="46"/>
      <c r="ND35" s="46"/>
      <c r="NE35" s="46"/>
      <c r="NF35" s="46"/>
      <c r="NG35" s="46"/>
      <c r="NH35" s="46"/>
      <c r="NI35" s="46"/>
      <c r="NJ35" s="46"/>
      <c r="NK35" s="46"/>
      <c r="NL35" s="46"/>
      <c r="NM35" s="46"/>
      <c r="NN35" s="46"/>
      <c r="NO35" s="46"/>
      <c r="NP35" s="47"/>
      <c r="NQ35" s="47"/>
      <c r="NR35" s="47"/>
      <c r="NS35" s="47"/>
      <c r="NT35" s="47"/>
      <c r="NU35" s="47"/>
      <c r="NV35" s="47"/>
      <c r="NW35" s="47"/>
      <c r="NX35" s="47"/>
      <c r="NY35" s="47"/>
      <c r="NZ35" s="47"/>
    </row>
    <row r="36" spans="1:390" s="28" customFormat="1" ht="12.75" customHeight="1" x14ac:dyDescent="0.3">
      <c r="B36" s="130" t="s">
        <v>87</v>
      </c>
      <c r="C36" s="49">
        <v>-5400</v>
      </c>
      <c r="D36" s="28" t="s">
        <v>84</v>
      </c>
      <c r="E36" s="103">
        <f>C36*G20/J26</f>
        <v>-130379.72938088067</v>
      </c>
      <c r="F36" s="50" t="s">
        <v>78</v>
      </c>
      <c r="G36" s="28" t="s">
        <v>88</v>
      </c>
      <c r="M36" s="11"/>
      <c r="N36" s="11"/>
      <c r="O36" s="11"/>
      <c r="P36" s="11"/>
      <c r="Q36" s="11"/>
      <c r="R36" s="12"/>
      <c r="S36" s="12"/>
      <c r="W36" s="40">
        <f t="shared" si="2"/>
        <v>0.43124999999999997</v>
      </c>
      <c r="X36" s="28">
        <f>(W36-G21)*C35/G26</f>
        <v>4454.6407538467538</v>
      </c>
      <c r="AB36" s="40">
        <f t="shared" si="3"/>
        <v>0.43124999999999997</v>
      </c>
      <c r="AC36" s="28">
        <f>(AB36-G20)*C36/J26</f>
        <v>-19556.95940713209</v>
      </c>
      <c r="AI36" s="5"/>
      <c r="AJ36" s="5"/>
      <c r="AK36" s="5"/>
      <c r="AL36" s="5"/>
      <c r="AM36" s="5"/>
      <c r="AN36" s="42">
        <f>AN37+AN38/20</f>
        <v>0.41249999999999998</v>
      </c>
      <c r="AO36" s="42">
        <f t="shared" si="0"/>
        <v>0.20624999999999999</v>
      </c>
      <c r="AP36" s="42">
        <f>(AL17-AO36)</f>
        <v>0.16875000000000001</v>
      </c>
      <c r="AQ36" s="42">
        <f>AN36*AL18</f>
        <v>0</v>
      </c>
      <c r="AR36" s="43" t="e">
        <f>C34*(AQ36*AP36)/(AL19*AL18)</f>
        <v>#DIV/0!</v>
      </c>
      <c r="AS36" s="5"/>
      <c r="AT36" s="5"/>
      <c r="AU36" s="5"/>
      <c r="AV36" s="5"/>
      <c r="AW36" s="5"/>
      <c r="AX36" s="5"/>
      <c r="AY36" s="42">
        <f>AY37+AY38/20</f>
        <v>0.41249999999999998</v>
      </c>
      <c r="AZ36" s="42">
        <f t="shared" si="1"/>
        <v>0.20624999999999999</v>
      </c>
      <c r="BA36" s="42">
        <f>(AW17-AZ36)</f>
        <v>0.16875000000000001</v>
      </c>
      <c r="BB36" s="42">
        <f>AY36*AW18</f>
        <v>0.15468749999999998</v>
      </c>
      <c r="BC36" s="43">
        <f>C33*(BB36*BA36)/(AW19*AW18)</f>
        <v>2240.9015987338862</v>
      </c>
      <c r="BD36" s="44"/>
      <c r="BE36" s="5"/>
      <c r="BF36" s="76" t="s">
        <v>108</v>
      </c>
      <c r="BG36" s="76"/>
      <c r="BH36" s="76"/>
      <c r="BI36" s="76"/>
      <c r="BJ36" s="76"/>
      <c r="BK36" s="76"/>
      <c r="BL36" s="76"/>
      <c r="BM36" s="76"/>
      <c r="BN36" s="76"/>
      <c r="BO36" s="5"/>
      <c r="BP36" s="44"/>
      <c r="BQ36" s="44"/>
      <c r="BR36" s="44"/>
      <c r="BS36" s="44"/>
      <c r="BT36" s="44"/>
      <c r="BU36" s="44"/>
      <c r="BV36" s="44"/>
      <c r="BW36" s="44"/>
      <c r="BX36" s="44"/>
      <c r="BY36" s="44"/>
      <c r="CA36" s="39"/>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P36" s="39"/>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G36" s="39"/>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X36" s="39"/>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O36" s="39"/>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V36" s="52"/>
      <c r="LW36" s="54"/>
      <c r="LX36" s="5"/>
      <c r="LY36" s="18"/>
      <c r="MA36" s="46"/>
      <c r="MB36" s="46"/>
      <c r="MC36" s="46"/>
      <c r="MD36" s="46"/>
      <c r="ME36" s="46"/>
      <c r="MF36" s="46"/>
      <c r="MG36" s="46"/>
      <c r="MH36" s="46"/>
      <c r="MI36" s="46"/>
      <c r="MJ36" s="46"/>
      <c r="MK36" s="46"/>
      <c r="ML36" s="46"/>
      <c r="MM36" s="46"/>
      <c r="MN36" s="46"/>
      <c r="MO36" s="46"/>
      <c r="MP36" s="46"/>
      <c r="MQ36" s="46"/>
      <c r="MR36" s="46"/>
      <c r="MS36" s="46"/>
      <c r="MT36" s="46"/>
      <c r="MU36" s="46"/>
      <c r="MV36" s="46"/>
      <c r="MW36" s="46"/>
      <c r="MX36" s="46"/>
      <c r="MY36" s="46"/>
      <c r="MZ36" s="46"/>
      <c r="NA36" s="46"/>
      <c r="NB36" s="46"/>
      <c r="NC36" s="46"/>
      <c r="ND36" s="46"/>
      <c r="NE36" s="46"/>
      <c r="NF36" s="46"/>
      <c r="NG36" s="46"/>
      <c r="NH36" s="46"/>
      <c r="NI36" s="46"/>
      <c r="NJ36" s="46"/>
      <c r="NK36" s="46"/>
      <c r="NL36" s="46"/>
      <c r="NM36" s="46"/>
      <c r="NN36" s="46"/>
      <c r="NO36" s="46"/>
      <c r="NP36" s="47"/>
      <c r="NQ36" s="47"/>
      <c r="NR36" s="47"/>
      <c r="NS36" s="47"/>
      <c r="NT36" s="47"/>
      <c r="NU36" s="47"/>
      <c r="NV36" s="47"/>
      <c r="NW36" s="47"/>
      <c r="NX36" s="47"/>
      <c r="NY36" s="47"/>
      <c r="NZ36" s="47"/>
    </row>
    <row r="37" spans="1:390" s="28" customFormat="1" ht="13.8" x14ac:dyDescent="0.3">
      <c r="B37" s="130" t="s">
        <v>109</v>
      </c>
      <c r="C37" s="49">
        <v>2000</v>
      </c>
      <c r="D37" s="28" t="s">
        <v>84</v>
      </c>
      <c r="E37" s="103">
        <f>C37*J28/G29</f>
        <v>24144.394329792718</v>
      </c>
      <c r="F37" s="50" t="s">
        <v>78</v>
      </c>
      <c r="G37" s="29" t="s">
        <v>85</v>
      </c>
      <c r="H37" s="105">
        <v>1.5</v>
      </c>
      <c r="I37" s="53" t="s">
        <v>89</v>
      </c>
      <c r="M37" s="11"/>
      <c r="N37" s="11"/>
      <c r="O37" s="11"/>
      <c r="P37" s="11"/>
      <c r="Q37" s="11"/>
      <c r="R37" s="12"/>
      <c r="S37" s="12"/>
      <c r="W37" s="40">
        <f t="shared" si="2"/>
        <v>0.41249999999999998</v>
      </c>
      <c r="X37" s="28">
        <f>(W37-G21)*C35/G26</f>
        <v>2969.7605025645025</v>
      </c>
      <c r="AB37" s="40">
        <f t="shared" si="3"/>
        <v>0.41249999999999998</v>
      </c>
      <c r="AC37" s="28">
        <f>(AB37-G20)*C36/J26</f>
        <v>-13037.97293808806</v>
      </c>
      <c r="AI37" s="5"/>
      <c r="AJ37" s="5"/>
      <c r="AK37" s="5"/>
      <c r="AL37" s="5"/>
      <c r="AM37" s="5"/>
      <c r="AN37" s="42">
        <f>AN38+AN38/20</f>
        <v>0.39374999999999999</v>
      </c>
      <c r="AO37" s="42">
        <f t="shared" si="0"/>
        <v>0.19687499999999999</v>
      </c>
      <c r="AP37" s="42">
        <f>(AL17-AO37)</f>
        <v>0.17812500000000001</v>
      </c>
      <c r="AQ37" s="42">
        <f>AN37*AL18</f>
        <v>0</v>
      </c>
      <c r="AR37" s="43" t="e">
        <f>C34*(AQ37*AP37)/(AL19*AL18)</f>
        <v>#DIV/0!</v>
      </c>
      <c r="AS37" s="5"/>
      <c r="AT37" s="5"/>
      <c r="AU37" s="5"/>
      <c r="AV37" s="5"/>
      <c r="AW37" s="5"/>
      <c r="AX37" s="5"/>
      <c r="AY37" s="42">
        <f>AY38+AY38/20</f>
        <v>0.39374999999999999</v>
      </c>
      <c r="AZ37" s="42">
        <f t="shared" si="1"/>
        <v>0.19687499999999999</v>
      </c>
      <c r="BA37" s="42">
        <f>(AW17-AZ37)</f>
        <v>0.17812500000000001</v>
      </c>
      <c r="BB37" s="42">
        <f>AY37*AW18</f>
        <v>0.14765624999999999</v>
      </c>
      <c r="BC37" s="43">
        <f>C33*(BB37*BA37)/(AW19*AW18)</f>
        <v>2257.8781259970215</v>
      </c>
      <c r="BD37" s="44"/>
      <c r="BE37" s="5"/>
      <c r="BF37" s="76"/>
      <c r="BG37" s="76"/>
      <c r="BH37" s="76"/>
      <c r="BI37" s="76"/>
      <c r="BJ37" s="76"/>
      <c r="BK37" s="76"/>
      <c r="BL37" s="76"/>
      <c r="BM37" s="76"/>
      <c r="BN37" s="76"/>
      <c r="BO37" s="5"/>
      <c r="BP37" s="44"/>
      <c r="BQ37" s="44"/>
      <c r="BR37" s="44"/>
      <c r="BS37" s="44"/>
      <c r="BT37" s="44"/>
      <c r="BU37" s="44"/>
      <c r="BV37" s="44"/>
      <c r="BW37" s="44"/>
      <c r="BX37" s="44"/>
      <c r="BY37" s="44"/>
      <c r="CA37" s="39"/>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P37" s="39"/>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G37" s="39"/>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X37" s="39"/>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O37" s="39"/>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V37" s="52"/>
      <c r="LW37" s="55"/>
      <c r="LX37" s="5"/>
      <c r="LY37" s="18"/>
      <c r="MA37" s="46"/>
      <c r="MB37" s="46"/>
      <c r="MC37" s="46"/>
      <c r="MD37" s="46"/>
      <c r="ME37" s="46"/>
      <c r="MF37" s="46"/>
      <c r="MG37" s="46"/>
      <c r="MH37" s="46"/>
      <c r="MI37" s="46"/>
      <c r="MJ37" s="46"/>
      <c r="MK37" s="46"/>
      <c r="ML37" s="46"/>
      <c r="MM37" s="46"/>
      <c r="MN37" s="46"/>
      <c r="MO37" s="46"/>
      <c r="MP37" s="46"/>
      <c r="MQ37" s="46"/>
      <c r="MR37" s="46"/>
      <c r="MS37" s="46"/>
      <c r="MT37" s="46"/>
      <c r="MU37" s="46"/>
      <c r="MV37" s="46"/>
      <c r="MW37" s="46"/>
      <c r="MX37" s="46"/>
      <c r="MY37" s="46"/>
      <c r="MZ37" s="46"/>
      <c r="NA37" s="46"/>
      <c r="NB37" s="46"/>
      <c r="NC37" s="46"/>
      <c r="ND37" s="46"/>
      <c r="NE37" s="46"/>
      <c r="NF37" s="46"/>
      <c r="NG37" s="46"/>
      <c r="NH37" s="46"/>
      <c r="NI37" s="46"/>
      <c r="NJ37" s="46"/>
      <c r="NK37" s="46"/>
      <c r="NL37" s="46"/>
      <c r="NM37" s="46"/>
      <c r="NN37" s="46"/>
      <c r="NO37" s="46"/>
      <c r="NP37" s="47"/>
      <c r="NQ37" s="47"/>
      <c r="NR37" s="47"/>
      <c r="NS37" s="47"/>
      <c r="NT37" s="47"/>
      <c r="NU37" s="47"/>
      <c r="NV37" s="47"/>
      <c r="NW37" s="47"/>
      <c r="NX37" s="47"/>
      <c r="NY37" s="47"/>
      <c r="NZ37" s="47"/>
    </row>
    <row r="38" spans="1:390" s="28" customFormat="1" ht="13.8" x14ac:dyDescent="0.3">
      <c r="M38" s="11"/>
      <c r="N38" s="11"/>
      <c r="O38" s="11"/>
      <c r="P38" s="11"/>
      <c r="Q38" s="11"/>
      <c r="R38" s="12"/>
      <c r="S38" s="12"/>
      <c r="W38" s="40">
        <f t="shared" si="2"/>
        <v>0.39374999999999999</v>
      </c>
      <c r="X38" s="28">
        <f>(W38-G21)*C35/G26</f>
        <v>1484.8802512822513</v>
      </c>
      <c r="AB38" s="40">
        <f t="shared" si="3"/>
        <v>0.39374999999999999</v>
      </c>
      <c r="AC38" s="28">
        <f>(AB38-G20)*C36/J26</f>
        <v>-6518.9864690440299</v>
      </c>
      <c r="AI38" s="5"/>
      <c r="AJ38" s="5"/>
      <c r="AK38" s="5"/>
      <c r="AL38" s="5"/>
      <c r="AM38" s="5"/>
      <c r="AN38" s="42">
        <f>AL17</f>
        <v>0.375</v>
      </c>
      <c r="AO38" s="42">
        <f>AN38/2</f>
        <v>0.1875</v>
      </c>
      <c r="AP38" s="42">
        <f>(AL17-AO38)</f>
        <v>0.1875</v>
      </c>
      <c r="AQ38" s="42">
        <f>AN38*AL18</f>
        <v>0</v>
      </c>
      <c r="AR38" s="43" t="e">
        <f>C34*(AQ38*AP38)/(AL19*AL18)</f>
        <v>#DIV/0!</v>
      </c>
      <c r="AS38" s="5"/>
      <c r="AT38" s="5"/>
      <c r="AU38" s="5"/>
      <c r="AV38" s="5"/>
      <c r="AW38" s="5"/>
      <c r="AX38" s="5"/>
      <c r="AY38" s="42">
        <f>AW17</f>
        <v>0.375</v>
      </c>
      <c r="AZ38" s="42">
        <f>AY38/2</f>
        <v>0.1875</v>
      </c>
      <c r="BA38" s="42">
        <f>(AW17-AZ38)</f>
        <v>0.1875</v>
      </c>
      <c r="BB38" s="42">
        <f>AY38*AW18</f>
        <v>0.140625</v>
      </c>
      <c r="BC38" s="43">
        <f>C33*(BB38*BA38)/(AW19*AW18)</f>
        <v>2263.5369684180669</v>
      </c>
      <c r="BD38" s="44"/>
      <c r="BE38" s="5"/>
      <c r="BF38" s="5"/>
      <c r="BG38" s="5"/>
      <c r="BH38" s="5"/>
      <c r="BI38" s="5"/>
      <c r="BJ38" s="5"/>
      <c r="BK38" s="5"/>
      <c r="BL38" s="5"/>
      <c r="BM38" s="5"/>
      <c r="BN38" s="5"/>
      <c r="BO38" s="5"/>
      <c r="BP38" s="44"/>
      <c r="BQ38" s="44"/>
      <c r="BR38" s="44"/>
      <c r="BS38" s="44"/>
      <c r="BT38" s="44"/>
      <c r="BU38" s="44"/>
      <c r="BV38" s="44"/>
      <c r="BW38" s="44"/>
      <c r="BX38" s="44"/>
      <c r="BY38" s="44"/>
      <c r="CA38" s="39"/>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P38" s="39"/>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G38" s="39"/>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X38" s="39"/>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O38" s="39"/>
      <c r="IP38" s="44"/>
      <c r="IQ38" s="44"/>
      <c r="IR38" s="44"/>
      <c r="IS38" s="44"/>
      <c r="IT38" s="44"/>
      <c r="IU38" s="44"/>
      <c r="IV38" s="44"/>
      <c r="IW38" s="44"/>
      <c r="IX38" s="44"/>
      <c r="IY38" s="44"/>
      <c r="IZ38" s="44"/>
      <c r="JA38" s="44"/>
      <c r="JB38" s="44"/>
      <c r="JC38" s="44"/>
      <c r="JD38" s="44"/>
      <c r="JE38" s="44"/>
      <c r="JF38" s="44"/>
      <c r="JG38" s="44"/>
      <c r="JH38" s="44"/>
      <c r="JI38" s="44"/>
      <c r="JJ38" s="44"/>
      <c r="JK38" s="44"/>
      <c r="JL38" s="44"/>
      <c r="JM38" s="44"/>
      <c r="JN38" s="44"/>
      <c r="JO38" s="44"/>
      <c r="JP38" s="44"/>
      <c r="JQ38" s="44"/>
      <c r="JR38" s="44"/>
      <c r="JS38" s="44"/>
      <c r="JT38" s="44"/>
      <c r="JU38" s="44"/>
      <c r="JV38" s="44"/>
      <c r="JW38" s="44"/>
      <c r="JX38" s="44"/>
      <c r="JY38" s="44"/>
      <c r="JZ38" s="44"/>
      <c r="KA38" s="44"/>
      <c r="KB38" s="44"/>
      <c r="KC38" s="44"/>
      <c r="KD38" s="44"/>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V38" s="52"/>
      <c r="LW38" s="55"/>
      <c r="LX38" s="5"/>
      <c r="LY38" s="5"/>
      <c r="MA38" s="46"/>
      <c r="MB38" s="46"/>
      <c r="MC38" s="46"/>
      <c r="MD38" s="46"/>
      <c r="ME38" s="46"/>
      <c r="MF38" s="46"/>
      <c r="MG38" s="46"/>
      <c r="MH38" s="46"/>
      <c r="MI38" s="46"/>
      <c r="MJ38" s="46"/>
      <c r="MK38" s="46"/>
      <c r="ML38" s="46"/>
      <c r="MM38" s="46"/>
      <c r="MN38" s="46"/>
      <c r="MO38" s="46"/>
      <c r="MP38" s="46"/>
      <c r="MQ38" s="46"/>
      <c r="MR38" s="46"/>
      <c r="MS38" s="46"/>
      <c r="MT38" s="46"/>
      <c r="MU38" s="46"/>
      <c r="MV38" s="46"/>
      <c r="MW38" s="46"/>
      <c r="MX38" s="46"/>
      <c r="MY38" s="46"/>
      <c r="MZ38" s="46"/>
      <c r="NA38" s="46"/>
      <c r="NB38" s="46"/>
      <c r="NC38" s="46"/>
      <c r="ND38" s="46"/>
      <c r="NE38" s="46"/>
      <c r="NF38" s="46"/>
      <c r="NG38" s="46"/>
      <c r="NH38" s="46"/>
      <c r="NI38" s="46"/>
      <c r="NJ38" s="46"/>
      <c r="NK38" s="46"/>
      <c r="NL38" s="46"/>
      <c r="NM38" s="46"/>
      <c r="NN38" s="46"/>
      <c r="NO38" s="46"/>
      <c r="NP38" s="47"/>
      <c r="NQ38" s="47"/>
      <c r="NR38" s="47"/>
      <c r="NS38" s="47"/>
      <c r="NT38" s="47"/>
      <c r="NU38" s="47"/>
      <c r="NV38" s="47"/>
      <c r="NW38" s="47"/>
      <c r="NX38" s="47"/>
      <c r="NY38" s="47"/>
      <c r="NZ38" s="47"/>
    </row>
    <row r="39" spans="1:390" s="28" customFormat="1" ht="13.8" x14ac:dyDescent="0.3">
      <c r="B39" s="31" t="s">
        <v>125</v>
      </c>
      <c r="M39" s="11"/>
      <c r="N39" s="11"/>
      <c r="O39" s="11"/>
      <c r="P39" s="11"/>
      <c r="Q39" s="11"/>
      <c r="R39" s="12"/>
      <c r="S39" s="12"/>
      <c r="W39" s="40">
        <f t="shared" si="2"/>
        <v>0.375</v>
      </c>
      <c r="X39" s="28">
        <f>(W39-G21)*C35/G26</f>
        <v>0</v>
      </c>
      <c r="AB39" s="40">
        <f t="shared" si="3"/>
        <v>0.375</v>
      </c>
      <c r="AC39" s="28">
        <f>(AB39-G20)*C36/J26</f>
        <v>0</v>
      </c>
      <c r="AI39" s="5"/>
      <c r="AJ39" s="5"/>
      <c r="AK39" s="5"/>
      <c r="AL39" s="5"/>
      <c r="AM39" s="5"/>
      <c r="AN39" s="42">
        <f>AN38-AN38/20</f>
        <v>0.35625000000000001</v>
      </c>
      <c r="AO39" s="42">
        <f t="shared" ref="AO39:AO58" si="5">AN39/2</f>
        <v>0.17812500000000001</v>
      </c>
      <c r="AP39" s="42">
        <f>(AL17-AO39)</f>
        <v>0.19687499999999999</v>
      </c>
      <c r="AQ39" s="42">
        <f>AN39*AL18</f>
        <v>0</v>
      </c>
      <c r="AR39" s="43" t="e">
        <f>C34*(AQ39*AP39)/(AL19*AL18)</f>
        <v>#DIV/0!</v>
      </c>
      <c r="AS39" s="5"/>
      <c r="AT39" s="5"/>
      <c r="AU39" s="5"/>
      <c r="AV39" s="5"/>
      <c r="AW39" s="5"/>
      <c r="AX39" s="5"/>
      <c r="AY39" s="42">
        <f>AY38-AY38/20</f>
        <v>0.35625000000000001</v>
      </c>
      <c r="AZ39" s="42">
        <f t="shared" ref="AZ39:AZ58" si="6">AY39/2</f>
        <v>0.17812500000000001</v>
      </c>
      <c r="BA39" s="42">
        <f>(AW17-AZ39)</f>
        <v>0.19687499999999999</v>
      </c>
      <c r="BB39" s="42">
        <f>AY39*AW18</f>
        <v>0.13359375000000001</v>
      </c>
      <c r="BC39" s="43">
        <f>C33*(BB39*BA39)/(AW19*AW18)</f>
        <v>2257.8781259970219</v>
      </c>
      <c r="BD39" s="44"/>
      <c r="BE39" s="5"/>
      <c r="BF39" s="5"/>
      <c r="BG39" s="5"/>
      <c r="BH39" s="5"/>
      <c r="BI39" s="5"/>
      <c r="BJ39" s="5"/>
      <c r="BK39" s="5"/>
      <c r="BL39" s="5"/>
      <c r="BM39" s="5"/>
      <c r="BN39" s="5"/>
      <c r="BO39" s="5"/>
      <c r="BP39" s="44"/>
      <c r="BQ39" s="44"/>
      <c r="BR39" s="44"/>
      <c r="BS39" s="44"/>
      <c r="BT39" s="44"/>
      <c r="BU39" s="44"/>
      <c r="BV39" s="44"/>
      <c r="BW39" s="44"/>
      <c r="BX39" s="44"/>
      <c r="BY39" s="44"/>
      <c r="CA39" s="39"/>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P39" s="39"/>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G39" s="39"/>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X39" s="39"/>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O39" s="39"/>
      <c r="IP39" s="44"/>
      <c r="IQ39" s="44"/>
      <c r="IR39" s="44"/>
      <c r="IS39" s="44"/>
      <c r="IT39" s="44"/>
      <c r="IU39" s="44"/>
      <c r="IV39" s="44"/>
      <c r="IW39" s="44"/>
      <c r="IX39" s="44"/>
      <c r="IY39" s="44"/>
      <c r="IZ39" s="44"/>
      <c r="JA39" s="44"/>
      <c r="JB39" s="44"/>
      <c r="JC39" s="44"/>
      <c r="JD39" s="44"/>
      <c r="JE39" s="44"/>
      <c r="JF39" s="44"/>
      <c r="JG39" s="44"/>
      <c r="JH39" s="44"/>
      <c r="JI39" s="44"/>
      <c r="JJ39" s="44"/>
      <c r="JK39" s="44"/>
      <c r="JL39" s="44"/>
      <c r="JM39" s="44"/>
      <c r="JN39" s="44"/>
      <c r="JO39" s="44"/>
      <c r="JP39" s="44"/>
      <c r="JQ39" s="44"/>
      <c r="JR39" s="44"/>
      <c r="JS39" s="44"/>
      <c r="JT39" s="44"/>
      <c r="JU39" s="44"/>
      <c r="JV39" s="44"/>
      <c r="JW39" s="44"/>
      <c r="JX39" s="44"/>
      <c r="JY39" s="44"/>
      <c r="JZ39" s="44"/>
      <c r="KA39" s="44"/>
      <c r="KB39" s="44"/>
      <c r="KC39" s="44"/>
      <c r="KD39" s="44"/>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W39" s="56"/>
      <c r="LX39" s="56"/>
      <c r="LY39" s="56"/>
      <c r="LZ39" s="5"/>
      <c r="MA39" s="46"/>
      <c r="MB39" s="46"/>
      <c r="MC39" s="46"/>
      <c r="MD39" s="46"/>
      <c r="ME39" s="46"/>
      <c r="MF39" s="46"/>
      <c r="MG39" s="46"/>
      <c r="MH39" s="46"/>
      <c r="MI39" s="46"/>
      <c r="MJ39" s="46"/>
      <c r="MK39" s="46"/>
      <c r="ML39" s="46"/>
      <c r="MM39" s="46"/>
      <c r="MN39" s="46"/>
      <c r="MO39" s="46"/>
      <c r="MP39" s="46"/>
      <c r="MQ39" s="46"/>
      <c r="MR39" s="46"/>
      <c r="MS39" s="46"/>
      <c r="MT39" s="46"/>
      <c r="MU39" s="46"/>
      <c r="MV39" s="46"/>
      <c r="MW39" s="46"/>
      <c r="MX39" s="46"/>
      <c r="MY39" s="46"/>
      <c r="MZ39" s="46"/>
      <c r="NA39" s="46"/>
      <c r="NB39" s="46"/>
      <c r="NC39" s="46"/>
      <c r="ND39" s="46"/>
      <c r="NE39" s="46"/>
      <c r="NF39" s="46"/>
      <c r="NG39" s="46"/>
      <c r="NH39" s="46"/>
      <c r="NI39" s="46"/>
      <c r="NJ39" s="46"/>
      <c r="NK39" s="46"/>
      <c r="NL39" s="46"/>
      <c r="NM39" s="46"/>
      <c r="NN39" s="46"/>
      <c r="NO39" s="46"/>
      <c r="NP39" s="47"/>
      <c r="NQ39" s="47"/>
      <c r="NR39" s="47"/>
      <c r="NS39" s="47"/>
      <c r="NT39" s="47"/>
      <c r="NU39" s="47"/>
      <c r="NV39" s="47"/>
      <c r="NW39" s="47"/>
      <c r="NX39" s="47"/>
      <c r="NY39" s="47"/>
      <c r="NZ39" s="47"/>
    </row>
    <row r="40" spans="1:390" s="28" customFormat="1" ht="13.8" x14ac:dyDescent="0.3">
      <c r="M40" s="11"/>
      <c r="N40" s="11"/>
      <c r="O40" s="11"/>
      <c r="P40" s="11"/>
      <c r="Q40" s="11"/>
      <c r="R40" s="12"/>
      <c r="S40" s="12"/>
      <c r="W40" s="40">
        <f t="shared" si="2"/>
        <v>0.35625000000000001</v>
      </c>
      <c r="X40" s="28">
        <f>(W40-G21)*C35/G26</f>
        <v>-1484.8802512822513</v>
      </c>
      <c r="AB40" s="40">
        <f t="shared" si="3"/>
        <v>0.35625000000000001</v>
      </c>
      <c r="AC40" s="28">
        <f>(AB40-G20)*C36/J26</f>
        <v>6518.9864690440299</v>
      </c>
      <c r="AI40" s="5"/>
      <c r="AJ40" s="5"/>
      <c r="AK40" s="5"/>
      <c r="AL40" s="5"/>
      <c r="AM40" s="5"/>
      <c r="AN40" s="42">
        <f>AN39-AN38/20</f>
        <v>0.33750000000000002</v>
      </c>
      <c r="AO40" s="42">
        <f t="shared" si="5"/>
        <v>0.16875000000000001</v>
      </c>
      <c r="AP40" s="42">
        <f>(AL17-AO40)</f>
        <v>0.20624999999999999</v>
      </c>
      <c r="AQ40" s="42">
        <f>AN40*AL18</f>
        <v>0</v>
      </c>
      <c r="AR40" s="43" t="e">
        <f>C34*(AQ40*AP40)/(AL19*AL18)</f>
        <v>#DIV/0!</v>
      </c>
      <c r="AS40" s="5"/>
      <c r="AT40" s="5"/>
      <c r="AU40" s="5"/>
      <c r="AV40" s="5"/>
      <c r="AW40" s="5"/>
      <c r="AX40" s="5"/>
      <c r="AY40" s="42">
        <f>AY39-AY38/20</f>
        <v>0.33750000000000002</v>
      </c>
      <c r="AZ40" s="42">
        <f t="shared" si="6"/>
        <v>0.16875000000000001</v>
      </c>
      <c r="BA40" s="42">
        <f>(AW17-AZ40)</f>
        <v>0.20624999999999999</v>
      </c>
      <c r="BB40" s="42">
        <f>AY40*AW18</f>
        <v>0.12656250000000002</v>
      </c>
      <c r="BC40" s="43">
        <f>C33*(BB40*BA40)/(AW19*AW18)</f>
        <v>2240.9015987338867</v>
      </c>
      <c r="BD40" s="44"/>
      <c r="BE40" s="5"/>
      <c r="BF40" s="15" t="s">
        <v>110</v>
      </c>
      <c r="BG40" s="5"/>
      <c r="BH40" s="5"/>
      <c r="BI40" s="5"/>
      <c r="BJ40" s="5"/>
      <c r="BK40" s="5"/>
      <c r="BL40" s="5"/>
      <c r="BM40" s="5"/>
      <c r="BN40" s="5"/>
      <c r="BO40" s="5"/>
      <c r="BP40" s="44"/>
      <c r="BQ40" s="44"/>
      <c r="BR40" s="44"/>
      <c r="BS40" s="44"/>
      <c r="BT40" s="44"/>
      <c r="BU40" s="44"/>
      <c r="BV40" s="44"/>
      <c r="BW40" s="44"/>
      <c r="BX40" s="44"/>
      <c r="BY40" s="44"/>
      <c r="CA40" s="39"/>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P40" s="39"/>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G40" s="39"/>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X40" s="39"/>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O40" s="39"/>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F40" s="45"/>
      <c r="KG40" s="45"/>
      <c r="KH40" s="45"/>
      <c r="KI40" s="45"/>
      <c r="KJ40" s="45"/>
      <c r="KK40" s="45"/>
      <c r="KL40" s="45"/>
      <c r="KM40" s="45"/>
      <c r="KN40" s="45"/>
      <c r="KO40" s="45"/>
      <c r="KP40" s="45"/>
      <c r="KQ40" s="45"/>
      <c r="KR40" s="45"/>
      <c r="KS40" s="45"/>
      <c r="KT40" s="45"/>
      <c r="KU40" s="45"/>
      <c r="KV40" s="45"/>
      <c r="KW40" s="45"/>
      <c r="KX40" s="45"/>
      <c r="KY40" s="45"/>
      <c r="KZ40" s="45"/>
      <c r="LA40" s="45"/>
      <c r="LB40" s="45"/>
      <c r="LC40" s="45"/>
      <c r="LD40" s="45"/>
      <c r="LE40" s="45"/>
      <c r="LF40" s="45"/>
      <c r="LG40" s="45"/>
      <c r="LH40" s="45"/>
      <c r="LI40" s="45"/>
      <c r="LJ40" s="45"/>
      <c r="LK40" s="45"/>
      <c r="LL40" s="45"/>
      <c r="LM40" s="45"/>
      <c r="LN40" s="45"/>
      <c r="LO40" s="45"/>
      <c r="LP40" s="45"/>
      <c r="LQ40" s="45"/>
      <c r="LR40" s="45"/>
      <c r="LS40" s="45"/>
      <c r="LT40" s="45"/>
      <c r="LW40" s="58"/>
      <c r="LX40" s="56"/>
      <c r="LY40" s="56"/>
      <c r="LZ40" s="5"/>
      <c r="MA40" s="46"/>
      <c r="MB40" s="46"/>
      <c r="MC40" s="46"/>
      <c r="MD40" s="46"/>
      <c r="ME40" s="46"/>
      <c r="MF40" s="46"/>
      <c r="MG40" s="46"/>
      <c r="MH40" s="46"/>
      <c r="MI40" s="46"/>
      <c r="MJ40" s="46"/>
      <c r="MK40" s="46"/>
      <c r="ML40" s="46"/>
      <c r="MM40" s="46"/>
      <c r="MN40" s="46"/>
      <c r="MO40" s="46"/>
      <c r="MP40" s="46"/>
      <c r="MQ40" s="46"/>
      <c r="MR40" s="46"/>
      <c r="MS40" s="46"/>
      <c r="MT40" s="46"/>
      <c r="MU40" s="46"/>
      <c r="MV40" s="46"/>
      <c r="MW40" s="46"/>
      <c r="MX40" s="46"/>
      <c r="MY40" s="46"/>
      <c r="MZ40" s="46"/>
      <c r="NA40" s="46"/>
      <c r="NB40" s="46"/>
      <c r="NC40" s="46"/>
      <c r="ND40" s="46"/>
      <c r="NE40" s="46"/>
      <c r="NF40" s="46"/>
      <c r="NG40" s="46"/>
      <c r="NH40" s="46"/>
      <c r="NI40" s="46"/>
      <c r="NJ40" s="46"/>
      <c r="NK40" s="46"/>
      <c r="NL40" s="46"/>
      <c r="NM40" s="46"/>
      <c r="NN40" s="46"/>
      <c r="NO40" s="46"/>
      <c r="NP40" s="47"/>
      <c r="NQ40" s="47"/>
      <c r="NR40" s="47"/>
      <c r="NS40" s="47"/>
      <c r="NT40" s="47"/>
      <c r="NU40" s="47"/>
      <c r="NV40" s="47"/>
      <c r="NW40" s="47"/>
      <c r="NX40" s="47"/>
      <c r="NY40" s="47"/>
      <c r="NZ40" s="47"/>
    </row>
    <row r="41" spans="1:390" s="28" customFormat="1" ht="13.8" x14ac:dyDescent="0.3">
      <c r="M41" s="11"/>
      <c r="N41" s="11"/>
      <c r="O41" s="11"/>
      <c r="P41" s="11"/>
      <c r="Q41" s="11"/>
      <c r="R41" s="12"/>
      <c r="S41" s="12"/>
      <c r="W41" s="40">
        <f t="shared" si="2"/>
        <v>0.33750000000000002</v>
      </c>
      <c r="X41" s="28">
        <f>(W41-G21)*C35/G26</f>
        <v>-2969.7605025645025</v>
      </c>
      <c r="AB41" s="40">
        <f t="shared" si="3"/>
        <v>0.33750000000000002</v>
      </c>
      <c r="AC41" s="28">
        <f>(AB41-G20)*C36/J26</f>
        <v>13037.97293808806</v>
      </c>
      <c r="AI41" s="5"/>
      <c r="AJ41" s="5"/>
      <c r="AK41" s="5"/>
      <c r="AL41" s="5"/>
      <c r="AM41" s="5"/>
      <c r="AN41" s="42">
        <f>AN40-AN38/20</f>
        <v>0.31875000000000003</v>
      </c>
      <c r="AO41" s="42">
        <f t="shared" si="5"/>
        <v>0.15937500000000002</v>
      </c>
      <c r="AP41" s="42">
        <f>(AL17-AO41)</f>
        <v>0.21562499999999998</v>
      </c>
      <c r="AQ41" s="42">
        <f>AN41*AL18</f>
        <v>0</v>
      </c>
      <c r="AR41" s="43" t="e">
        <f>C34*(AQ41*AP41)/(AL19*AL18)</f>
        <v>#DIV/0!</v>
      </c>
      <c r="AS41" s="5"/>
      <c r="AT41" s="5"/>
      <c r="AU41" s="5"/>
      <c r="AV41" s="5"/>
      <c r="AW41" s="5"/>
      <c r="AX41" s="5"/>
      <c r="AY41" s="42">
        <f>AY40-AY38/20</f>
        <v>0.31875000000000003</v>
      </c>
      <c r="AZ41" s="42">
        <f t="shared" si="6"/>
        <v>0.15937500000000002</v>
      </c>
      <c r="BA41" s="42">
        <f>(AW17-AZ41)</f>
        <v>0.21562499999999998</v>
      </c>
      <c r="BB41" s="42">
        <f>AY41*AW18</f>
        <v>0.11953125000000001</v>
      </c>
      <c r="BC41" s="43">
        <f>C33*(BB41*BA41)/(AW19*AW18)</f>
        <v>2212.6073866286606</v>
      </c>
      <c r="BD41" s="44"/>
      <c r="BE41" s="5"/>
      <c r="BF41" s="5"/>
      <c r="BG41" s="5"/>
      <c r="BH41" s="5"/>
      <c r="BI41" s="5"/>
      <c r="BJ41" s="5"/>
      <c r="BK41" s="5"/>
      <c r="BL41" s="5"/>
      <c r="BM41" s="5"/>
      <c r="BN41" s="5"/>
      <c r="BO41" s="5"/>
      <c r="BP41" s="44"/>
      <c r="BQ41" s="44"/>
      <c r="BR41" s="44"/>
      <c r="BS41" s="44"/>
      <c r="BT41" s="44"/>
      <c r="BU41" s="44"/>
      <c r="BV41" s="44"/>
      <c r="BW41" s="44"/>
      <c r="BX41" s="44"/>
      <c r="BY41" s="44"/>
      <c r="CA41" s="39"/>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P41" s="39"/>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G41" s="39"/>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X41" s="39"/>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O41" s="39"/>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F41" s="45"/>
      <c r="KG41" s="45"/>
      <c r="KH41" s="45"/>
      <c r="KI41" s="45"/>
      <c r="KJ41" s="45"/>
      <c r="KK41" s="45"/>
      <c r="KL41" s="45"/>
      <c r="KM41" s="45"/>
      <c r="KN41" s="45"/>
      <c r="KO41" s="45"/>
      <c r="KP41" s="45"/>
      <c r="KQ41" s="45"/>
      <c r="KR41" s="45"/>
      <c r="KS41" s="45"/>
      <c r="KT41" s="45"/>
      <c r="KU41" s="45"/>
      <c r="KV41" s="45"/>
      <c r="KW41" s="45"/>
      <c r="KX41" s="45"/>
      <c r="KY41" s="45"/>
      <c r="KZ41" s="45"/>
      <c r="LA41" s="45"/>
      <c r="LB41" s="45"/>
      <c r="LC41" s="45"/>
      <c r="LD41" s="45"/>
      <c r="LE41" s="45"/>
      <c r="LF41" s="45"/>
      <c r="LG41" s="45"/>
      <c r="LH41" s="45"/>
      <c r="LI41" s="45"/>
      <c r="LJ41" s="45"/>
      <c r="LK41" s="45"/>
      <c r="LL41" s="45"/>
      <c r="LM41" s="45"/>
      <c r="LN41" s="45"/>
      <c r="LO41" s="45"/>
      <c r="LP41" s="45"/>
      <c r="LQ41" s="45"/>
      <c r="LR41" s="45"/>
      <c r="LS41" s="45"/>
      <c r="LT41" s="45"/>
      <c r="LW41" s="52"/>
      <c r="LX41" s="56"/>
      <c r="LY41" s="56"/>
      <c r="LZ41" s="5"/>
      <c r="MA41" s="46"/>
      <c r="MB41" s="46"/>
      <c r="MC41" s="46"/>
      <c r="MD41" s="46"/>
      <c r="ME41" s="46"/>
      <c r="MF41" s="46"/>
      <c r="MG41" s="46"/>
      <c r="MH41" s="46"/>
      <c r="MI41" s="46"/>
      <c r="MJ41" s="46"/>
      <c r="MK41" s="46"/>
      <c r="ML41" s="46"/>
      <c r="MM41" s="46"/>
      <c r="MN41" s="46"/>
      <c r="MO41" s="46"/>
      <c r="MP41" s="46"/>
      <c r="MQ41" s="46"/>
      <c r="MR41" s="46"/>
      <c r="MS41" s="46"/>
      <c r="MT41" s="46"/>
      <c r="MU41" s="46"/>
      <c r="MV41" s="46"/>
      <c r="MW41" s="46"/>
      <c r="MX41" s="46"/>
      <c r="MY41" s="46"/>
      <c r="MZ41" s="46"/>
      <c r="NA41" s="46"/>
      <c r="NB41" s="46"/>
      <c r="NC41" s="46"/>
      <c r="ND41" s="46"/>
      <c r="NE41" s="46"/>
      <c r="NF41" s="46"/>
      <c r="NG41" s="46"/>
      <c r="NH41" s="46"/>
      <c r="NI41" s="46"/>
      <c r="NJ41" s="46"/>
      <c r="NK41" s="46"/>
      <c r="NL41" s="46"/>
      <c r="NM41" s="46"/>
      <c r="NN41" s="46"/>
      <c r="NO41" s="46"/>
      <c r="NP41" s="47"/>
      <c r="NQ41" s="47"/>
      <c r="NR41" s="47"/>
      <c r="NS41" s="47"/>
      <c r="NT41" s="47"/>
      <c r="NU41" s="47"/>
      <c r="NV41" s="47"/>
      <c r="NW41" s="47"/>
      <c r="NX41" s="47"/>
      <c r="NY41" s="47"/>
      <c r="NZ41" s="47"/>
    </row>
    <row r="42" spans="1:390" s="28" customFormat="1" ht="13.8" x14ac:dyDescent="0.3">
      <c r="A42" s="57"/>
      <c r="B42" s="57"/>
      <c r="C42" s="62"/>
      <c r="D42" s="57"/>
      <c r="E42" s="63"/>
      <c r="F42" s="126" t="s">
        <v>90</v>
      </c>
      <c r="G42" s="126"/>
      <c r="M42" s="11"/>
      <c r="N42" s="11"/>
      <c r="O42" s="11"/>
      <c r="P42" s="11"/>
      <c r="Q42" s="11"/>
      <c r="R42" s="12"/>
      <c r="S42" s="12"/>
      <c r="W42" s="40">
        <f t="shared" si="2"/>
        <v>0.31875000000000003</v>
      </c>
      <c r="X42" s="28">
        <f>(W42-G21)*C35/G26</f>
        <v>-4454.6407538467538</v>
      </c>
      <c r="AB42" s="40">
        <f t="shared" si="3"/>
        <v>0.31875000000000003</v>
      </c>
      <c r="AC42" s="28">
        <f>(AB42-G20)*C36/J26</f>
        <v>19556.95940713209</v>
      </c>
      <c r="AI42" s="5"/>
      <c r="AJ42" s="5"/>
      <c r="AK42" s="5"/>
      <c r="AL42" s="5"/>
      <c r="AM42" s="5"/>
      <c r="AN42" s="42">
        <f>AN41-AN38/20</f>
        <v>0.30000000000000004</v>
      </c>
      <c r="AO42" s="42">
        <f t="shared" si="5"/>
        <v>0.15000000000000002</v>
      </c>
      <c r="AP42" s="42">
        <f>(AL17-AO42)</f>
        <v>0.22499999999999998</v>
      </c>
      <c r="AQ42" s="42">
        <f>AN42*AL18</f>
        <v>0</v>
      </c>
      <c r="AR42" s="43" t="e">
        <f>C34*(AQ42*AP42)/(AL19*AL18)</f>
        <v>#DIV/0!</v>
      </c>
      <c r="AS42" s="5"/>
      <c r="AT42" s="5"/>
      <c r="AU42" s="5"/>
      <c r="AV42" s="5"/>
      <c r="AW42" s="5"/>
      <c r="AX42" s="5"/>
      <c r="AY42" s="42">
        <f>AY41-AY38/20</f>
        <v>0.30000000000000004</v>
      </c>
      <c r="AZ42" s="42">
        <f t="shared" si="6"/>
        <v>0.15000000000000002</v>
      </c>
      <c r="BA42" s="42">
        <f>(AW17-AZ42)</f>
        <v>0.22499999999999998</v>
      </c>
      <c r="BB42" s="42">
        <f>AY42*AW18</f>
        <v>0.11250000000000002</v>
      </c>
      <c r="BC42" s="43">
        <f>C33*(BB42*BA42)/(AW19*AW18)</f>
        <v>2172.9954896813442</v>
      </c>
      <c r="BD42" s="44"/>
      <c r="BE42" s="5"/>
      <c r="BF42" s="15"/>
      <c r="BG42" s="70" t="s">
        <v>111</v>
      </c>
      <c r="BH42" s="70" t="s">
        <v>111</v>
      </c>
      <c r="BI42" s="70" t="s">
        <v>112</v>
      </c>
      <c r="BJ42" s="70" t="s">
        <v>112</v>
      </c>
      <c r="BK42" s="15"/>
      <c r="BL42" s="15"/>
      <c r="BM42" s="15"/>
      <c r="BN42" s="15"/>
      <c r="BO42" s="15"/>
      <c r="BP42" s="44"/>
      <c r="BQ42" s="44"/>
      <c r="BR42" s="44"/>
      <c r="BS42" s="44"/>
      <c r="BT42" s="44"/>
      <c r="BU42" s="44"/>
      <c r="BV42" s="44"/>
      <c r="BW42" s="44"/>
      <c r="BX42" s="44"/>
      <c r="BY42" s="44"/>
      <c r="CA42" s="39"/>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P42" s="39"/>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G42" s="39"/>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X42" s="39"/>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O42" s="39"/>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F42" s="45"/>
      <c r="KG42" s="45"/>
      <c r="KH42" s="45"/>
      <c r="KI42" s="45"/>
      <c r="KJ42" s="45"/>
      <c r="KK42" s="45"/>
      <c r="KL42" s="45"/>
      <c r="KM42" s="45"/>
      <c r="KN42" s="45"/>
      <c r="KO42" s="45"/>
      <c r="KP42" s="45"/>
      <c r="KQ42" s="45"/>
      <c r="KR42" s="45"/>
      <c r="KS42" s="45"/>
      <c r="KT42" s="45"/>
      <c r="KU42" s="45"/>
      <c r="KV42" s="45"/>
      <c r="KW42" s="45"/>
      <c r="KX42" s="45"/>
      <c r="KY42" s="45"/>
      <c r="KZ42" s="45"/>
      <c r="LA42" s="45"/>
      <c r="LB42" s="45"/>
      <c r="LC42" s="45"/>
      <c r="LD42" s="45"/>
      <c r="LE42" s="45"/>
      <c r="LF42" s="45"/>
      <c r="LG42" s="45"/>
      <c r="LH42" s="45"/>
      <c r="LI42" s="45"/>
      <c r="LJ42" s="45"/>
      <c r="LK42" s="45"/>
      <c r="LL42" s="45"/>
      <c r="LM42" s="45"/>
      <c r="LN42" s="45"/>
      <c r="LO42" s="45"/>
      <c r="LP42" s="45"/>
      <c r="LQ42" s="45"/>
      <c r="LR42" s="45"/>
      <c r="LS42" s="45"/>
      <c r="LT42" s="45"/>
      <c r="LW42" s="52"/>
      <c r="LX42" s="64"/>
      <c r="LY42" s="64"/>
      <c r="LZ42" s="64"/>
      <c r="MA42" s="46"/>
      <c r="MB42" s="46"/>
      <c r="MC42" s="46"/>
      <c r="MD42" s="46"/>
      <c r="ME42" s="46"/>
      <c r="MF42" s="46"/>
      <c r="MG42" s="46"/>
      <c r="MH42" s="46"/>
      <c r="MI42" s="46"/>
      <c r="MJ42" s="46"/>
      <c r="MK42" s="46"/>
      <c r="ML42" s="46"/>
      <c r="MM42" s="46"/>
      <c r="MN42" s="46"/>
      <c r="MO42" s="46"/>
      <c r="MP42" s="46"/>
      <c r="MQ42" s="46"/>
      <c r="MR42" s="46"/>
      <c r="MS42" s="46"/>
      <c r="MT42" s="46"/>
      <c r="MU42" s="46"/>
      <c r="MV42" s="46"/>
      <c r="MW42" s="46"/>
      <c r="MX42" s="46"/>
      <c r="MY42" s="46"/>
      <c r="MZ42" s="46"/>
      <c r="NA42" s="46"/>
      <c r="NB42" s="46"/>
      <c r="NC42" s="46"/>
      <c r="ND42" s="46"/>
      <c r="NE42" s="46"/>
      <c r="NF42" s="46"/>
      <c r="NG42" s="46"/>
      <c r="NH42" s="46"/>
      <c r="NI42" s="46"/>
      <c r="NJ42" s="46"/>
      <c r="NK42" s="46"/>
      <c r="NL42" s="46"/>
      <c r="NM42" s="46"/>
      <c r="NN42" s="46"/>
      <c r="NO42" s="46"/>
      <c r="NP42" s="47"/>
      <c r="NQ42" s="47"/>
      <c r="NR42" s="47"/>
      <c r="NS42" s="47"/>
      <c r="NT42" s="47"/>
      <c r="NU42" s="47"/>
      <c r="NV42" s="47"/>
      <c r="NW42" s="47"/>
      <c r="NX42" s="47"/>
      <c r="NY42" s="47"/>
      <c r="NZ42" s="47"/>
    </row>
    <row r="43" spans="1:390" s="28" customFormat="1" ht="13.8" x14ac:dyDescent="0.3">
      <c r="A43" s="59"/>
      <c r="B43" s="57"/>
      <c r="C43" s="60">
        <f>BO47</f>
        <v>45972.526845476947</v>
      </c>
      <c r="D43" s="57"/>
      <c r="E43" s="61"/>
      <c r="F43" s="126"/>
      <c r="G43" s="126"/>
      <c r="M43" s="11"/>
      <c r="N43" s="11"/>
      <c r="O43" s="11"/>
      <c r="P43" s="11"/>
      <c r="Q43" s="11"/>
      <c r="R43" s="12"/>
      <c r="S43" s="12"/>
      <c r="W43" s="40">
        <f t="shared" si="2"/>
        <v>0.30000000000000004</v>
      </c>
      <c r="X43" s="28">
        <f>(W43-G21)*C35/G26</f>
        <v>-5939.5210051290051</v>
      </c>
      <c r="AB43" s="40">
        <f t="shared" si="3"/>
        <v>0.30000000000000004</v>
      </c>
      <c r="AC43" s="28">
        <f>(AB43-G20)*C36/J26</f>
        <v>26075.94587617612</v>
      </c>
      <c r="AI43" s="5"/>
      <c r="AJ43" s="5"/>
      <c r="AK43" s="5"/>
      <c r="AL43" s="5"/>
      <c r="AM43" s="5"/>
      <c r="AN43" s="42">
        <f>AN42-AN38/20</f>
        <v>0.28125000000000006</v>
      </c>
      <c r="AO43" s="42">
        <f t="shared" si="5"/>
        <v>0.14062500000000003</v>
      </c>
      <c r="AP43" s="42">
        <f>(AL17-AO43)</f>
        <v>0.23437499999999997</v>
      </c>
      <c r="AQ43" s="42">
        <f>AN43*AL18</f>
        <v>0</v>
      </c>
      <c r="AR43" s="43" t="e">
        <f>C34*(AQ43*AP43)/(AL19*AL18)</f>
        <v>#DIV/0!</v>
      </c>
      <c r="AS43" s="5"/>
      <c r="AT43" s="5"/>
      <c r="AU43" s="5"/>
      <c r="AV43" s="5"/>
      <c r="AW43" s="5"/>
      <c r="AX43" s="5"/>
      <c r="AY43" s="42">
        <f>AY42-AY38/20</f>
        <v>0.28125000000000006</v>
      </c>
      <c r="AZ43" s="42">
        <f t="shared" si="6"/>
        <v>0.14062500000000003</v>
      </c>
      <c r="BA43" s="42">
        <f>(AW17-AZ43)</f>
        <v>0.23437499999999997</v>
      </c>
      <c r="BB43" s="42">
        <f>AY43*AW18</f>
        <v>0.10546875000000003</v>
      </c>
      <c r="BC43" s="43">
        <f>C33*(BB43*BA43)/(AW19*AW18)</f>
        <v>2122.065907891938</v>
      </c>
      <c r="BD43" s="44"/>
      <c r="BE43" s="5"/>
      <c r="BF43" s="70" t="s">
        <v>93</v>
      </c>
      <c r="BG43" s="70" t="s">
        <v>48</v>
      </c>
      <c r="BH43" s="70" t="s">
        <v>48</v>
      </c>
      <c r="BI43" s="70" t="s">
        <v>48</v>
      </c>
      <c r="BJ43" s="70" t="s">
        <v>48</v>
      </c>
      <c r="BK43" s="15"/>
      <c r="BL43" s="15"/>
      <c r="BM43" s="15"/>
      <c r="BN43" s="15"/>
      <c r="BO43" s="15"/>
      <c r="BP43" s="44"/>
      <c r="BQ43" s="44"/>
      <c r="BR43" s="44"/>
      <c r="BS43" s="44"/>
      <c r="BT43" s="44"/>
      <c r="BU43" s="44"/>
      <c r="BV43" s="44"/>
      <c r="BW43" s="44"/>
      <c r="BX43" s="44"/>
      <c r="BY43" s="44"/>
      <c r="CA43" s="39"/>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P43" s="39"/>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G43" s="39"/>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X43" s="39"/>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O43" s="39"/>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W43" s="65"/>
      <c r="LX43" s="64"/>
      <c r="LY43" s="64"/>
      <c r="LZ43" s="64"/>
      <c r="MA43" s="46"/>
      <c r="MB43" s="46"/>
      <c r="MC43" s="46"/>
      <c r="MD43" s="46"/>
      <c r="ME43" s="46"/>
      <c r="MF43" s="46"/>
      <c r="MG43" s="46"/>
      <c r="MH43" s="46"/>
      <c r="MI43" s="46"/>
      <c r="MJ43" s="46"/>
      <c r="MK43" s="46"/>
      <c r="ML43" s="46"/>
      <c r="MM43" s="46"/>
      <c r="MN43" s="46"/>
      <c r="MO43" s="46"/>
      <c r="MP43" s="46"/>
      <c r="MQ43" s="46"/>
      <c r="MR43" s="46"/>
      <c r="MS43" s="46"/>
      <c r="MT43" s="46"/>
      <c r="MU43" s="46"/>
      <c r="MV43" s="46"/>
      <c r="MW43" s="46"/>
      <c r="MX43" s="46"/>
      <c r="MY43" s="46"/>
      <c r="MZ43" s="46"/>
      <c r="NA43" s="46"/>
      <c r="NB43" s="46"/>
      <c r="NC43" s="46"/>
      <c r="ND43" s="46"/>
      <c r="NE43" s="46"/>
      <c r="NF43" s="46"/>
      <c r="NG43" s="46"/>
      <c r="NH43" s="46"/>
      <c r="NI43" s="46"/>
      <c r="NJ43" s="46"/>
      <c r="NK43" s="46"/>
      <c r="NL43" s="46"/>
      <c r="NM43" s="46"/>
      <c r="NN43" s="46"/>
      <c r="NO43" s="46"/>
      <c r="NP43" s="47"/>
      <c r="NQ43" s="47"/>
      <c r="NR43" s="47"/>
      <c r="NS43" s="47"/>
      <c r="NT43" s="47"/>
      <c r="NU43" s="47"/>
      <c r="NV43" s="47"/>
      <c r="NW43" s="47"/>
      <c r="NX43" s="47"/>
      <c r="NY43" s="47"/>
      <c r="NZ43" s="47"/>
    </row>
    <row r="44" spans="1:390" s="28" customFormat="1" ht="13.8" x14ac:dyDescent="0.3">
      <c r="A44" s="57"/>
      <c r="B44" s="57"/>
      <c r="C44" s="62"/>
      <c r="D44" s="57"/>
      <c r="E44" s="63"/>
      <c r="F44" s="67">
        <f>MAX(BO47:BO55)</f>
        <v>144167.24140054017</v>
      </c>
      <c r="G44" s="47" t="s">
        <v>78</v>
      </c>
      <c r="M44" s="11"/>
      <c r="N44" s="11"/>
      <c r="O44" s="11"/>
      <c r="P44" s="11"/>
      <c r="Q44" s="11"/>
      <c r="R44" s="12"/>
      <c r="S44" s="12"/>
      <c r="W44" s="40">
        <f t="shared" si="2"/>
        <v>0.28125000000000006</v>
      </c>
      <c r="X44" s="28">
        <f>(W44-G21)*C35/G26</f>
        <v>-7424.4012564112554</v>
      </c>
      <c r="AB44" s="40">
        <f t="shared" si="3"/>
        <v>0.28125000000000006</v>
      </c>
      <c r="AC44" s="28">
        <f>(AB44-G20)*C36/J26</f>
        <v>32594.93234522015</v>
      </c>
      <c r="AI44" s="5"/>
      <c r="AJ44" s="5"/>
      <c r="AK44" s="5"/>
      <c r="AL44" s="5"/>
      <c r="AM44" s="5"/>
      <c r="AN44" s="42">
        <f>AN43-AN38/20</f>
        <v>0.26250000000000007</v>
      </c>
      <c r="AO44" s="42">
        <f t="shared" si="5"/>
        <v>0.13125000000000003</v>
      </c>
      <c r="AP44" s="42">
        <f>(AL17-AO44)</f>
        <v>0.24374999999999997</v>
      </c>
      <c r="AQ44" s="42">
        <f>AN44*AL18</f>
        <v>0</v>
      </c>
      <c r="AR44" s="43" t="e">
        <f>C34*(AQ44*AP44)/(AL19*AL18)</f>
        <v>#DIV/0!</v>
      </c>
      <c r="AS44" s="5"/>
      <c r="AT44" s="5"/>
      <c r="AU44" s="5"/>
      <c r="AV44" s="5"/>
      <c r="AW44" s="5"/>
      <c r="AX44" s="5"/>
      <c r="AY44" s="42">
        <f>AY43-AY38/20</f>
        <v>0.26250000000000007</v>
      </c>
      <c r="AZ44" s="42">
        <f t="shared" si="6"/>
        <v>0.13125000000000003</v>
      </c>
      <c r="BA44" s="42">
        <f>(AW17-AZ44)</f>
        <v>0.24374999999999997</v>
      </c>
      <c r="BB44" s="42">
        <f>AY44*AW18</f>
        <v>9.8437500000000025E-2</v>
      </c>
      <c r="BC44" s="43">
        <f>C33*(BB44*BA44)/(AW19*AW18)</f>
        <v>2059.8186412604414</v>
      </c>
      <c r="BD44" s="44"/>
      <c r="BE44" s="5"/>
      <c r="BF44" s="15"/>
      <c r="BG44" s="70" t="s">
        <v>57</v>
      </c>
      <c r="BH44" s="70" t="s">
        <v>57</v>
      </c>
      <c r="BI44" s="70" t="s">
        <v>57</v>
      </c>
      <c r="BJ44" s="70" t="s">
        <v>57</v>
      </c>
      <c r="BK44" s="70" t="s">
        <v>96</v>
      </c>
      <c r="BL44" s="15"/>
      <c r="BM44" s="15"/>
      <c r="BN44" s="15"/>
      <c r="BO44" s="70" t="s">
        <v>113</v>
      </c>
      <c r="BP44" s="44"/>
      <c r="BQ44" s="44"/>
      <c r="BR44" s="44"/>
      <c r="BS44" s="44"/>
      <c r="BT44" s="44"/>
      <c r="BU44" s="44"/>
      <c r="BV44" s="44"/>
      <c r="BW44" s="44"/>
      <c r="BX44" s="44"/>
      <c r="BY44" s="44"/>
      <c r="CA44" s="39"/>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P44" s="39"/>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G44" s="39"/>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X44" s="39"/>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O44" s="39"/>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W44" s="65"/>
      <c r="LX44" s="66"/>
      <c r="LY44" s="65"/>
      <c r="LZ44" s="5"/>
      <c r="MA44" s="46"/>
      <c r="MB44" s="46"/>
      <c r="MC44" s="46"/>
      <c r="MD44" s="46"/>
      <c r="ME44" s="46"/>
      <c r="MF44" s="46"/>
      <c r="MG44" s="46"/>
      <c r="MH44" s="46"/>
      <c r="MI44" s="46"/>
      <c r="MJ44" s="46"/>
      <c r="MK44" s="46"/>
      <c r="ML44" s="46"/>
      <c r="MM44" s="46"/>
      <c r="MN44" s="46"/>
      <c r="MO44" s="46"/>
      <c r="MP44" s="46"/>
      <c r="MQ44" s="46"/>
      <c r="MR44" s="46"/>
      <c r="MS44" s="46"/>
      <c r="MT44" s="46"/>
      <c r="MU44" s="46"/>
      <c r="MV44" s="46"/>
      <c r="MW44" s="46"/>
      <c r="MX44" s="46"/>
      <c r="MY44" s="46"/>
      <c r="MZ44" s="46"/>
      <c r="NA44" s="46"/>
      <c r="NB44" s="46"/>
      <c r="NC44" s="46"/>
      <c r="ND44" s="46"/>
      <c r="NE44" s="46"/>
      <c r="NF44" s="46"/>
      <c r="NG44" s="46"/>
      <c r="NH44" s="46"/>
      <c r="NI44" s="46"/>
      <c r="NJ44" s="46"/>
      <c r="NK44" s="46"/>
      <c r="NL44" s="46"/>
      <c r="NM44" s="46"/>
      <c r="NN44" s="46"/>
      <c r="NO44" s="46"/>
      <c r="NP44" s="47"/>
      <c r="NQ44" s="47"/>
      <c r="NR44" s="47"/>
      <c r="NS44" s="47"/>
      <c r="NT44" s="47"/>
      <c r="NU44" s="47"/>
      <c r="NV44" s="47"/>
      <c r="NW44" s="47"/>
      <c r="NX44" s="47"/>
      <c r="NY44" s="47"/>
      <c r="NZ44" s="47"/>
    </row>
    <row r="45" spans="1:390" s="28" customFormat="1" ht="13.8" x14ac:dyDescent="0.3">
      <c r="A45" s="57"/>
      <c r="B45" s="57"/>
      <c r="C45" s="62"/>
      <c r="D45" s="57"/>
      <c r="E45" s="63"/>
      <c r="F45" s="47"/>
      <c r="G45" s="47"/>
      <c r="M45" s="11"/>
      <c r="N45" s="11"/>
      <c r="O45" s="11"/>
      <c r="P45" s="11"/>
      <c r="Q45" s="11"/>
      <c r="R45" s="12"/>
      <c r="S45" s="12"/>
      <c r="W45" s="40">
        <f t="shared" si="2"/>
        <v>0.26250000000000007</v>
      </c>
      <c r="X45" s="28">
        <f>(W45-G21)*C35/G26</f>
        <v>-8909.2815076935076</v>
      </c>
      <c r="AB45" s="40">
        <f t="shared" si="3"/>
        <v>0.26250000000000007</v>
      </c>
      <c r="AC45" s="28">
        <f>(AB45-G20)*C36/J26</f>
        <v>39113.91881426418</v>
      </c>
      <c r="AI45" s="5"/>
      <c r="AJ45" s="5"/>
      <c r="AK45" s="5"/>
      <c r="AL45" s="5"/>
      <c r="AM45" s="5"/>
      <c r="AN45" s="42">
        <f>AN44-AN38/20</f>
        <v>0.24375000000000008</v>
      </c>
      <c r="AO45" s="42">
        <f t="shared" si="5"/>
        <v>0.12187500000000004</v>
      </c>
      <c r="AP45" s="42">
        <f>(AL17-AO45)</f>
        <v>0.25312499999999993</v>
      </c>
      <c r="AQ45" s="42">
        <f>AN45*AL18</f>
        <v>0</v>
      </c>
      <c r="AR45" s="43" t="e">
        <f>C34*(AQ45*AP45)/(AL19*AL18)</f>
        <v>#DIV/0!</v>
      </c>
      <c r="AS45" s="5"/>
      <c r="AT45" s="5"/>
      <c r="AU45" s="5"/>
      <c r="AV45" s="5"/>
      <c r="AW45" s="5"/>
      <c r="AX45" s="5"/>
      <c r="AY45" s="42">
        <f>AY44-AY38/20</f>
        <v>0.24375000000000008</v>
      </c>
      <c r="AZ45" s="42">
        <f t="shared" si="6"/>
        <v>0.12187500000000004</v>
      </c>
      <c r="BA45" s="42">
        <f>(AW17-AZ45)</f>
        <v>0.25312499999999993</v>
      </c>
      <c r="BB45" s="42">
        <f>AY45*AW18</f>
        <v>9.1406250000000022E-2</v>
      </c>
      <c r="BC45" s="43">
        <f>C33*(BB45*BA45)/(AW19*AW18)</f>
        <v>1986.2536897868538</v>
      </c>
      <c r="BD45" s="44"/>
      <c r="BE45" s="5"/>
      <c r="BF45" s="70"/>
      <c r="BG45" s="71" t="s">
        <v>114</v>
      </c>
      <c r="BH45" s="70" t="s">
        <v>115</v>
      </c>
      <c r="BI45" s="71" t="s">
        <v>116</v>
      </c>
      <c r="BJ45" s="70" t="s">
        <v>115</v>
      </c>
      <c r="BK45" s="70" t="s">
        <v>111</v>
      </c>
      <c r="BL45" s="70" t="s">
        <v>117</v>
      </c>
      <c r="BM45" s="70" t="s">
        <v>112</v>
      </c>
      <c r="BN45" s="15"/>
      <c r="BO45" s="70" t="s">
        <v>57</v>
      </c>
      <c r="BP45" s="44"/>
      <c r="BQ45" s="44"/>
      <c r="BR45" s="44"/>
      <c r="BS45" s="44"/>
      <c r="BT45" s="44"/>
      <c r="BU45" s="44"/>
      <c r="BV45" s="44"/>
      <c r="BW45" s="44"/>
      <c r="BX45" s="44"/>
      <c r="BY45" s="44"/>
      <c r="CA45" s="39"/>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P45" s="39"/>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G45" s="39"/>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X45" s="39"/>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O45" s="39"/>
      <c r="IP45" s="44"/>
      <c r="IQ45" s="44"/>
      <c r="IR45" s="44"/>
      <c r="IS45" s="44"/>
      <c r="IT45" s="44"/>
      <c r="IU45" s="44"/>
      <c r="IV45" s="44"/>
      <c r="IW45" s="44"/>
      <c r="IX45" s="44"/>
      <c r="IY45" s="44"/>
      <c r="IZ45" s="44"/>
      <c r="JA45" s="44"/>
      <c r="JB45" s="44"/>
      <c r="JC45" s="44"/>
      <c r="JD45" s="44"/>
      <c r="JE45" s="44"/>
      <c r="JF45" s="44"/>
      <c r="JG45" s="44"/>
      <c r="JH45" s="44"/>
      <c r="JI45" s="44"/>
      <c r="JJ45" s="44"/>
      <c r="JK45" s="44"/>
      <c r="JL45" s="44"/>
      <c r="JM45" s="44"/>
      <c r="JN45" s="44"/>
      <c r="JO45" s="44"/>
      <c r="JP45" s="44"/>
      <c r="JQ45" s="44"/>
      <c r="JR45" s="44"/>
      <c r="JS45" s="44"/>
      <c r="JT45" s="44"/>
      <c r="JU45" s="44"/>
      <c r="JV45" s="44"/>
      <c r="JW45" s="44"/>
      <c r="JX45" s="44"/>
      <c r="JY45" s="44"/>
      <c r="JZ45" s="44"/>
      <c r="KA45" s="44"/>
      <c r="KB45" s="44"/>
      <c r="KC45" s="44"/>
      <c r="KD45" s="44"/>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MA45" s="46"/>
      <c r="MB45" s="46"/>
      <c r="MC45" s="46"/>
      <c r="MD45" s="46"/>
      <c r="ME45" s="46"/>
      <c r="MF45" s="46"/>
      <c r="MG45" s="46"/>
      <c r="MH45" s="46"/>
      <c r="MI45" s="46"/>
      <c r="MJ45" s="46"/>
      <c r="MK45" s="46"/>
      <c r="ML45" s="46"/>
      <c r="MM45" s="46"/>
      <c r="MN45" s="46"/>
      <c r="MO45" s="46"/>
      <c r="MP45" s="46"/>
      <c r="MQ45" s="46"/>
      <c r="MR45" s="46"/>
      <c r="MS45" s="46"/>
      <c r="MT45" s="46"/>
      <c r="MU45" s="46"/>
      <c r="MV45" s="46"/>
      <c r="MW45" s="46"/>
      <c r="MX45" s="46"/>
      <c r="MY45" s="46"/>
      <c r="MZ45" s="46"/>
      <c r="NA45" s="46"/>
      <c r="NB45" s="46"/>
      <c r="NC45" s="46"/>
      <c r="ND45" s="46"/>
      <c r="NE45" s="46"/>
      <c r="NF45" s="46"/>
      <c r="NG45" s="46"/>
      <c r="NH45" s="46"/>
      <c r="NI45" s="46"/>
      <c r="NJ45" s="46"/>
      <c r="NK45" s="46"/>
      <c r="NL45" s="46"/>
      <c r="NM45" s="46"/>
      <c r="NN45" s="46"/>
      <c r="NO45" s="46"/>
      <c r="NP45" s="47"/>
      <c r="NQ45" s="47"/>
      <c r="NR45" s="47"/>
      <c r="NS45" s="47"/>
      <c r="NT45" s="47"/>
      <c r="NU45" s="47"/>
      <c r="NV45" s="47"/>
      <c r="NW45" s="47"/>
      <c r="NX45" s="47"/>
      <c r="NY45" s="47"/>
      <c r="NZ45" s="47"/>
    </row>
    <row r="46" spans="1:390" s="28" customFormat="1" ht="13.8" x14ac:dyDescent="0.3">
      <c r="A46" s="57"/>
      <c r="B46" s="57"/>
      <c r="C46" s="62"/>
      <c r="D46" s="57"/>
      <c r="E46" s="63"/>
      <c r="F46" s="129" t="s">
        <v>118</v>
      </c>
      <c r="G46" s="129"/>
      <c r="M46" s="11"/>
      <c r="N46" s="11"/>
      <c r="O46" s="11"/>
      <c r="P46" s="11"/>
      <c r="Q46" s="11"/>
      <c r="R46" s="12"/>
      <c r="S46" s="12"/>
      <c r="W46" s="40">
        <f t="shared" si="2"/>
        <v>0.24375000000000008</v>
      </c>
      <c r="X46" s="28">
        <f>(W46-G21)*C35/G26</f>
        <v>-10394.161758975759</v>
      </c>
      <c r="AB46" s="40">
        <f t="shared" si="3"/>
        <v>0.24375000000000008</v>
      </c>
      <c r="AC46" s="28">
        <f>(AB46-G20)*C36/J26</f>
        <v>45632.905283308202</v>
      </c>
      <c r="AI46" s="5"/>
      <c r="AJ46" s="5"/>
      <c r="AK46" s="5"/>
      <c r="AL46" s="5"/>
      <c r="AM46" s="5"/>
      <c r="AN46" s="42">
        <f>AN45-AN38/20</f>
        <v>0.22500000000000009</v>
      </c>
      <c r="AO46" s="42">
        <f t="shared" si="5"/>
        <v>0.11250000000000004</v>
      </c>
      <c r="AP46" s="42">
        <f>(AL17-AO46)</f>
        <v>0.26249999999999996</v>
      </c>
      <c r="AQ46" s="42">
        <f>AN46*AL18</f>
        <v>0</v>
      </c>
      <c r="AR46" s="43" t="e">
        <f>C34*(AQ46*AP46)/(AL19*AL18)</f>
        <v>#DIV/0!</v>
      </c>
      <c r="AS46" s="5"/>
      <c r="AT46" s="5"/>
      <c r="AU46" s="5"/>
      <c r="AV46" s="5"/>
      <c r="AW46" s="5"/>
      <c r="AX46" s="5"/>
      <c r="AY46" s="42">
        <f>AY45-AY38/20</f>
        <v>0.22500000000000009</v>
      </c>
      <c r="AZ46" s="42">
        <f t="shared" si="6"/>
        <v>0.11250000000000004</v>
      </c>
      <c r="BA46" s="42">
        <f>(AW17-AZ46)</f>
        <v>0.26249999999999996</v>
      </c>
      <c r="BB46" s="42">
        <f>AY46*AW18</f>
        <v>8.4375000000000033E-2</v>
      </c>
      <c r="BC46" s="43">
        <f>C33*(BB46*BA46)/(AW19*AW18)</f>
        <v>1901.371053471177</v>
      </c>
      <c r="BD46" s="44"/>
      <c r="BE46" s="5"/>
      <c r="BF46" s="15"/>
      <c r="BG46" s="70" t="s">
        <v>62</v>
      </c>
      <c r="BH46" s="70" t="s">
        <v>62</v>
      </c>
      <c r="BI46" s="70" t="s">
        <v>62</v>
      </c>
      <c r="BJ46" s="70" t="s">
        <v>62</v>
      </c>
      <c r="BK46" s="70" t="s">
        <v>62</v>
      </c>
      <c r="BL46" s="70" t="s">
        <v>62</v>
      </c>
      <c r="BM46" s="70" t="s">
        <v>62</v>
      </c>
      <c r="BN46" s="15"/>
      <c r="BO46" s="70" t="s">
        <v>62</v>
      </c>
      <c r="BP46" s="44"/>
      <c r="BQ46" s="44"/>
      <c r="BR46" s="44"/>
      <c r="BS46" s="44"/>
      <c r="BT46" s="44"/>
      <c r="BU46" s="44"/>
      <c r="BV46" s="44"/>
      <c r="BW46" s="44"/>
      <c r="BX46" s="44"/>
      <c r="BY46" s="44"/>
      <c r="CA46" s="39"/>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P46" s="39"/>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G46" s="39"/>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X46" s="39"/>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O46" s="39"/>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F46" s="45"/>
      <c r="KG46" s="45"/>
      <c r="KH46" s="45"/>
      <c r="KI46" s="45"/>
      <c r="KJ46" s="45"/>
      <c r="KK46" s="45"/>
      <c r="KL46" s="45"/>
      <c r="KM46" s="45"/>
      <c r="KN46" s="45"/>
      <c r="KO46" s="45"/>
      <c r="KP46" s="45"/>
      <c r="KQ46" s="45"/>
      <c r="KR46" s="45"/>
      <c r="KS46" s="45"/>
      <c r="KT46" s="45"/>
      <c r="KU46" s="45"/>
      <c r="KV46" s="45"/>
      <c r="KW46" s="45"/>
      <c r="KX46" s="45"/>
      <c r="KY46" s="45"/>
      <c r="KZ46" s="45"/>
      <c r="LA46" s="45"/>
      <c r="LB46" s="45"/>
      <c r="LC46" s="45"/>
      <c r="LD46" s="45"/>
      <c r="LE46" s="45"/>
      <c r="LF46" s="45"/>
      <c r="LG46" s="45"/>
      <c r="LH46" s="45"/>
      <c r="LI46" s="45"/>
      <c r="LJ46" s="45"/>
      <c r="LK46" s="45"/>
      <c r="LL46" s="45"/>
      <c r="LM46" s="45"/>
      <c r="LN46" s="45"/>
      <c r="LO46" s="45"/>
      <c r="LP46" s="45"/>
      <c r="LQ46" s="45"/>
      <c r="LR46" s="45"/>
      <c r="LS46" s="45"/>
      <c r="LT46" s="45"/>
      <c r="MA46" s="46"/>
      <c r="MB46" s="46"/>
      <c r="MC46" s="46"/>
      <c r="MD46" s="46"/>
      <c r="ME46" s="46"/>
      <c r="MF46" s="46"/>
      <c r="MG46" s="46"/>
      <c r="MH46" s="46"/>
      <c r="MI46" s="46"/>
      <c r="MJ46" s="46"/>
      <c r="MK46" s="46"/>
      <c r="ML46" s="46"/>
      <c r="MM46" s="46"/>
      <c r="MN46" s="46"/>
      <c r="MO46" s="46"/>
      <c r="MP46" s="46"/>
      <c r="MQ46" s="46"/>
      <c r="MR46" s="46"/>
      <c r="MS46" s="46"/>
      <c r="MT46" s="46"/>
      <c r="MU46" s="46"/>
      <c r="MV46" s="46"/>
      <c r="MW46" s="46"/>
      <c r="MX46" s="46"/>
      <c r="MY46" s="46"/>
      <c r="MZ46" s="46"/>
      <c r="NA46" s="46"/>
      <c r="NB46" s="46"/>
      <c r="NC46" s="46"/>
      <c r="ND46" s="46"/>
      <c r="NE46" s="46"/>
      <c r="NF46" s="46"/>
      <c r="NG46" s="46"/>
      <c r="NH46" s="46"/>
      <c r="NI46" s="46"/>
      <c r="NJ46" s="46"/>
      <c r="NK46" s="46"/>
      <c r="NL46" s="46"/>
      <c r="NM46" s="46"/>
      <c r="NN46" s="46"/>
      <c r="NO46" s="46"/>
      <c r="NP46" s="47"/>
      <c r="NQ46" s="47"/>
      <c r="NR46" s="47"/>
      <c r="NS46" s="47"/>
      <c r="NT46" s="47"/>
      <c r="NU46" s="47"/>
      <c r="NV46" s="47"/>
      <c r="NW46" s="47"/>
      <c r="NX46" s="47"/>
      <c r="NY46" s="47"/>
      <c r="NZ46" s="47"/>
    </row>
    <row r="47" spans="1:390" s="28" customFormat="1" ht="13.8" x14ac:dyDescent="0.3">
      <c r="A47" s="57"/>
      <c r="B47" s="57"/>
      <c r="C47" s="62"/>
      <c r="D47" s="57"/>
      <c r="E47" s="63"/>
      <c r="F47" s="129"/>
      <c r="G47" s="129"/>
      <c r="M47" s="11"/>
      <c r="N47" s="11"/>
      <c r="O47" s="11"/>
      <c r="P47" s="11"/>
      <c r="Q47" s="11"/>
      <c r="R47" s="12"/>
      <c r="S47" s="12"/>
      <c r="W47" s="40">
        <f t="shared" si="2"/>
        <v>0.22500000000000009</v>
      </c>
      <c r="X47" s="28">
        <f>(W47-G21)*C35/G26</f>
        <v>-11879.04201025801</v>
      </c>
      <c r="AB47" s="40">
        <f t="shared" si="3"/>
        <v>0.22500000000000009</v>
      </c>
      <c r="AC47" s="28">
        <f>(AB47-G20)*C36/J26</f>
        <v>52151.89175235224</v>
      </c>
      <c r="AI47" s="5"/>
      <c r="AJ47" s="5"/>
      <c r="AK47" s="5"/>
      <c r="AL47" s="5"/>
      <c r="AM47" s="5"/>
      <c r="AN47" s="42">
        <f>AN46-AN38/20</f>
        <v>0.2062500000000001</v>
      </c>
      <c r="AO47" s="42">
        <f t="shared" si="5"/>
        <v>0.10312500000000005</v>
      </c>
      <c r="AP47" s="42">
        <f>(AL17-AO47)</f>
        <v>0.27187499999999998</v>
      </c>
      <c r="AQ47" s="42">
        <f>AN47*AL18</f>
        <v>0</v>
      </c>
      <c r="AR47" s="43" t="e">
        <f>C34*(AQ47*AP47)/(AL19*AL18)</f>
        <v>#DIV/0!</v>
      </c>
      <c r="AS47" s="5"/>
      <c r="AT47" s="5"/>
      <c r="AU47" s="5"/>
      <c r="AV47" s="5"/>
      <c r="AW47" s="5"/>
      <c r="AX47" s="5"/>
      <c r="AY47" s="42">
        <f>AY46-AY38/20</f>
        <v>0.2062500000000001</v>
      </c>
      <c r="AZ47" s="42">
        <f t="shared" si="6"/>
        <v>0.10312500000000005</v>
      </c>
      <c r="BA47" s="42">
        <f>(AW17-AZ47)</f>
        <v>0.27187499999999998</v>
      </c>
      <c r="BB47" s="42">
        <f>AY47*AW18</f>
        <v>7.7343750000000044E-2</v>
      </c>
      <c r="BC47" s="43">
        <f>C33*(BB47*BA47)/(AW19*AW18)</f>
        <v>1805.1707323134094</v>
      </c>
      <c r="BD47" s="44"/>
      <c r="BE47" s="5"/>
      <c r="BF47" s="18">
        <v>1</v>
      </c>
      <c r="BG47" s="72">
        <f>C33/(PI()*J28*(J28-J29))</f>
        <v>1131.7684842090334</v>
      </c>
      <c r="BH47" s="72">
        <f>-E37</f>
        <v>-24144.394329792718</v>
      </c>
      <c r="BI47" s="72">
        <v>0</v>
      </c>
      <c r="BJ47" s="72">
        <v>0</v>
      </c>
      <c r="BK47" s="72">
        <f t="shared" ref="BK47:BK50" si="7">BG47+BH47</f>
        <v>-23012.625845583683</v>
      </c>
      <c r="BL47" s="72">
        <v>0</v>
      </c>
      <c r="BM47" s="72">
        <f t="shared" ref="BM47:BM50" si="8">BI47+BJ47</f>
        <v>0</v>
      </c>
      <c r="BN47" s="5"/>
      <c r="BO47" s="77">
        <f t="shared" ref="BO47:BO55" si="9">SQRT(0.5*((BM21-BN21)^2+(BN21-BO21)^2+(BO21-BM21)^2+6*(BK47^2+BL47^2+BM47^2)))</f>
        <v>45972.526845476947</v>
      </c>
      <c r="BP47" s="44"/>
      <c r="BQ47" s="44"/>
      <c r="BR47" s="44"/>
      <c r="BS47" s="44"/>
      <c r="BT47" s="44"/>
      <c r="BU47" s="44"/>
      <c r="BV47" s="44"/>
      <c r="BW47" s="44"/>
      <c r="BX47" s="44"/>
      <c r="BY47" s="44"/>
      <c r="CA47" s="39"/>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P47" s="39"/>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G47" s="39"/>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X47" s="39"/>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O47" s="39"/>
      <c r="IP47" s="44"/>
      <c r="IQ47" s="44"/>
      <c r="IR47" s="44"/>
      <c r="IS47" s="44"/>
      <c r="IT47" s="44"/>
      <c r="IU47" s="44"/>
      <c r="IV47" s="44"/>
      <c r="IW47" s="44"/>
      <c r="IX47" s="44"/>
      <c r="IY47" s="44"/>
      <c r="IZ47" s="44"/>
      <c r="JA47" s="44"/>
      <c r="JB47" s="44"/>
      <c r="JC47" s="44"/>
      <c r="JD47" s="44"/>
      <c r="JE47" s="44"/>
      <c r="JF47" s="44"/>
      <c r="JG47" s="44"/>
      <c r="JH47" s="44"/>
      <c r="JI47" s="44"/>
      <c r="JJ47" s="44"/>
      <c r="JK47" s="44"/>
      <c r="JL47" s="44"/>
      <c r="JM47" s="44"/>
      <c r="JN47" s="44"/>
      <c r="JO47" s="44"/>
      <c r="JP47" s="44"/>
      <c r="JQ47" s="44"/>
      <c r="JR47" s="44"/>
      <c r="JS47" s="44"/>
      <c r="JT47" s="44"/>
      <c r="JU47" s="44"/>
      <c r="JV47" s="44"/>
      <c r="JW47" s="44"/>
      <c r="JX47" s="44"/>
      <c r="JY47" s="44"/>
      <c r="JZ47" s="44"/>
      <c r="KA47" s="44"/>
      <c r="KB47" s="44"/>
      <c r="KC47" s="44"/>
      <c r="KD47" s="44"/>
      <c r="KF47" s="45"/>
      <c r="KG47" s="45"/>
      <c r="KH47" s="45"/>
      <c r="KI47" s="45"/>
      <c r="KJ47" s="45"/>
      <c r="KK47" s="45"/>
      <c r="KL47" s="45"/>
      <c r="KM47" s="45"/>
      <c r="KN47" s="45"/>
      <c r="KO47" s="45"/>
      <c r="KP47" s="45"/>
      <c r="KQ47" s="45"/>
      <c r="KR47" s="45"/>
      <c r="KS47" s="45"/>
      <c r="KT47" s="45"/>
      <c r="KU47" s="45"/>
      <c r="KV47" s="45"/>
      <c r="KW47" s="45"/>
      <c r="KX47" s="45"/>
      <c r="KY47" s="45"/>
      <c r="KZ47" s="45"/>
      <c r="LA47" s="45"/>
      <c r="LB47" s="45"/>
      <c r="LC47" s="45"/>
      <c r="LD47" s="45"/>
      <c r="LE47" s="45"/>
      <c r="LF47" s="45"/>
      <c r="LG47" s="45"/>
      <c r="LH47" s="45"/>
      <c r="LI47" s="45"/>
      <c r="LJ47" s="45"/>
      <c r="LK47" s="45"/>
      <c r="LL47" s="45"/>
      <c r="LM47" s="45"/>
      <c r="LN47" s="45"/>
      <c r="LO47" s="45"/>
      <c r="LP47" s="45"/>
      <c r="LQ47" s="45"/>
      <c r="LR47" s="45"/>
      <c r="LS47" s="45"/>
      <c r="LT47" s="45"/>
      <c r="MA47" s="46"/>
      <c r="MB47" s="46"/>
      <c r="MC47" s="46"/>
      <c r="MD47" s="46"/>
      <c r="ME47" s="46"/>
      <c r="MF47" s="46"/>
      <c r="MG47" s="46"/>
      <c r="MH47" s="46"/>
      <c r="MI47" s="46"/>
      <c r="MJ47" s="46"/>
      <c r="MK47" s="46"/>
      <c r="ML47" s="46"/>
      <c r="MM47" s="46"/>
      <c r="MN47" s="46"/>
      <c r="MO47" s="46"/>
      <c r="MP47" s="46"/>
      <c r="MQ47" s="46"/>
      <c r="MR47" s="46"/>
      <c r="MS47" s="46"/>
      <c r="MT47" s="46"/>
      <c r="MU47" s="46"/>
      <c r="MV47" s="46"/>
      <c r="MW47" s="46"/>
      <c r="MX47" s="46"/>
      <c r="MY47" s="46"/>
      <c r="MZ47" s="46"/>
      <c r="NA47" s="46"/>
      <c r="NB47" s="46"/>
      <c r="NC47" s="46"/>
      <c r="ND47" s="46"/>
      <c r="NE47" s="46"/>
      <c r="NF47" s="46"/>
      <c r="NG47" s="46"/>
      <c r="NH47" s="46"/>
      <c r="NI47" s="46"/>
      <c r="NJ47" s="46"/>
      <c r="NK47" s="46"/>
      <c r="NL47" s="46"/>
      <c r="NM47" s="46"/>
      <c r="NN47" s="46"/>
      <c r="NO47" s="46"/>
      <c r="NP47" s="47"/>
      <c r="NQ47" s="47"/>
      <c r="NR47" s="47"/>
      <c r="NS47" s="47"/>
      <c r="NT47" s="47"/>
      <c r="NU47" s="47"/>
      <c r="NV47" s="47"/>
      <c r="NW47" s="47"/>
      <c r="NX47" s="47"/>
      <c r="NY47" s="47"/>
      <c r="NZ47" s="47"/>
    </row>
    <row r="48" spans="1:390" s="28" customFormat="1" ht="13.8" x14ac:dyDescent="0.3">
      <c r="A48" s="57"/>
      <c r="B48" s="57"/>
      <c r="C48" s="62"/>
      <c r="D48" s="57"/>
      <c r="E48" s="63"/>
      <c r="F48" s="67">
        <f>MAX(BM21:BM29)</f>
        <v>123589.11847562647</v>
      </c>
      <c r="G48" s="47" t="s">
        <v>78</v>
      </c>
      <c r="M48" s="11"/>
      <c r="N48" s="11"/>
      <c r="O48" s="11"/>
      <c r="P48" s="11"/>
      <c r="Q48" s="11"/>
      <c r="R48" s="12"/>
      <c r="S48" s="12"/>
      <c r="W48" s="40">
        <f t="shared" si="2"/>
        <v>0.2062500000000001</v>
      </c>
      <c r="X48" s="28">
        <f>(W48-G21)*C35/G26</f>
        <v>-13363.922261540261</v>
      </c>
      <c r="AB48" s="40">
        <f t="shared" si="3"/>
        <v>0.2062500000000001</v>
      </c>
      <c r="AC48" s="28">
        <f>(AB48-G20)*C36/J26</f>
        <v>58670.878221396262</v>
      </c>
      <c r="AI48" s="5"/>
      <c r="AJ48" s="5"/>
      <c r="AK48" s="5"/>
      <c r="AL48" s="5"/>
      <c r="AM48" s="5"/>
      <c r="AN48" s="42">
        <f>AN47-AN38/20</f>
        <v>0.18750000000000011</v>
      </c>
      <c r="AO48" s="42">
        <f t="shared" si="5"/>
        <v>9.3750000000000056E-2</v>
      </c>
      <c r="AP48" s="42">
        <f>(AL17-AO48)</f>
        <v>0.28124999999999994</v>
      </c>
      <c r="AQ48" s="42">
        <f>AN48*AL18</f>
        <v>0</v>
      </c>
      <c r="AR48" s="43" t="e">
        <f>C34*(AQ48*AP48)/(AL19*AL18)</f>
        <v>#DIV/0!</v>
      </c>
      <c r="AS48" s="5"/>
      <c r="AT48" s="5"/>
      <c r="AU48" s="5"/>
      <c r="AV48" s="5"/>
      <c r="AW48" s="5"/>
      <c r="AX48" s="5"/>
      <c r="AY48" s="42">
        <f>AY47-AY38/20</f>
        <v>0.18750000000000011</v>
      </c>
      <c r="AZ48" s="42">
        <f t="shared" si="6"/>
        <v>9.3750000000000056E-2</v>
      </c>
      <c r="BA48" s="42">
        <f>(AW17-AZ48)</f>
        <v>0.28124999999999994</v>
      </c>
      <c r="BB48" s="42">
        <f>AY48*AW18</f>
        <v>7.0312500000000042E-2</v>
      </c>
      <c r="BC48" s="43">
        <f>C33*(BB48*BA48)/(AW19*AW18)</f>
        <v>1697.6527263135508</v>
      </c>
      <c r="BD48" s="44"/>
      <c r="BE48" s="5"/>
      <c r="BF48" s="18">
        <v>2</v>
      </c>
      <c r="BG48" s="72">
        <v>0</v>
      </c>
      <c r="BH48" s="72">
        <v>0</v>
      </c>
      <c r="BI48" s="72">
        <f>C34/(PI()*J28*(J28-J29))</f>
        <v>1471.2990294717436</v>
      </c>
      <c r="BJ48" s="72">
        <f>BH47</f>
        <v>-24144.394329792718</v>
      </c>
      <c r="BK48" s="72">
        <f t="shared" si="7"/>
        <v>0</v>
      </c>
      <c r="BL48" s="72">
        <v>0</v>
      </c>
      <c r="BM48" s="72">
        <f t="shared" si="8"/>
        <v>-22673.095300320976</v>
      </c>
      <c r="BN48" s="5"/>
      <c r="BO48" s="77">
        <f t="shared" si="9"/>
        <v>129678.36348857409</v>
      </c>
      <c r="BP48" s="44"/>
      <c r="BQ48" s="44"/>
      <c r="BR48" s="44"/>
      <c r="BS48" s="44"/>
      <c r="BT48" s="44"/>
      <c r="BU48" s="44"/>
      <c r="BV48" s="44"/>
      <c r="BW48" s="44"/>
      <c r="BX48" s="44"/>
      <c r="BY48" s="44"/>
      <c r="CA48" s="39"/>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P48" s="39"/>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G48" s="39"/>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X48" s="39"/>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O48" s="39"/>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F48" s="45"/>
      <c r="KG48" s="45"/>
      <c r="KH48" s="45"/>
      <c r="KI48" s="45"/>
      <c r="KJ48" s="45"/>
      <c r="KK48" s="45"/>
      <c r="KL48" s="45"/>
      <c r="KM48" s="45"/>
      <c r="KN48" s="45"/>
      <c r="KO48" s="45"/>
      <c r="KP48" s="45"/>
      <c r="KQ48" s="45"/>
      <c r="KR48" s="45"/>
      <c r="KS48" s="45"/>
      <c r="KT48" s="45"/>
      <c r="KU48" s="45"/>
      <c r="KV48" s="45"/>
      <c r="KW48" s="45"/>
      <c r="KX48" s="45"/>
      <c r="KY48" s="45"/>
      <c r="KZ48" s="45"/>
      <c r="LA48" s="45"/>
      <c r="LB48" s="45"/>
      <c r="LC48" s="45"/>
      <c r="LD48" s="45"/>
      <c r="LE48" s="45"/>
      <c r="LF48" s="45"/>
      <c r="LG48" s="45"/>
      <c r="LH48" s="45"/>
      <c r="LI48" s="45"/>
      <c r="LJ48" s="45"/>
      <c r="LK48" s="45"/>
      <c r="LL48" s="45"/>
      <c r="LM48" s="45"/>
      <c r="LN48" s="45"/>
      <c r="LO48" s="45"/>
      <c r="LP48" s="45"/>
      <c r="LQ48" s="45"/>
      <c r="LR48" s="45"/>
      <c r="LS48" s="45"/>
      <c r="LT48" s="45"/>
      <c r="MA48" s="46"/>
      <c r="MB48" s="46"/>
      <c r="MC48" s="46"/>
      <c r="MD48" s="46"/>
      <c r="ME48" s="46"/>
      <c r="MF48" s="46"/>
      <c r="MG48" s="46"/>
      <c r="MH48" s="46"/>
      <c r="MI48" s="46"/>
      <c r="MJ48" s="46"/>
      <c r="MK48" s="46"/>
      <c r="ML48" s="46"/>
      <c r="MM48" s="46"/>
      <c r="MN48" s="46"/>
      <c r="MO48" s="46"/>
      <c r="MP48" s="46"/>
      <c r="MQ48" s="46"/>
      <c r="MR48" s="46"/>
      <c r="MS48" s="46"/>
      <c r="MT48" s="46"/>
      <c r="MU48" s="46"/>
      <c r="MV48" s="46"/>
      <c r="MW48" s="46"/>
      <c r="MX48" s="46"/>
      <c r="MY48" s="46"/>
      <c r="MZ48" s="46"/>
      <c r="NA48" s="46"/>
      <c r="NB48" s="46"/>
      <c r="NC48" s="46"/>
      <c r="ND48" s="46"/>
      <c r="NE48" s="46"/>
      <c r="NF48" s="46"/>
      <c r="NG48" s="46"/>
      <c r="NH48" s="46"/>
      <c r="NI48" s="46"/>
      <c r="NJ48" s="46"/>
      <c r="NK48" s="46"/>
      <c r="NL48" s="46"/>
      <c r="NM48" s="46"/>
      <c r="NN48" s="46"/>
      <c r="NO48" s="46"/>
      <c r="NP48" s="47"/>
      <c r="NQ48" s="47"/>
      <c r="NR48" s="47"/>
      <c r="NS48" s="47"/>
      <c r="NT48" s="47"/>
      <c r="NU48" s="47"/>
      <c r="NV48" s="47"/>
      <c r="NW48" s="47"/>
      <c r="NX48" s="47"/>
      <c r="NY48" s="47"/>
      <c r="NZ48" s="47"/>
    </row>
    <row r="49" spans="1:390" s="28" customFormat="1" ht="13.8" x14ac:dyDescent="0.3">
      <c r="A49" s="59">
        <f>BO50</f>
        <v>144167.24140054017</v>
      </c>
      <c r="B49" s="57"/>
      <c r="C49" s="62"/>
      <c r="D49" s="57"/>
      <c r="E49" s="61">
        <f>BO48</f>
        <v>129678.36348857409</v>
      </c>
      <c r="F49" s="47"/>
      <c r="G49" s="47"/>
      <c r="M49" s="11"/>
      <c r="N49" s="11"/>
      <c r="O49" s="11"/>
      <c r="P49" s="11"/>
      <c r="Q49" s="11"/>
      <c r="R49" s="12"/>
      <c r="S49" s="12"/>
      <c r="W49" s="40">
        <f t="shared" si="2"/>
        <v>0.18750000000000011</v>
      </c>
      <c r="X49" s="28">
        <f>(W49-G21)*C35/G26</f>
        <v>-14848.802512822511</v>
      </c>
      <c r="AB49" s="40">
        <f t="shared" si="3"/>
        <v>0.18750000000000011</v>
      </c>
      <c r="AC49" s="28">
        <f>(AB49-G20)*C36/J26</f>
        <v>65189.864690440299</v>
      </c>
      <c r="AI49" s="5"/>
      <c r="AJ49" s="5"/>
      <c r="AK49" s="5"/>
      <c r="AL49" s="5"/>
      <c r="AM49" s="5"/>
      <c r="AN49" s="42">
        <f>AN48-AN38/20</f>
        <v>0.16875000000000012</v>
      </c>
      <c r="AO49" s="42">
        <f t="shared" si="5"/>
        <v>8.4375000000000061E-2</v>
      </c>
      <c r="AP49" s="42">
        <f>(AL17-AO49)</f>
        <v>0.29062499999999991</v>
      </c>
      <c r="AQ49" s="42">
        <f>AN49*AL18</f>
        <v>0</v>
      </c>
      <c r="AR49" s="43" t="e">
        <f>C34*(AQ49*AP49)/(AL19*AL18)</f>
        <v>#DIV/0!</v>
      </c>
      <c r="AS49" s="5"/>
      <c r="AT49" s="5"/>
      <c r="AU49" s="5"/>
      <c r="AV49" s="5"/>
      <c r="AW49" s="5"/>
      <c r="AX49" s="5"/>
      <c r="AY49" s="42">
        <f>AY48-AY38/20</f>
        <v>0.16875000000000012</v>
      </c>
      <c r="AZ49" s="42">
        <f t="shared" si="6"/>
        <v>8.4375000000000061E-2</v>
      </c>
      <c r="BA49" s="42">
        <f>(AW17-AZ49)</f>
        <v>0.29062499999999991</v>
      </c>
      <c r="BB49" s="42">
        <f>AY49*AW18</f>
        <v>6.3281250000000039E-2</v>
      </c>
      <c r="BC49" s="43">
        <f>C33*(BB49*BA49)/(AW19*AW18)</f>
        <v>1578.8170354716024</v>
      </c>
      <c r="BD49" s="44"/>
      <c r="BE49" s="5"/>
      <c r="BF49" s="18">
        <v>3</v>
      </c>
      <c r="BG49" s="72">
        <f>C33/(PI()*J28*(J28-J29))</f>
        <v>1131.7684842090334</v>
      </c>
      <c r="BH49" s="72">
        <f>-BH47</f>
        <v>24144.394329792718</v>
      </c>
      <c r="BI49" s="72">
        <v>0</v>
      </c>
      <c r="BJ49" s="72">
        <v>0</v>
      </c>
      <c r="BK49" s="72">
        <f t="shared" si="7"/>
        <v>25276.162814001753</v>
      </c>
      <c r="BL49" s="72">
        <v>0</v>
      </c>
      <c r="BM49" s="72">
        <f t="shared" si="8"/>
        <v>0</v>
      </c>
      <c r="BN49" s="5"/>
      <c r="BO49" s="77">
        <f t="shared" si="9"/>
        <v>56991.605711891505</v>
      </c>
      <c r="BP49" s="44"/>
      <c r="BQ49" s="44"/>
      <c r="BR49" s="44"/>
      <c r="BS49" s="44"/>
      <c r="BT49" s="44"/>
      <c r="BU49" s="44"/>
      <c r="BV49" s="44"/>
      <c r="BW49" s="44"/>
      <c r="BX49" s="44"/>
      <c r="BY49" s="44"/>
      <c r="CA49" s="39"/>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P49" s="39"/>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G49" s="39"/>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X49" s="39"/>
      <c r="GY49" s="44"/>
      <c r="GZ49" s="44"/>
      <c r="HA49" s="44"/>
      <c r="HB49" s="44"/>
      <c r="HC49" s="44"/>
      <c r="HD49" s="44"/>
      <c r="HE49" s="44"/>
      <c r="HF49" s="44"/>
      <c r="HG49" s="44"/>
      <c r="HH49" s="44"/>
      <c r="HI49" s="44"/>
      <c r="HJ49" s="44"/>
      <c r="HK49" s="44"/>
      <c r="HL49" s="44"/>
      <c r="HM49" s="44"/>
      <c r="HN49" s="44"/>
      <c r="HO49" s="44"/>
      <c r="HP49" s="44"/>
      <c r="HQ49" s="44"/>
      <c r="HR49" s="44"/>
      <c r="HS49" s="44"/>
      <c r="HT49" s="44"/>
      <c r="HU49" s="44"/>
      <c r="HV49" s="44"/>
      <c r="HW49" s="44"/>
      <c r="HX49" s="44"/>
      <c r="HY49" s="44"/>
      <c r="HZ49" s="44"/>
      <c r="IA49" s="44"/>
      <c r="IB49" s="44"/>
      <c r="IC49" s="44"/>
      <c r="ID49" s="44"/>
      <c r="IE49" s="44"/>
      <c r="IF49" s="44"/>
      <c r="IG49" s="44"/>
      <c r="IH49" s="44"/>
      <c r="II49" s="44"/>
      <c r="IJ49" s="44"/>
      <c r="IK49" s="44"/>
      <c r="IL49" s="44"/>
      <c r="IM49" s="44"/>
      <c r="IO49" s="39"/>
      <c r="IP49" s="44"/>
      <c r="IQ49" s="44"/>
      <c r="IR49" s="44"/>
      <c r="IS49" s="44"/>
      <c r="IT49" s="44"/>
      <c r="IU49" s="44"/>
      <c r="IV49" s="44"/>
      <c r="IW49" s="44"/>
      <c r="IX49" s="44"/>
      <c r="IY49" s="44"/>
      <c r="IZ49" s="44"/>
      <c r="JA49" s="44"/>
      <c r="JB49" s="44"/>
      <c r="JC49" s="44"/>
      <c r="JD49" s="44"/>
      <c r="JE49" s="44"/>
      <c r="JF49" s="44"/>
      <c r="JG49" s="44"/>
      <c r="JH49" s="44"/>
      <c r="JI49" s="44"/>
      <c r="JJ49" s="44"/>
      <c r="JK49" s="44"/>
      <c r="JL49" s="44"/>
      <c r="JM49" s="44"/>
      <c r="JN49" s="44"/>
      <c r="JO49" s="44"/>
      <c r="JP49" s="44"/>
      <c r="JQ49" s="44"/>
      <c r="JR49" s="44"/>
      <c r="JS49" s="44"/>
      <c r="JT49" s="44"/>
      <c r="JU49" s="44"/>
      <c r="JV49" s="44"/>
      <c r="JW49" s="44"/>
      <c r="JX49" s="44"/>
      <c r="JY49" s="44"/>
      <c r="JZ49" s="44"/>
      <c r="KA49" s="44"/>
      <c r="KB49" s="44"/>
      <c r="KC49" s="44"/>
      <c r="KD49" s="44"/>
      <c r="KF49" s="45"/>
      <c r="KG49" s="45"/>
      <c r="KH49" s="45"/>
      <c r="KI49" s="45"/>
      <c r="KJ49" s="45"/>
      <c r="KK49" s="45"/>
      <c r="KL49" s="45"/>
      <c r="KM49" s="45"/>
      <c r="KN49" s="45"/>
      <c r="KO49" s="45"/>
      <c r="KP49" s="45"/>
      <c r="KQ49" s="45"/>
      <c r="KR49" s="45"/>
      <c r="KS49" s="45"/>
      <c r="KT49" s="45"/>
      <c r="KU49" s="45"/>
      <c r="KV49" s="45"/>
      <c r="KW49" s="45"/>
      <c r="KX49" s="45"/>
      <c r="KY49" s="45"/>
      <c r="KZ49" s="45"/>
      <c r="LA49" s="45"/>
      <c r="LB49" s="45"/>
      <c r="LC49" s="45"/>
      <c r="LD49" s="45"/>
      <c r="LE49" s="45"/>
      <c r="LF49" s="45"/>
      <c r="LG49" s="45"/>
      <c r="LH49" s="45"/>
      <c r="LI49" s="45"/>
      <c r="LJ49" s="45"/>
      <c r="LK49" s="45"/>
      <c r="LL49" s="45"/>
      <c r="LM49" s="45"/>
      <c r="LN49" s="45"/>
      <c r="LO49" s="45"/>
      <c r="LP49" s="45"/>
      <c r="LQ49" s="45"/>
      <c r="LR49" s="45"/>
      <c r="LS49" s="45"/>
      <c r="LT49" s="45"/>
      <c r="MA49" s="46"/>
      <c r="MB49" s="46"/>
      <c r="MC49" s="46"/>
      <c r="MD49" s="46"/>
      <c r="ME49" s="46"/>
      <c r="MF49" s="46"/>
      <c r="MG49" s="46"/>
      <c r="MH49" s="46"/>
      <c r="MI49" s="46"/>
      <c r="MJ49" s="46"/>
      <c r="MK49" s="46"/>
      <c r="ML49" s="46"/>
      <c r="MM49" s="46"/>
      <c r="MN49" s="46"/>
      <c r="MO49" s="46"/>
      <c r="MP49" s="46"/>
      <c r="MQ49" s="46"/>
      <c r="MR49" s="46"/>
      <c r="MS49" s="46"/>
      <c r="MT49" s="46"/>
      <c r="MU49" s="46"/>
      <c r="MV49" s="46"/>
      <c r="MW49" s="46"/>
      <c r="MX49" s="46"/>
      <c r="MY49" s="46"/>
      <c r="MZ49" s="46"/>
      <c r="NA49" s="46"/>
      <c r="NB49" s="46"/>
      <c r="NC49" s="46"/>
      <c r="ND49" s="46"/>
      <c r="NE49" s="46"/>
      <c r="NF49" s="46"/>
      <c r="NG49" s="46"/>
      <c r="NH49" s="46"/>
      <c r="NI49" s="46"/>
      <c r="NJ49" s="46"/>
      <c r="NK49" s="46"/>
      <c r="NL49" s="46"/>
      <c r="NM49" s="46"/>
      <c r="NN49" s="46"/>
      <c r="NO49" s="46"/>
      <c r="NP49" s="47"/>
      <c r="NQ49" s="47"/>
      <c r="NR49" s="47"/>
      <c r="NS49" s="47"/>
      <c r="NT49" s="47"/>
      <c r="NU49" s="47"/>
      <c r="NV49" s="47"/>
      <c r="NW49" s="47"/>
      <c r="NX49" s="47"/>
      <c r="NY49" s="47"/>
      <c r="NZ49" s="47"/>
    </row>
    <row r="50" spans="1:390" s="28" customFormat="1" ht="13.8" x14ac:dyDescent="0.3">
      <c r="A50" s="57"/>
      <c r="B50" s="57"/>
      <c r="C50" s="62"/>
      <c r="D50" s="57"/>
      <c r="E50" s="63"/>
      <c r="F50" s="129" t="s">
        <v>119</v>
      </c>
      <c r="G50" s="129"/>
      <c r="M50" s="11"/>
      <c r="N50" s="11"/>
      <c r="O50" s="11"/>
      <c r="P50" s="11"/>
      <c r="Q50" s="11"/>
      <c r="R50" s="12"/>
      <c r="S50" s="12"/>
      <c r="W50" s="40">
        <f t="shared" si="2"/>
        <v>0.16875000000000012</v>
      </c>
      <c r="X50" s="28">
        <f>(W50-G21)*C35/G26</f>
        <v>-16333.682764104764</v>
      </c>
      <c r="AB50" s="40">
        <f t="shared" si="3"/>
        <v>0.16875000000000012</v>
      </c>
      <c r="AC50" s="28">
        <f>(AB50-G20)*C36/J26</f>
        <v>71708.851159484329</v>
      </c>
      <c r="AI50" s="5"/>
      <c r="AJ50" s="5"/>
      <c r="AK50" s="5"/>
      <c r="AL50" s="5"/>
      <c r="AM50" s="5"/>
      <c r="AN50" s="42">
        <f>AN49-AN38/20</f>
        <v>0.15000000000000013</v>
      </c>
      <c r="AO50" s="42">
        <f t="shared" si="5"/>
        <v>7.5000000000000067E-2</v>
      </c>
      <c r="AP50" s="42">
        <f>(AL17-AO50)</f>
        <v>0.29999999999999993</v>
      </c>
      <c r="AQ50" s="42">
        <f>AN50*AL18</f>
        <v>0</v>
      </c>
      <c r="AR50" s="43" t="e">
        <f>C34*(AQ50*AP50)/(AL19*AL18)</f>
        <v>#DIV/0!</v>
      </c>
      <c r="AS50" s="5"/>
      <c r="AT50" s="5"/>
      <c r="AU50" s="5"/>
      <c r="AV50" s="5"/>
      <c r="AW50" s="5"/>
      <c r="AX50" s="5"/>
      <c r="AY50" s="42">
        <f>AY49-AY38/20</f>
        <v>0.15000000000000013</v>
      </c>
      <c r="AZ50" s="42">
        <f t="shared" si="6"/>
        <v>7.5000000000000067E-2</v>
      </c>
      <c r="BA50" s="42">
        <f>(AW17-AZ50)</f>
        <v>0.29999999999999993</v>
      </c>
      <c r="BB50" s="42">
        <f>AY50*AW18</f>
        <v>5.625000000000005E-2</v>
      </c>
      <c r="BC50" s="43">
        <f>C33*(BB50*BA50)/(AW19*AW18)</f>
        <v>1448.6636597875638</v>
      </c>
      <c r="BD50" s="44"/>
      <c r="BE50" s="5"/>
      <c r="BF50" s="18">
        <v>4</v>
      </c>
      <c r="BG50" s="72">
        <f>BG48</f>
        <v>0</v>
      </c>
      <c r="BH50" s="72">
        <v>0</v>
      </c>
      <c r="BI50" s="72">
        <f>BI48</f>
        <v>1471.2990294717436</v>
      </c>
      <c r="BJ50" s="72">
        <f>BH49</f>
        <v>24144.394329792718</v>
      </c>
      <c r="BK50" s="72">
        <f t="shared" si="7"/>
        <v>0</v>
      </c>
      <c r="BL50" s="72">
        <v>0</v>
      </c>
      <c r="BM50" s="72">
        <f t="shared" si="8"/>
        <v>25615.69335926446</v>
      </c>
      <c r="BN50" s="5"/>
      <c r="BO50" s="77">
        <f t="shared" si="9"/>
        <v>144167.24140054017</v>
      </c>
      <c r="BP50" s="44"/>
      <c r="BQ50" s="44"/>
      <c r="BR50" s="44"/>
      <c r="BS50" s="44"/>
      <c r="BT50" s="44"/>
      <c r="BU50" s="44"/>
      <c r="BV50" s="44"/>
      <c r="BW50" s="44"/>
      <c r="BX50" s="44"/>
      <c r="BY50" s="44"/>
      <c r="CA50" s="39"/>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P50" s="39"/>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G50" s="39"/>
      <c r="FH50" s="44"/>
      <c r="FI50" s="44"/>
      <c r="FJ50" s="44"/>
      <c r="FK50" s="44"/>
      <c r="FL50" s="44"/>
      <c r="FM50" s="44"/>
      <c r="FN50" s="44"/>
      <c r="FO50" s="44"/>
      <c r="FP50" s="44"/>
      <c r="FQ50" s="44"/>
      <c r="FR50" s="44"/>
      <c r="FS50" s="44"/>
      <c r="FT50" s="44"/>
      <c r="FU50" s="44"/>
      <c r="FV50" s="44"/>
      <c r="FW50" s="44"/>
      <c r="FX50" s="44"/>
      <c r="FY50" s="44"/>
      <c r="FZ50" s="44"/>
      <c r="GA50" s="44"/>
      <c r="GB50" s="44"/>
      <c r="GC50" s="44"/>
      <c r="GD50" s="44"/>
      <c r="GE50" s="44"/>
      <c r="GF50" s="44"/>
      <c r="GG50" s="44"/>
      <c r="GH50" s="44"/>
      <c r="GI50" s="44"/>
      <c r="GJ50" s="44"/>
      <c r="GK50" s="44"/>
      <c r="GL50" s="44"/>
      <c r="GM50" s="44"/>
      <c r="GN50" s="44"/>
      <c r="GO50" s="44"/>
      <c r="GP50" s="44"/>
      <c r="GQ50" s="44"/>
      <c r="GR50" s="44"/>
      <c r="GS50" s="44"/>
      <c r="GT50" s="44"/>
      <c r="GU50" s="44"/>
      <c r="GV50" s="44"/>
      <c r="GX50" s="39"/>
      <c r="GY50" s="44"/>
      <c r="GZ50" s="44"/>
      <c r="HA50" s="44"/>
      <c r="HB50" s="44"/>
      <c r="HC50" s="44"/>
      <c r="HD50" s="44"/>
      <c r="HE50" s="44"/>
      <c r="HF50" s="44"/>
      <c r="HG50" s="44"/>
      <c r="HH50" s="44"/>
      <c r="HI50" s="44"/>
      <c r="HJ50" s="44"/>
      <c r="HK50" s="44"/>
      <c r="HL50" s="44"/>
      <c r="HM50" s="44"/>
      <c r="HN50" s="44"/>
      <c r="HO50" s="44"/>
      <c r="HP50" s="44"/>
      <c r="HQ50" s="44"/>
      <c r="HR50" s="44"/>
      <c r="HS50" s="44"/>
      <c r="HT50" s="44"/>
      <c r="HU50" s="44"/>
      <c r="HV50" s="44"/>
      <c r="HW50" s="44"/>
      <c r="HX50" s="44"/>
      <c r="HY50" s="44"/>
      <c r="HZ50" s="44"/>
      <c r="IA50" s="44"/>
      <c r="IB50" s="44"/>
      <c r="IC50" s="44"/>
      <c r="ID50" s="44"/>
      <c r="IE50" s="44"/>
      <c r="IF50" s="44"/>
      <c r="IG50" s="44"/>
      <c r="IH50" s="44"/>
      <c r="II50" s="44"/>
      <c r="IJ50" s="44"/>
      <c r="IK50" s="44"/>
      <c r="IL50" s="44"/>
      <c r="IM50" s="44"/>
      <c r="IO50" s="39"/>
      <c r="IP50" s="44"/>
      <c r="IQ50" s="44"/>
      <c r="IR50" s="44"/>
      <c r="IS50" s="44"/>
      <c r="IT50" s="44"/>
      <c r="IU50" s="44"/>
      <c r="IV50" s="44"/>
      <c r="IW50" s="44"/>
      <c r="IX50" s="44"/>
      <c r="IY50" s="44"/>
      <c r="IZ50" s="44"/>
      <c r="JA50" s="44"/>
      <c r="JB50" s="44"/>
      <c r="JC50" s="44"/>
      <c r="JD50" s="44"/>
      <c r="JE50" s="44"/>
      <c r="JF50" s="44"/>
      <c r="JG50" s="44"/>
      <c r="JH50" s="44"/>
      <c r="JI50" s="44"/>
      <c r="JJ50" s="44"/>
      <c r="JK50" s="44"/>
      <c r="JL50" s="44"/>
      <c r="JM50" s="44"/>
      <c r="JN50" s="44"/>
      <c r="JO50" s="44"/>
      <c r="JP50" s="44"/>
      <c r="JQ50" s="44"/>
      <c r="JR50" s="44"/>
      <c r="JS50" s="44"/>
      <c r="JT50" s="44"/>
      <c r="JU50" s="44"/>
      <c r="JV50" s="44"/>
      <c r="JW50" s="44"/>
      <c r="JX50" s="44"/>
      <c r="JY50" s="44"/>
      <c r="JZ50" s="44"/>
      <c r="KA50" s="44"/>
      <c r="KB50" s="44"/>
      <c r="KC50" s="44"/>
      <c r="KD50" s="44"/>
      <c r="KF50" s="45"/>
      <c r="KG50" s="45"/>
      <c r="KH50" s="45"/>
      <c r="KI50" s="45"/>
      <c r="KJ50" s="45"/>
      <c r="KK50" s="45"/>
      <c r="KL50" s="45"/>
      <c r="KM50" s="45"/>
      <c r="KN50" s="45"/>
      <c r="KO50" s="45"/>
      <c r="KP50" s="45"/>
      <c r="KQ50" s="45"/>
      <c r="KR50" s="45"/>
      <c r="KS50" s="45"/>
      <c r="KT50" s="45"/>
      <c r="KU50" s="45"/>
      <c r="KV50" s="45"/>
      <c r="KW50" s="45"/>
      <c r="KX50" s="45"/>
      <c r="KY50" s="45"/>
      <c r="KZ50" s="45"/>
      <c r="LA50" s="45"/>
      <c r="LB50" s="45"/>
      <c r="LC50" s="45"/>
      <c r="LD50" s="45"/>
      <c r="LE50" s="45"/>
      <c r="LF50" s="45"/>
      <c r="LG50" s="45"/>
      <c r="LH50" s="45"/>
      <c r="LI50" s="45"/>
      <c r="LJ50" s="45"/>
      <c r="LK50" s="45"/>
      <c r="LL50" s="45"/>
      <c r="LM50" s="45"/>
      <c r="LN50" s="45"/>
      <c r="LO50" s="45"/>
      <c r="LP50" s="45"/>
      <c r="LQ50" s="45"/>
      <c r="LR50" s="45"/>
      <c r="LS50" s="45"/>
      <c r="LT50" s="45"/>
      <c r="MA50" s="46"/>
      <c r="MB50" s="46"/>
      <c r="MC50" s="46"/>
      <c r="MD50" s="46"/>
      <c r="ME50" s="46"/>
      <c r="MF50" s="46"/>
      <c r="MG50" s="46"/>
      <c r="MH50" s="46"/>
      <c r="MI50" s="46"/>
      <c r="MJ50" s="46"/>
      <c r="MK50" s="46"/>
      <c r="ML50" s="46"/>
      <c r="MM50" s="46"/>
      <c r="MN50" s="46"/>
      <c r="MO50" s="46"/>
      <c r="MP50" s="46"/>
      <c r="MQ50" s="46"/>
      <c r="MR50" s="46"/>
      <c r="MS50" s="46"/>
      <c r="MT50" s="46"/>
      <c r="MU50" s="46"/>
      <c r="MV50" s="46"/>
      <c r="MW50" s="46"/>
      <c r="MX50" s="46"/>
      <c r="MY50" s="46"/>
      <c r="MZ50" s="46"/>
      <c r="NA50" s="46"/>
      <c r="NB50" s="46"/>
      <c r="NC50" s="46"/>
      <c r="ND50" s="46"/>
      <c r="NE50" s="46"/>
      <c r="NF50" s="46"/>
      <c r="NG50" s="46"/>
      <c r="NH50" s="46"/>
      <c r="NI50" s="46"/>
      <c r="NJ50" s="46"/>
      <c r="NK50" s="46"/>
      <c r="NL50" s="46"/>
      <c r="NM50" s="46"/>
      <c r="NN50" s="46"/>
      <c r="NO50" s="46"/>
      <c r="NP50" s="47"/>
      <c r="NQ50" s="47"/>
      <c r="NR50" s="47"/>
      <c r="NS50" s="47"/>
      <c r="NT50" s="47"/>
      <c r="NU50" s="47"/>
      <c r="NV50" s="47"/>
      <c r="NW50" s="47"/>
      <c r="NX50" s="47"/>
      <c r="NY50" s="47"/>
      <c r="NZ50" s="47"/>
    </row>
    <row r="51" spans="1:390" s="28" customFormat="1" ht="13.8" x14ac:dyDescent="0.3">
      <c r="A51" s="57"/>
      <c r="B51" s="57"/>
      <c r="C51" s="62"/>
      <c r="D51" s="57"/>
      <c r="E51" s="63"/>
      <c r="F51" s="129"/>
      <c r="G51" s="129"/>
      <c r="M51" s="11"/>
      <c r="N51" s="11"/>
      <c r="O51" s="11"/>
      <c r="P51" s="11"/>
      <c r="Q51" s="11"/>
      <c r="R51" s="12"/>
      <c r="S51" s="12"/>
      <c r="W51" s="40">
        <f t="shared" si="2"/>
        <v>0.15000000000000013</v>
      </c>
      <c r="X51" s="28">
        <f>(W51-G21)*C35/G26</f>
        <v>-17818.563015387015</v>
      </c>
      <c r="AB51" s="40">
        <f t="shared" si="3"/>
        <v>0.15000000000000013</v>
      </c>
      <c r="AC51" s="28">
        <f>(AB51-G20)*C36/J26</f>
        <v>78227.837628528359</v>
      </c>
      <c r="AI51" s="5"/>
      <c r="AJ51" s="5"/>
      <c r="AK51" s="5"/>
      <c r="AL51" s="5"/>
      <c r="AM51" s="5"/>
      <c r="AN51" s="42">
        <f>AN50-AN38/20</f>
        <v>0.13125000000000014</v>
      </c>
      <c r="AO51" s="42">
        <f t="shared" si="5"/>
        <v>6.5625000000000072E-2</v>
      </c>
      <c r="AP51" s="42">
        <f>(AL17-AO51)</f>
        <v>0.30937499999999996</v>
      </c>
      <c r="AQ51" s="42">
        <f>AN51*AL18</f>
        <v>0</v>
      </c>
      <c r="AR51" s="43" t="e">
        <f>C34*(AQ51*AP51)/(AL19*AL18)</f>
        <v>#DIV/0!</v>
      </c>
      <c r="AS51" s="5"/>
      <c r="AT51" s="5"/>
      <c r="AU51" s="5"/>
      <c r="AV51" s="5"/>
      <c r="AW51" s="5"/>
      <c r="AX51" s="5"/>
      <c r="AY51" s="42">
        <f>AY50-AY38/20</f>
        <v>0.13125000000000014</v>
      </c>
      <c r="AZ51" s="42">
        <f t="shared" si="6"/>
        <v>6.5625000000000072E-2</v>
      </c>
      <c r="BA51" s="42">
        <f>(AW17-AZ51)</f>
        <v>0.30937499999999996</v>
      </c>
      <c r="BB51" s="42">
        <f>AY51*AW18</f>
        <v>4.9218750000000054E-2</v>
      </c>
      <c r="BC51" s="43">
        <f>C33*(BB51*BA51)/(AW19*AW18)</f>
        <v>1307.1925992614349</v>
      </c>
      <c r="BD51" s="44"/>
      <c r="BE51" s="5"/>
      <c r="BF51" s="18"/>
      <c r="BG51" s="43"/>
      <c r="BH51" s="18"/>
      <c r="BI51" s="43"/>
      <c r="BJ51" s="18"/>
      <c r="BK51" s="18"/>
      <c r="BL51" s="18"/>
      <c r="BM51" s="18"/>
      <c r="BN51" s="5"/>
      <c r="BO51" s="77">
        <f t="shared" si="9"/>
        <v>0</v>
      </c>
      <c r="BP51" s="44"/>
      <c r="BQ51" s="44"/>
      <c r="BR51" s="44"/>
      <c r="BS51" s="44"/>
      <c r="BT51" s="44"/>
      <c r="BU51" s="44"/>
      <c r="BV51" s="44"/>
      <c r="BW51" s="44"/>
      <c r="BX51" s="44"/>
      <c r="BY51" s="44"/>
      <c r="CA51" s="39"/>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P51" s="39"/>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G51" s="39"/>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X51" s="39"/>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O51" s="39"/>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F51" s="45"/>
      <c r="KG51" s="45"/>
      <c r="KH51" s="45"/>
      <c r="KI51" s="45"/>
      <c r="KJ51" s="45"/>
      <c r="KK51" s="45"/>
      <c r="KL51" s="45"/>
      <c r="KM51" s="45"/>
      <c r="KN51" s="45"/>
      <c r="KO51" s="45"/>
      <c r="KP51" s="45"/>
      <c r="KQ51" s="45"/>
      <c r="KR51" s="45"/>
      <c r="KS51" s="45"/>
      <c r="KT51" s="45"/>
      <c r="KU51" s="45"/>
      <c r="KV51" s="45"/>
      <c r="KW51" s="45"/>
      <c r="KX51" s="45"/>
      <c r="KY51" s="45"/>
      <c r="KZ51" s="45"/>
      <c r="LA51" s="45"/>
      <c r="LB51" s="45"/>
      <c r="LC51" s="45"/>
      <c r="LD51" s="45"/>
      <c r="LE51" s="45"/>
      <c r="LF51" s="45"/>
      <c r="LG51" s="45"/>
      <c r="LH51" s="45"/>
      <c r="LI51" s="45"/>
      <c r="LJ51" s="45"/>
      <c r="LK51" s="45"/>
      <c r="LL51" s="45"/>
      <c r="LM51" s="45"/>
      <c r="LN51" s="45"/>
      <c r="LO51" s="45"/>
      <c r="LP51" s="45"/>
      <c r="LQ51" s="45"/>
      <c r="LR51" s="45"/>
      <c r="LS51" s="45"/>
      <c r="LT51" s="45"/>
      <c r="MA51" s="46"/>
      <c r="MB51" s="46"/>
      <c r="MC51" s="46"/>
      <c r="MD51" s="46"/>
      <c r="ME51" s="46"/>
      <c r="MF51" s="46"/>
      <c r="MG51" s="46"/>
      <c r="MH51" s="46"/>
      <c r="MI51" s="46"/>
      <c r="MJ51" s="46"/>
      <c r="MK51" s="46"/>
      <c r="ML51" s="46"/>
      <c r="MM51" s="46"/>
      <c r="MN51" s="46"/>
      <c r="MO51" s="46"/>
      <c r="MP51" s="46"/>
      <c r="MQ51" s="46"/>
      <c r="MR51" s="46"/>
      <c r="MS51" s="46"/>
      <c r="MT51" s="46"/>
      <c r="MU51" s="46"/>
      <c r="MV51" s="46"/>
      <c r="MW51" s="46"/>
      <c r="MX51" s="46"/>
      <c r="MY51" s="46"/>
      <c r="MZ51" s="46"/>
      <c r="NA51" s="46"/>
      <c r="NB51" s="46"/>
      <c r="NC51" s="46"/>
      <c r="ND51" s="46"/>
      <c r="NE51" s="46"/>
      <c r="NF51" s="46"/>
      <c r="NG51" s="46"/>
      <c r="NH51" s="46"/>
      <c r="NI51" s="46"/>
      <c r="NJ51" s="46"/>
      <c r="NK51" s="46"/>
      <c r="NL51" s="46"/>
      <c r="NM51" s="46"/>
      <c r="NN51" s="46"/>
      <c r="NO51" s="46"/>
      <c r="NP51" s="47"/>
      <c r="NQ51" s="47"/>
      <c r="NR51" s="47"/>
      <c r="NS51" s="47"/>
      <c r="NT51" s="47"/>
      <c r="NU51" s="47"/>
      <c r="NV51" s="47"/>
      <c r="NW51" s="47"/>
      <c r="NX51" s="47"/>
      <c r="NY51" s="47"/>
      <c r="NZ51" s="47"/>
    </row>
    <row r="52" spans="1:390" s="28" customFormat="1" ht="13.8" x14ac:dyDescent="0.3">
      <c r="A52" s="57"/>
      <c r="B52" s="57"/>
      <c r="C52" s="62"/>
      <c r="D52" s="57"/>
      <c r="E52" s="63"/>
      <c r="F52" s="67">
        <f>MIN(BM21:BM29)</f>
        <v>-137170.34028613486</v>
      </c>
      <c r="G52" s="47" t="s">
        <v>78</v>
      </c>
      <c r="M52" s="11"/>
      <c r="N52" s="11"/>
      <c r="O52" s="11"/>
      <c r="P52" s="11"/>
      <c r="Q52" s="11"/>
      <c r="R52" s="12"/>
      <c r="S52" s="12"/>
      <c r="W52" s="40">
        <f t="shared" si="2"/>
        <v>0.13125000000000014</v>
      </c>
      <c r="X52" s="28">
        <f>(W52-G21)*C35/G26</f>
        <v>-19303.443266669266</v>
      </c>
      <c r="AB52" s="40">
        <f t="shared" si="3"/>
        <v>0.13125000000000014</v>
      </c>
      <c r="AC52" s="28">
        <f>(AB52-G20)*C36/J26</f>
        <v>84746.824097572389</v>
      </c>
      <c r="AI52" s="5"/>
      <c r="AJ52" s="5"/>
      <c r="AK52" s="5"/>
      <c r="AL52" s="5"/>
      <c r="AM52" s="5"/>
      <c r="AN52" s="42">
        <f>AN51-AN38/20</f>
        <v>0.11250000000000014</v>
      </c>
      <c r="AO52" s="42">
        <f t="shared" si="5"/>
        <v>5.6250000000000071E-2</v>
      </c>
      <c r="AP52" s="42">
        <f>(AL17-AO52)</f>
        <v>0.31874999999999992</v>
      </c>
      <c r="AQ52" s="42">
        <f>AN52*AL18</f>
        <v>0</v>
      </c>
      <c r="AR52" s="43" t="e">
        <f>C34*(AQ52*AP52)/(AL19*AL18)</f>
        <v>#DIV/0!</v>
      </c>
      <c r="AS52" s="5"/>
      <c r="AT52" s="5"/>
      <c r="AU52" s="5"/>
      <c r="AV52" s="5"/>
      <c r="AW52" s="5"/>
      <c r="AX52" s="5"/>
      <c r="AY52" s="42">
        <f>AY51-AY38/20</f>
        <v>0.11250000000000014</v>
      </c>
      <c r="AZ52" s="42">
        <f t="shared" si="6"/>
        <v>5.6250000000000071E-2</v>
      </c>
      <c r="BA52" s="42">
        <f>(AW17-AZ52)</f>
        <v>0.31874999999999992</v>
      </c>
      <c r="BB52" s="42">
        <f>AY52*AW18</f>
        <v>4.2187500000000051E-2</v>
      </c>
      <c r="BC52" s="43">
        <f>C33*(BB52*BA52)/(AW19*AW18)</f>
        <v>1154.4038538932155</v>
      </c>
      <c r="BD52" s="44"/>
      <c r="BE52" s="5"/>
      <c r="BF52" s="18"/>
      <c r="BG52" s="18"/>
      <c r="BH52" s="18"/>
      <c r="BI52" s="43"/>
      <c r="BJ52" s="18"/>
      <c r="BK52" s="18"/>
      <c r="BL52" s="18"/>
      <c r="BM52" s="18"/>
      <c r="BN52" s="5"/>
      <c r="BO52" s="77">
        <f t="shared" si="9"/>
        <v>0</v>
      </c>
      <c r="BP52" s="44"/>
      <c r="BQ52" s="44"/>
      <c r="BR52" s="44"/>
      <c r="BS52" s="44"/>
      <c r="BT52" s="44"/>
      <c r="BU52" s="44"/>
      <c r="BV52" s="44"/>
      <c r="BW52" s="44"/>
      <c r="BX52" s="44"/>
      <c r="BY52" s="44"/>
      <c r="CA52" s="39"/>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P52" s="39"/>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G52" s="39"/>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X52" s="39"/>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O52" s="39"/>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c r="JY52" s="44"/>
      <c r="JZ52" s="44"/>
      <c r="KA52" s="44"/>
      <c r="KB52" s="44"/>
      <c r="KC52" s="44"/>
      <c r="KD52" s="44"/>
      <c r="KF52" s="45"/>
      <c r="KG52" s="45"/>
      <c r="KH52" s="45"/>
      <c r="KI52" s="45"/>
      <c r="KJ52" s="45"/>
      <c r="KK52" s="45"/>
      <c r="KL52" s="45"/>
      <c r="KM52" s="45"/>
      <c r="KN52" s="45"/>
      <c r="KO52" s="45"/>
      <c r="KP52" s="45"/>
      <c r="KQ52" s="45"/>
      <c r="KR52" s="45"/>
      <c r="KS52" s="45"/>
      <c r="KT52" s="45"/>
      <c r="KU52" s="45"/>
      <c r="KV52" s="45"/>
      <c r="KW52" s="45"/>
      <c r="KX52" s="45"/>
      <c r="KY52" s="45"/>
      <c r="KZ52" s="45"/>
      <c r="LA52" s="45"/>
      <c r="LB52" s="45"/>
      <c r="LC52" s="45"/>
      <c r="LD52" s="45"/>
      <c r="LE52" s="45"/>
      <c r="LF52" s="45"/>
      <c r="LG52" s="45"/>
      <c r="LH52" s="45"/>
      <c r="LI52" s="45"/>
      <c r="LJ52" s="45"/>
      <c r="LK52" s="45"/>
      <c r="LL52" s="45"/>
      <c r="LM52" s="45"/>
      <c r="LN52" s="45"/>
      <c r="LO52" s="45"/>
      <c r="LP52" s="45"/>
      <c r="LQ52" s="45"/>
      <c r="LR52" s="45"/>
      <c r="LS52" s="45"/>
      <c r="LT52" s="45"/>
      <c r="MA52" s="46"/>
      <c r="MB52" s="46"/>
      <c r="MC52" s="46"/>
      <c r="MD52" s="46"/>
      <c r="ME52" s="46"/>
      <c r="MF52" s="46"/>
      <c r="MG52" s="46"/>
      <c r="MH52" s="46"/>
      <c r="MI52" s="46"/>
      <c r="MJ52" s="46"/>
      <c r="MK52" s="46"/>
      <c r="ML52" s="46"/>
      <c r="MM52" s="46"/>
      <c r="MN52" s="46"/>
      <c r="MO52" s="46"/>
      <c r="MP52" s="46"/>
      <c r="MQ52" s="46"/>
      <c r="MR52" s="46"/>
      <c r="MS52" s="46"/>
      <c r="MT52" s="46"/>
      <c r="MU52" s="46"/>
      <c r="MV52" s="46"/>
      <c r="MW52" s="46"/>
      <c r="MX52" s="46"/>
      <c r="MY52" s="46"/>
      <c r="MZ52" s="46"/>
      <c r="NA52" s="46"/>
      <c r="NB52" s="46"/>
      <c r="NC52" s="46"/>
      <c r="ND52" s="46"/>
      <c r="NE52" s="46"/>
      <c r="NF52" s="46"/>
      <c r="NG52" s="46"/>
      <c r="NH52" s="46"/>
      <c r="NI52" s="46"/>
      <c r="NJ52" s="46"/>
      <c r="NK52" s="46"/>
      <c r="NL52" s="46"/>
      <c r="NM52" s="46"/>
      <c r="NN52" s="46"/>
      <c r="NO52" s="46"/>
      <c r="NP52" s="47"/>
      <c r="NQ52" s="47"/>
      <c r="NR52" s="47"/>
      <c r="NS52" s="47"/>
      <c r="NT52" s="47"/>
      <c r="NU52" s="47"/>
      <c r="NV52" s="47"/>
      <c r="NW52" s="47"/>
      <c r="NX52" s="47"/>
      <c r="NY52" s="47"/>
      <c r="NZ52" s="47"/>
    </row>
    <row r="53" spans="1:390" s="28" customFormat="1" ht="13.8" x14ac:dyDescent="0.3">
      <c r="A53" s="57"/>
      <c r="B53" s="57"/>
      <c r="C53" s="62"/>
      <c r="D53" s="57"/>
      <c r="E53" s="63"/>
      <c r="M53" s="11"/>
      <c r="N53" s="11"/>
      <c r="O53" s="11"/>
      <c r="P53" s="11"/>
      <c r="Q53" s="11"/>
      <c r="R53" s="12"/>
      <c r="S53" s="12"/>
      <c r="W53" s="40">
        <f t="shared" si="2"/>
        <v>0.11250000000000014</v>
      </c>
      <c r="X53" s="28">
        <f>(W53-G21)*C35/G26</f>
        <v>-20788.323517951518</v>
      </c>
      <c r="AB53" s="40">
        <f t="shared" si="3"/>
        <v>0.11250000000000014</v>
      </c>
      <c r="AC53" s="28">
        <f>(AB53-G20)*C36/J26</f>
        <v>91265.810566616405</v>
      </c>
      <c r="AI53" s="5"/>
      <c r="AJ53" s="5"/>
      <c r="AK53" s="5"/>
      <c r="AL53" s="5"/>
      <c r="AM53" s="5"/>
      <c r="AN53" s="42">
        <f>AN52-AN38/20</f>
        <v>9.3750000000000139E-2</v>
      </c>
      <c r="AO53" s="42">
        <f t="shared" si="5"/>
        <v>4.6875000000000069E-2</v>
      </c>
      <c r="AP53" s="42">
        <f>(AL17-AO53)</f>
        <v>0.32812499999999994</v>
      </c>
      <c r="AQ53" s="42">
        <f>AN53*AL18</f>
        <v>0</v>
      </c>
      <c r="AR53" s="43" t="e">
        <f>C34*(AQ53*AP53)/(AL19*AL18)</f>
        <v>#DIV/0!</v>
      </c>
      <c r="AS53" s="5"/>
      <c r="AT53" s="5"/>
      <c r="AU53" s="5"/>
      <c r="AV53" s="5"/>
      <c r="AW53" s="5"/>
      <c r="AX53" s="5"/>
      <c r="AY53" s="42">
        <f>AY52-AY38/20</f>
        <v>9.3750000000000139E-2</v>
      </c>
      <c r="AZ53" s="42">
        <f t="shared" si="6"/>
        <v>4.6875000000000069E-2</v>
      </c>
      <c r="BA53" s="42">
        <f>(AW17-AZ53)</f>
        <v>0.32812499999999994</v>
      </c>
      <c r="BB53" s="42">
        <f>AY53*AW18</f>
        <v>3.5156250000000056E-2</v>
      </c>
      <c r="BC53" s="43">
        <f>C33*(BB53*BA53)/(AW19*AW18)</f>
        <v>990.29742368290567</v>
      </c>
      <c r="BD53" s="44"/>
      <c r="BE53" s="5"/>
      <c r="BF53" s="18"/>
      <c r="BG53" s="18"/>
      <c r="BH53" s="18"/>
      <c r="BI53" s="18"/>
      <c r="BJ53" s="18"/>
      <c r="BK53" s="18"/>
      <c r="BL53" s="18"/>
      <c r="BM53" s="18"/>
      <c r="BN53" s="5"/>
      <c r="BO53" s="77">
        <f t="shared" si="9"/>
        <v>0</v>
      </c>
      <c r="BP53" s="44"/>
      <c r="BQ53" s="44"/>
      <c r="BR53" s="44"/>
      <c r="BS53" s="44"/>
      <c r="BT53" s="44"/>
      <c r="BU53" s="44"/>
      <c r="BV53" s="44"/>
      <c r="BW53" s="44"/>
      <c r="BX53" s="44"/>
      <c r="BY53" s="44"/>
      <c r="CA53" s="39"/>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P53" s="39"/>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G53" s="39"/>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X53" s="39"/>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O53" s="39"/>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c r="JY53" s="44"/>
      <c r="JZ53" s="44"/>
      <c r="KA53" s="44"/>
      <c r="KB53" s="44"/>
      <c r="KC53" s="44"/>
      <c r="KD53" s="44"/>
      <c r="KF53" s="45"/>
      <c r="KG53" s="45"/>
      <c r="KH53" s="45"/>
      <c r="KI53" s="45"/>
      <c r="KJ53" s="45"/>
      <c r="KK53" s="45"/>
      <c r="KL53" s="45"/>
      <c r="KM53" s="45"/>
      <c r="KN53" s="45"/>
      <c r="KO53" s="45"/>
      <c r="KP53" s="45"/>
      <c r="KQ53" s="45"/>
      <c r="KR53" s="45"/>
      <c r="KS53" s="45"/>
      <c r="KT53" s="45"/>
      <c r="KU53" s="45"/>
      <c r="KV53" s="45"/>
      <c r="KW53" s="45"/>
      <c r="KX53" s="45"/>
      <c r="KY53" s="45"/>
      <c r="KZ53" s="45"/>
      <c r="LA53" s="45"/>
      <c r="LB53" s="45"/>
      <c r="LC53" s="45"/>
      <c r="LD53" s="45"/>
      <c r="LE53" s="45"/>
      <c r="LF53" s="45"/>
      <c r="LG53" s="45"/>
      <c r="LH53" s="45"/>
      <c r="LI53" s="45"/>
      <c r="LJ53" s="45"/>
      <c r="LK53" s="45"/>
      <c r="LL53" s="45"/>
      <c r="LM53" s="45"/>
      <c r="LN53" s="45"/>
      <c r="LO53" s="45"/>
      <c r="LP53" s="45"/>
      <c r="LQ53" s="45"/>
      <c r="LR53" s="45"/>
      <c r="LS53" s="45"/>
      <c r="LT53" s="45"/>
      <c r="MA53" s="46"/>
      <c r="MB53" s="46"/>
      <c r="MC53" s="46"/>
      <c r="MD53" s="46"/>
      <c r="ME53" s="46"/>
      <c r="MF53" s="46"/>
      <c r="MG53" s="46"/>
      <c r="MH53" s="46"/>
      <c r="MI53" s="46"/>
      <c r="MJ53" s="46"/>
      <c r="MK53" s="46"/>
      <c r="ML53" s="46"/>
      <c r="MM53" s="46"/>
      <c r="MN53" s="46"/>
      <c r="MO53" s="46"/>
      <c r="MP53" s="46"/>
      <c r="MQ53" s="46"/>
      <c r="MR53" s="46"/>
      <c r="MS53" s="46"/>
      <c r="MT53" s="46"/>
      <c r="MU53" s="46"/>
      <c r="MV53" s="46"/>
      <c r="MW53" s="46"/>
      <c r="MX53" s="46"/>
      <c r="MY53" s="46"/>
      <c r="MZ53" s="46"/>
      <c r="NA53" s="46"/>
      <c r="NB53" s="46"/>
      <c r="NC53" s="46"/>
      <c r="ND53" s="46"/>
      <c r="NE53" s="46"/>
      <c r="NF53" s="46"/>
      <c r="NG53" s="46"/>
      <c r="NH53" s="46"/>
      <c r="NI53" s="46"/>
      <c r="NJ53" s="46"/>
      <c r="NK53" s="46"/>
      <c r="NL53" s="46"/>
      <c r="NM53" s="46"/>
      <c r="NN53" s="46"/>
      <c r="NO53" s="46"/>
      <c r="NP53" s="47"/>
      <c r="NQ53" s="47"/>
      <c r="NR53" s="47"/>
      <c r="NS53" s="47"/>
      <c r="NT53" s="47"/>
      <c r="NU53" s="47"/>
      <c r="NV53" s="47"/>
      <c r="NW53" s="47"/>
      <c r="NX53" s="47"/>
      <c r="NY53" s="47"/>
      <c r="NZ53" s="47"/>
    </row>
    <row r="54" spans="1:390" s="28" customFormat="1" ht="13.8" x14ac:dyDescent="0.3">
      <c r="A54" s="57"/>
      <c r="B54" s="57"/>
      <c r="C54" s="62"/>
      <c r="D54" s="57"/>
      <c r="E54" s="63"/>
      <c r="M54" s="11"/>
      <c r="N54" s="11"/>
      <c r="O54" s="11"/>
      <c r="P54" s="11"/>
      <c r="Q54" s="11"/>
      <c r="R54" s="12"/>
      <c r="S54" s="12"/>
      <c r="W54" s="40">
        <f t="shared" si="2"/>
        <v>9.3750000000000139E-2</v>
      </c>
      <c r="X54" s="28">
        <f>(W54-G21)*C35/G26</f>
        <v>-22273.203769233773</v>
      </c>
      <c r="AB54" s="40">
        <f t="shared" si="3"/>
        <v>9.3750000000000139E-2</v>
      </c>
      <c r="AC54" s="28">
        <f>(AB54-G20)*C36/J26</f>
        <v>97784.797035660464</v>
      </c>
      <c r="AI54" s="5"/>
      <c r="AJ54" s="5"/>
      <c r="AK54" s="5"/>
      <c r="AL54" s="5"/>
      <c r="AM54" s="5"/>
      <c r="AN54" s="42">
        <f>AN53-AN38/20</f>
        <v>7.5000000000000136E-2</v>
      </c>
      <c r="AO54" s="42">
        <f t="shared" si="5"/>
        <v>3.7500000000000068E-2</v>
      </c>
      <c r="AP54" s="42">
        <f>(AL17-AO54)</f>
        <v>0.33749999999999991</v>
      </c>
      <c r="AQ54" s="42">
        <f>AN54*AL18</f>
        <v>0</v>
      </c>
      <c r="AR54" s="43" t="e">
        <f>C34*(AQ54*AP54)/(AL19*AL18)</f>
        <v>#DIV/0!</v>
      </c>
      <c r="AS54" s="5"/>
      <c r="AT54" s="5"/>
      <c r="AU54" s="5"/>
      <c r="AV54" s="5"/>
      <c r="AW54" s="5"/>
      <c r="AX54" s="5"/>
      <c r="AY54" s="42">
        <f>AY53-AY38/20</f>
        <v>7.5000000000000136E-2</v>
      </c>
      <c r="AZ54" s="42">
        <f t="shared" si="6"/>
        <v>3.7500000000000068E-2</v>
      </c>
      <c r="BA54" s="42">
        <f>(AW17-AZ54)</f>
        <v>0.33749999999999991</v>
      </c>
      <c r="BB54" s="42">
        <f>AY54*AW18</f>
        <v>2.8125000000000053E-2</v>
      </c>
      <c r="BC54" s="43">
        <f>C33*(BB54*BA54)/(AW19*AW18)</f>
        <v>814.87330863050533</v>
      </c>
      <c r="BD54" s="44"/>
      <c r="BE54" s="5"/>
      <c r="BF54" s="18"/>
      <c r="BG54" s="43"/>
      <c r="BH54" s="18"/>
      <c r="BI54" s="18"/>
      <c r="BJ54" s="18"/>
      <c r="BK54" s="18"/>
      <c r="BL54" s="18"/>
      <c r="BM54" s="18"/>
      <c r="BN54" s="5"/>
      <c r="BO54" s="77">
        <f t="shared" si="9"/>
        <v>0</v>
      </c>
      <c r="BP54" s="44"/>
      <c r="BQ54" s="44"/>
      <c r="BR54" s="44"/>
      <c r="BS54" s="44"/>
      <c r="BT54" s="44"/>
      <c r="BU54" s="44"/>
      <c r="BV54" s="44"/>
      <c r="BW54" s="44"/>
      <c r="BX54" s="44"/>
      <c r="BY54" s="44"/>
      <c r="CA54" s="39"/>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P54" s="39"/>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G54" s="39"/>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c r="GG54" s="44"/>
      <c r="GH54" s="44"/>
      <c r="GI54" s="44"/>
      <c r="GJ54" s="44"/>
      <c r="GK54" s="44"/>
      <c r="GL54" s="44"/>
      <c r="GM54" s="44"/>
      <c r="GN54" s="44"/>
      <c r="GO54" s="44"/>
      <c r="GP54" s="44"/>
      <c r="GQ54" s="44"/>
      <c r="GR54" s="44"/>
      <c r="GS54" s="44"/>
      <c r="GT54" s="44"/>
      <c r="GU54" s="44"/>
      <c r="GV54" s="44"/>
      <c r="GX54" s="39"/>
      <c r="GY54" s="44"/>
      <c r="GZ54" s="44"/>
      <c r="HA54" s="44"/>
      <c r="HB54" s="44"/>
      <c r="HC54" s="44"/>
      <c r="HD54" s="44"/>
      <c r="HE54" s="44"/>
      <c r="HF54" s="44"/>
      <c r="HG54" s="44"/>
      <c r="HH54" s="44"/>
      <c r="HI54" s="44"/>
      <c r="HJ54" s="44"/>
      <c r="HK54" s="44"/>
      <c r="HL54" s="44"/>
      <c r="HM54" s="44"/>
      <c r="HN54" s="44"/>
      <c r="HO54" s="44"/>
      <c r="HP54" s="44"/>
      <c r="HQ54" s="44"/>
      <c r="HR54" s="44"/>
      <c r="HS54" s="44"/>
      <c r="HT54" s="44"/>
      <c r="HU54" s="44"/>
      <c r="HV54" s="44"/>
      <c r="HW54" s="44"/>
      <c r="HX54" s="44"/>
      <c r="HY54" s="44"/>
      <c r="HZ54" s="44"/>
      <c r="IA54" s="44"/>
      <c r="IB54" s="44"/>
      <c r="IC54" s="44"/>
      <c r="ID54" s="44"/>
      <c r="IE54" s="44"/>
      <c r="IF54" s="44"/>
      <c r="IG54" s="44"/>
      <c r="IH54" s="44"/>
      <c r="II54" s="44"/>
      <c r="IJ54" s="44"/>
      <c r="IK54" s="44"/>
      <c r="IL54" s="44"/>
      <c r="IM54" s="44"/>
      <c r="IO54" s="39"/>
      <c r="IP54" s="44"/>
      <c r="IQ54" s="44"/>
      <c r="IR54" s="44"/>
      <c r="IS54" s="44"/>
      <c r="IT54" s="44"/>
      <c r="IU54" s="44"/>
      <c r="IV54" s="44"/>
      <c r="IW54" s="44"/>
      <c r="IX54" s="44"/>
      <c r="IY54" s="44"/>
      <c r="IZ54" s="44"/>
      <c r="JA54" s="44"/>
      <c r="JB54" s="44"/>
      <c r="JC54" s="44"/>
      <c r="JD54" s="44"/>
      <c r="JE54" s="44"/>
      <c r="JF54" s="44"/>
      <c r="JG54" s="44"/>
      <c r="JH54" s="44"/>
      <c r="JI54" s="44"/>
      <c r="JJ54" s="44"/>
      <c r="JK54" s="44"/>
      <c r="JL54" s="44"/>
      <c r="JM54" s="44"/>
      <c r="JN54" s="44"/>
      <c r="JO54" s="44"/>
      <c r="JP54" s="44"/>
      <c r="JQ54" s="44"/>
      <c r="JR54" s="44"/>
      <c r="JS54" s="44"/>
      <c r="JT54" s="44"/>
      <c r="JU54" s="44"/>
      <c r="JV54" s="44"/>
      <c r="JW54" s="44"/>
      <c r="JX54" s="44"/>
      <c r="JY54" s="44"/>
      <c r="JZ54" s="44"/>
      <c r="KA54" s="44"/>
      <c r="KB54" s="44"/>
      <c r="KC54" s="44"/>
      <c r="KD54" s="44"/>
      <c r="KF54" s="45"/>
      <c r="KG54" s="45"/>
      <c r="KH54" s="45"/>
      <c r="KI54" s="45"/>
      <c r="KJ54" s="45"/>
      <c r="KK54" s="45"/>
      <c r="KL54" s="45"/>
      <c r="KM54" s="45"/>
      <c r="KN54" s="45"/>
      <c r="KO54" s="45"/>
      <c r="KP54" s="45"/>
      <c r="KQ54" s="45"/>
      <c r="KR54" s="45"/>
      <c r="KS54" s="45"/>
      <c r="KT54" s="45"/>
      <c r="KU54" s="45"/>
      <c r="KV54" s="45"/>
      <c r="KW54" s="45"/>
      <c r="KX54" s="45"/>
      <c r="KY54" s="45"/>
      <c r="KZ54" s="45"/>
      <c r="LA54" s="45"/>
      <c r="LB54" s="45"/>
      <c r="LC54" s="45"/>
      <c r="LD54" s="45"/>
      <c r="LE54" s="45"/>
      <c r="LF54" s="45"/>
      <c r="LG54" s="45"/>
      <c r="LH54" s="45"/>
      <c r="LI54" s="45"/>
      <c r="LJ54" s="45"/>
      <c r="LK54" s="45"/>
      <c r="LL54" s="45"/>
      <c r="LM54" s="45"/>
      <c r="LN54" s="45"/>
      <c r="LO54" s="45"/>
      <c r="LP54" s="45"/>
      <c r="LQ54" s="45"/>
      <c r="LR54" s="45"/>
      <c r="LS54" s="45"/>
      <c r="LT54" s="45"/>
      <c r="MA54" s="46"/>
      <c r="MB54" s="46"/>
      <c r="MC54" s="46"/>
      <c r="MD54" s="46"/>
      <c r="ME54" s="46"/>
      <c r="MF54" s="46"/>
      <c r="MG54" s="46"/>
      <c r="MH54" s="46"/>
      <c r="MI54" s="46"/>
      <c r="MJ54" s="46"/>
      <c r="MK54" s="46"/>
      <c r="ML54" s="46"/>
      <c r="MM54" s="46"/>
      <c r="MN54" s="46"/>
      <c r="MO54" s="46"/>
      <c r="MP54" s="46"/>
      <c r="MQ54" s="46"/>
      <c r="MR54" s="46"/>
      <c r="MS54" s="46"/>
      <c r="MT54" s="46"/>
      <c r="MU54" s="46"/>
      <c r="MV54" s="46"/>
      <c r="MW54" s="46"/>
      <c r="MX54" s="46"/>
      <c r="MY54" s="46"/>
      <c r="MZ54" s="46"/>
      <c r="NA54" s="46"/>
      <c r="NB54" s="46"/>
      <c r="NC54" s="46"/>
      <c r="ND54" s="46"/>
      <c r="NE54" s="46"/>
      <c r="NF54" s="46"/>
      <c r="NG54" s="46"/>
      <c r="NH54" s="46"/>
      <c r="NI54" s="46"/>
      <c r="NJ54" s="46"/>
      <c r="NK54" s="46"/>
      <c r="NL54" s="46"/>
      <c r="NM54" s="46"/>
      <c r="NN54" s="46"/>
      <c r="NO54" s="46"/>
      <c r="NP54" s="47"/>
      <c r="NQ54" s="47"/>
      <c r="NR54" s="47"/>
      <c r="NS54" s="47"/>
      <c r="NT54" s="47"/>
      <c r="NU54" s="47"/>
      <c r="NV54" s="47"/>
      <c r="NW54" s="47"/>
      <c r="NX54" s="47"/>
      <c r="NY54" s="47"/>
      <c r="NZ54" s="47"/>
    </row>
    <row r="55" spans="1:390" s="28" customFormat="1" ht="13.8" x14ac:dyDescent="0.3">
      <c r="A55" s="59"/>
      <c r="B55" s="57"/>
      <c r="C55" s="60">
        <f>BO49</f>
        <v>56991.605711891505</v>
      </c>
      <c r="D55" s="57"/>
      <c r="E55" s="61"/>
      <c r="M55" s="11"/>
      <c r="N55" s="11"/>
      <c r="O55" s="11"/>
      <c r="P55" s="11"/>
      <c r="Q55" s="11"/>
      <c r="R55" s="12"/>
      <c r="S55" s="12"/>
      <c r="W55" s="40">
        <f t="shared" si="2"/>
        <v>7.5000000000000136E-2</v>
      </c>
      <c r="X55" s="28">
        <f>(W55-G21)*C35/G26</f>
        <v>-23758.084020516024</v>
      </c>
      <c r="AB55" s="40">
        <f t="shared" si="3"/>
        <v>7.5000000000000136E-2</v>
      </c>
      <c r="AC55" s="28">
        <f>(AB55-G20)*C36/J26</f>
        <v>104303.78350470449</v>
      </c>
      <c r="AI55" s="5"/>
      <c r="AJ55" s="5"/>
      <c r="AK55" s="5"/>
      <c r="AL55" s="5"/>
      <c r="AM55" s="5"/>
      <c r="AN55" s="42">
        <f>AN54-AN38/20</f>
        <v>5.6250000000000133E-2</v>
      </c>
      <c r="AO55" s="42">
        <f t="shared" si="5"/>
        <v>2.8125000000000067E-2</v>
      </c>
      <c r="AP55" s="42">
        <f>(AL17-AO55)</f>
        <v>0.34687499999999993</v>
      </c>
      <c r="AQ55" s="42">
        <f>AN55*AL18</f>
        <v>0</v>
      </c>
      <c r="AR55" s="43" t="e">
        <f>C34*(AQ55*AP55)/(AL19*AL18)</f>
        <v>#DIV/0!</v>
      </c>
      <c r="AS55" s="5"/>
      <c r="AT55" s="5"/>
      <c r="AU55" s="5"/>
      <c r="AV55" s="5"/>
      <c r="AW55" s="5"/>
      <c r="AX55" s="5"/>
      <c r="AY55" s="42">
        <f>AY54-AY38/20</f>
        <v>5.6250000000000133E-2</v>
      </c>
      <c r="AZ55" s="42">
        <f t="shared" si="6"/>
        <v>2.8125000000000067E-2</v>
      </c>
      <c r="BA55" s="42">
        <f>(AW17-AZ55)</f>
        <v>0.34687499999999993</v>
      </c>
      <c r="BB55" s="42">
        <f>AY55*AW18</f>
        <v>2.109375000000005E-2</v>
      </c>
      <c r="BC55" s="43">
        <f>C33*(BB55*BA55)/(AW19*AW18)</f>
        <v>628.13150873601501</v>
      </c>
      <c r="BD55" s="44"/>
      <c r="BE55" s="5"/>
      <c r="BF55" s="18"/>
      <c r="BG55" s="18"/>
      <c r="BH55" s="18"/>
      <c r="BI55" s="18"/>
      <c r="BJ55" s="18"/>
      <c r="BK55" s="18"/>
      <c r="BL55" s="18"/>
      <c r="BM55" s="18"/>
      <c r="BN55" s="5"/>
      <c r="BO55" s="77">
        <f t="shared" si="9"/>
        <v>0</v>
      </c>
      <c r="BP55" s="44"/>
      <c r="BQ55" s="44"/>
      <c r="BR55" s="44"/>
      <c r="BS55" s="44"/>
      <c r="BT55" s="44"/>
      <c r="BU55" s="44"/>
      <c r="BV55" s="44"/>
      <c r="BW55" s="44"/>
      <c r="BX55" s="44"/>
      <c r="BY55" s="44"/>
      <c r="CA55" s="39"/>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P55" s="39"/>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G55" s="39"/>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c r="GJ55" s="44"/>
      <c r="GK55" s="44"/>
      <c r="GL55" s="44"/>
      <c r="GM55" s="44"/>
      <c r="GN55" s="44"/>
      <c r="GO55" s="44"/>
      <c r="GP55" s="44"/>
      <c r="GQ55" s="44"/>
      <c r="GR55" s="44"/>
      <c r="GS55" s="44"/>
      <c r="GT55" s="44"/>
      <c r="GU55" s="44"/>
      <c r="GV55" s="44"/>
      <c r="GX55" s="39"/>
      <c r="GY55" s="44"/>
      <c r="GZ55" s="44"/>
      <c r="HA55" s="44"/>
      <c r="HB55" s="44"/>
      <c r="HC55" s="44"/>
      <c r="HD55" s="44"/>
      <c r="HE55" s="44"/>
      <c r="HF55" s="44"/>
      <c r="HG55" s="44"/>
      <c r="HH55" s="44"/>
      <c r="HI55" s="44"/>
      <c r="HJ55" s="44"/>
      <c r="HK55" s="44"/>
      <c r="HL55" s="44"/>
      <c r="HM55" s="44"/>
      <c r="HN55" s="44"/>
      <c r="HO55" s="44"/>
      <c r="HP55" s="44"/>
      <c r="HQ55" s="44"/>
      <c r="HR55" s="44"/>
      <c r="HS55" s="44"/>
      <c r="HT55" s="44"/>
      <c r="HU55" s="44"/>
      <c r="HV55" s="44"/>
      <c r="HW55" s="44"/>
      <c r="HX55" s="44"/>
      <c r="HY55" s="44"/>
      <c r="HZ55" s="44"/>
      <c r="IA55" s="44"/>
      <c r="IB55" s="44"/>
      <c r="IC55" s="44"/>
      <c r="ID55" s="44"/>
      <c r="IE55" s="44"/>
      <c r="IF55" s="44"/>
      <c r="IG55" s="44"/>
      <c r="IH55" s="44"/>
      <c r="II55" s="44"/>
      <c r="IJ55" s="44"/>
      <c r="IK55" s="44"/>
      <c r="IL55" s="44"/>
      <c r="IM55" s="44"/>
      <c r="IO55" s="39"/>
      <c r="IP55" s="44"/>
      <c r="IQ55" s="44"/>
      <c r="IR55" s="44"/>
      <c r="IS55" s="44"/>
      <c r="IT55" s="44"/>
      <c r="IU55" s="44"/>
      <c r="IV55" s="44"/>
      <c r="IW55" s="44"/>
      <c r="IX55" s="44"/>
      <c r="IY55" s="44"/>
      <c r="IZ55" s="44"/>
      <c r="JA55" s="44"/>
      <c r="JB55" s="44"/>
      <c r="JC55" s="44"/>
      <c r="JD55" s="44"/>
      <c r="JE55" s="44"/>
      <c r="JF55" s="44"/>
      <c r="JG55" s="44"/>
      <c r="JH55" s="44"/>
      <c r="JI55" s="44"/>
      <c r="JJ55" s="44"/>
      <c r="JK55" s="44"/>
      <c r="JL55" s="44"/>
      <c r="JM55" s="44"/>
      <c r="JN55" s="44"/>
      <c r="JO55" s="44"/>
      <c r="JP55" s="44"/>
      <c r="JQ55" s="44"/>
      <c r="JR55" s="44"/>
      <c r="JS55" s="44"/>
      <c r="JT55" s="44"/>
      <c r="JU55" s="44"/>
      <c r="JV55" s="44"/>
      <c r="JW55" s="44"/>
      <c r="JX55" s="44"/>
      <c r="JY55" s="44"/>
      <c r="JZ55" s="44"/>
      <c r="KA55" s="44"/>
      <c r="KB55" s="44"/>
      <c r="KC55" s="44"/>
      <c r="KD55" s="44"/>
      <c r="KF55" s="45"/>
      <c r="KG55" s="45"/>
      <c r="KH55" s="45"/>
      <c r="KI55" s="45"/>
      <c r="KJ55" s="45"/>
      <c r="KK55" s="45"/>
      <c r="KL55" s="45"/>
      <c r="KM55" s="45"/>
      <c r="KN55" s="45"/>
      <c r="KO55" s="45"/>
      <c r="KP55" s="45"/>
      <c r="KQ55" s="45"/>
      <c r="KR55" s="45"/>
      <c r="KS55" s="45"/>
      <c r="KT55" s="45"/>
      <c r="KU55" s="45"/>
      <c r="KV55" s="45"/>
      <c r="KW55" s="45"/>
      <c r="KX55" s="45"/>
      <c r="KY55" s="45"/>
      <c r="KZ55" s="45"/>
      <c r="LA55" s="45"/>
      <c r="LB55" s="45"/>
      <c r="LC55" s="45"/>
      <c r="LD55" s="45"/>
      <c r="LE55" s="45"/>
      <c r="LF55" s="45"/>
      <c r="LG55" s="45"/>
      <c r="LH55" s="45"/>
      <c r="LI55" s="45"/>
      <c r="LJ55" s="45"/>
      <c r="LK55" s="45"/>
      <c r="LL55" s="45"/>
      <c r="LM55" s="45"/>
      <c r="LN55" s="45"/>
      <c r="LO55" s="45"/>
      <c r="LP55" s="45"/>
      <c r="LQ55" s="45"/>
      <c r="LR55" s="45"/>
      <c r="LS55" s="45"/>
      <c r="LT55" s="45"/>
      <c r="MA55" s="46"/>
      <c r="MB55" s="46"/>
      <c r="MC55" s="46"/>
      <c r="MD55" s="46"/>
      <c r="ME55" s="46"/>
      <c r="MF55" s="46"/>
      <c r="MG55" s="46"/>
      <c r="MH55" s="46"/>
      <c r="MI55" s="46"/>
      <c r="MJ55" s="46"/>
      <c r="MK55" s="46"/>
      <c r="ML55" s="46"/>
      <c r="MM55" s="46"/>
      <c r="MN55" s="46"/>
      <c r="MO55" s="46"/>
      <c r="MP55" s="46"/>
      <c r="MQ55" s="46"/>
      <c r="MR55" s="46"/>
      <c r="MS55" s="46"/>
      <c r="MT55" s="46"/>
      <c r="MU55" s="46"/>
      <c r="MV55" s="46"/>
      <c r="MW55" s="46"/>
      <c r="MX55" s="46"/>
      <c r="MY55" s="46"/>
      <c r="MZ55" s="46"/>
      <c r="NA55" s="46"/>
      <c r="NB55" s="46"/>
      <c r="NC55" s="46"/>
      <c r="ND55" s="46"/>
      <c r="NE55" s="46"/>
      <c r="NF55" s="46"/>
      <c r="NG55" s="46"/>
      <c r="NH55" s="46"/>
      <c r="NI55" s="46"/>
      <c r="NJ55" s="46"/>
      <c r="NK55" s="46"/>
      <c r="NL55" s="46"/>
      <c r="NM55" s="46"/>
      <c r="NN55" s="46"/>
      <c r="NO55" s="46"/>
      <c r="NP55" s="47"/>
      <c r="NQ55" s="47"/>
      <c r="NR55" s="47"/>
      <c r="NS55" s="47"/>
      <c r="NT55" s="47"/>
      <c r="NU55" s="47"/>
      <c r="NV55" s="47"/>
      <c r="NW55" s="47"/>
      <c r="NX55" s="47"/>
      <c r="NY55" s="47"/>
      <c r="NZ55" s="47"/>
    </row>
    <row r="56" spans="1:390" s="28" customFormat="1" ht="13.8" x14ac:dyDescent="0.3">
      <c r="A56" s="57"/>
      <c r="B56" s="57"/>
      <c r="C56" s="62"/>
      <c r="D56" s="57"/>
      <c r="E56" s="63"/>
      <c r="M56" s="11"/>
      <c r="N56" s="11"/>
      <c r="O56" s="11"/>
      <c r="P56" s="11"/>
      <c r="Q56" s="11"/>
      <c r="R56" s="12"/>
      <c r="S56" s="12"/>
      <c r="W56" s="40">
        <f t="shared" si="2"/>
        <v>5.6250000000000133E-2</v>
      </c>
      <c r="X56" s="28">
        <f>(W56-G21)*C35/G26</f>
        <v>-25242.964271798275</v>
      </c>
      <c r="AB56" s="40">
        <f t="shared" si="3"/>
        <v>5.6250000000000133E-2</v>
      </c>
      <c r="AC56" s="28">
        <f>(AB56-G20)*C36/J26</f>
        <v>110822.76997374852</v>
      </c>
      <c r="AI56" s="5"/>
      <c r="AJ56" s="5"/>
      <c r="AK56" s="5"/>
      <c r="AL56" s="5"/>
      <c r="AM56" s="5"/>
      <c r="AN56" s="42">
        <f>AN55-AN38/20</f>
        <v>3.750000000000013E-2</v>
      </c>
      <c r="AO56" s="42">
        <f t="shared" si="5"/>
        <v>1.8750000000000065E-2</v>
      </c>
      <c r="AP56" s="42">
        <f>(AL17-AO56)</f>
        <v>0.35624999999999996</v>
      </c>
      <c r="AQ56" s="42">
        <f>AN56*AL18</f>
        <v>0</v>
      </c>
      <c r="AR56" s="43" t="e">
        <f>C34*(AQ56*AP56)/(AL19*AL18)</f>
        <v>#DIV/0!</v>
      </c>
      <c r="AS56" s="5"/>
      <c r="AT56" s="5"/>
      <c r="AU56" s="5"/>
      <c r="AV56" s="5"/>
      <c r="AW56" s="5"/>
      <c r="AX56" s="5"/>
      <c r="AY56" s="42">
        <f>AY55-AY38/20</f>
        <v>3.750000000000013E-2</v>
      </c>
      <c r="AZ56" s="42">
        <f t="shared" si="6"/>
        <v>1.8750000000000065E-2</v>
      </c>
      <c r="BA56" s="42">
        <f>(AW17-AZ56)</f>
        <v>0.35624999999999996</v>
      </c>
      <c r="BB56" s="42">
        <f>AY56*AW18</f>
        <v>1.4062500000000049E-2</v>
      </c>
      <c r="BC56" s="43">
        <f>C33*(BB56*BA56)/(AW19*AW18)</f>
        <v>430.07202399943412</v>
      </c>
      <c r="BD56" s="44"/>
      <c r="BE56" s="5"/>
      <c r="BF56" s="5"/>
      <c r="BG56" s="5"/>
      <c r="BH56" s="5"/>
      <c r="BI56" s="5"/>
      <c r="BJ56" s="5"/>
      <c r="BK56" s="5"/>
      <c r="BL56" s="5"/>
      <c r="BM56" s="5"/>
      <c r="BN56" s="5"/>
      <c r="BO56" s="78"/>
      <c r="BP56" s="44"/>
      <c r="BQ56" s="44"/>
      <c r="BR56" s="44"/>
      <c r="BS56" s="44"/>
      <c r="BT56" s="44"/>
      <c r="BU56" s="44"/>
      <c r="BV56" s="44"/>
      <c r="BW56" s="44"/>
      <c r="BX56" s="44"/>
      <c r="BY56" s="44"/>
      <c r="CA56" s="39"/>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P56" s="39"/>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G56" s="39"/>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c r="GI56" s="44"/>
      <c r="GJ56" s="44"/>
      <c r="GK56" s="44"/>
      <c r="GL56" s="44"/>
      <c r="GM56" s="44"/>
      <c r="GN56" s="44"/>
      <c r="GO56" s="44"/>
      <c r="GP56" s="44"/>
      <c r="GQ56" s="44"/>
      <c r="GR56" s="44"/>
      <c r="GS56" s="44"/>
      <c r="GT56" s="44"/>
      <c r="GU56" s="44"/>
      <c r="GV56" s="44"/>
      <c r="GX56" s="39"/>
      <c r="GY56" s="44"/>
      <c r="GZ56" s="44"/>
      <c r="HA56" s="44"/>
      <c r="HB56" s="44"/>
      <c r="HC56" s="44"/>
      <c r="HD56" s="44"/>
      <c r="HE56" s="44"/>
      <c r="HF56" s="44"/>
      <c r="HG56" s="44"/>
      <c r="HH56" s="44"/>
      <c r="HI56" s="44"/>
      <c r="HJ56" s="44"/>
      <c r="HK56" s="44"/>
      <c r="HL56" s="44"/>
      <c r="HM56" s="44"/>
      <c r="HN56" s="44"/>
      <c r="HO56" s="44"/>
      <c r="HP56" s="44"/>
      <c r="HQ56" s="44"/>
      <c r="HR56" s="44"/>
      <c r="HS56" s="44"/>
      <c r="HT56" s="44"/>
      <c r="HU56" s="44"/>
      <c r="HV56" s="44"/>
      <c r="HW56" s="44"/>
      <c r="HX56" s="44"/>
      <c r="HY56" s="44"/>
      <c r="HZ56" s="44"/>
      <c r="IA56" s="44"/>
      <c r="IB56" s="44"/>
      <c r="IC56" s="44"/>
      <c r="ID56" s="44"/>
      <c r="IE56" s="44"/>
      <c r="IF56" s="44"/>
      <c r="IG56" s="44"/>
      <c r="IH56" s="44"/>
      <c r="II56" s="44"/>
      <c r="IJ56" s="44"/>
      <c r="IK56" s="44"/>
      <c r="IL56" s="44"/>
      <c r="IM56" s="44"/>
      <c r="IO56" s="39"/>
      <c r="IP56" s="44"/>
      <c r="IQ56" s="44"/>
      <c r="IR56" s="44"/>
      <c r="IS56" s="44"/>
      <c r="IT56" s="44"/>
      <c r="IU56" s="44"/>
      <c r="IV56" s="44"/>
      <c r="IW56" s="44"/>
      <c r="IX56" s="44"/>
      <c r="IY56" s="44"/>
      <c r="IZ56" s="44"/>
      <c r="JA56" s="44"/>
      <c r="JB56" s="44"/>
      <c r="JC56" s="44"/>
      <c r="JD56" s="44"/>
      <c r="JE56" s="44"/>
      <c r="JF56" s="44"/>
      <c r="JG56" s="44"/>
      <c r="JH56" s="44"/>
      <c r="JI56" s="44"/>
      <c r="JJ56" s="44"/>
      <c r="JK56" s="44"/>
      <c r="JL56" s="44"/>
      <c r="JM56" s="44"/>
      <c r="JN56" s="44"/>
      <c r="JO56" s="44"/>
      <c r="JP56" s="44"/>
      <c r="JQ56" s="44"/>
      <c r="JR56" s="44"/>
      <c r="JS56" s="44"/>
      <c r="JT56" s="44"/>
      <c r="JU56" s="44"/>
      <c r="JV56" s="44"/>
      <c r="JW56" s="44"/>
      <c r="JX56" s="44"/>
      <c r="JY56" s="44"/>
      <c r="JZ56" s="44"/>
      <c r="KA56" s="44"/>
      <c r="KB56" s="44"/>
      <c r="KC56" s="44"/>
      <c r="KD56" s="44"/>
      <c r="KF56" s="45"/>
      <c r="KG56" s="45"/>
      <c r="KH56" s="45"/>
      <c r="KI56" s="45"/>
      <c r="KJ56" s="45"/>
      <c r="KK56" s="45"/>
      <c r="KL56" s="45"/>
      <c r="KM56" s="45"/>
      <c r="KN56" s="45"/>
      <c r="KO56" s="45"/>
      <c r="KP56" s="45"/>
      <c r="KQ56" s="45"/>
      <c r="KR56" s="45"/>
      <c r="KS56" s="45"/>
      <c r="KT56" s="45"/>
      <c r="KU56" s="45"/>
      <c r="KV56" s="45"/>
      <c r="KW56" s="45"/>
      <c r="KX56" s="45"/>
      <c r="KY56" s="45"/>
      <c r="KZ56" s="45"/>
      <c r="LA56" s="45"/>
      <c r="LB56" s="45"/>
      <c r="LC56" s="45"/>
      <c r="LD56" s="45"/>
      <c r="LE56" s="45"/>
      <c r="LF56" s="45"/>
      <c r="LG56" s="45"/>
      <c r="LH56" s="45"/>
      <c r="LI56" s="45"/>
      <c r="LJ56" s="45"/>
      <c r="LK56" s="45"/>
      <c r="LL56" s="45"/>
      <c r="LM56" s="45"/>
      <c r="LN56" s="45"/>
      <c r="LO56" s="45"/>
      <c r="LP56" s="45"/>
      <c r="LQ56" s="45"/>
      <c r="LR56" s="45"/>
      <c r="LS56" s="45"/>
      <c r="LT56" s="45"/>
      <c r="MA56" s="46"/>
      <c r="MB56" s="46"/>
      <c r="MC56" s="46"/>
      <c r="MD56" s="46"/>
      <c r="ME56" s="46"/>
      <c r="MF56" s="46"/>
      <c r="MG56" s="46"/>
      <c r="MH56" s="46"/>
      <c r="MI56" s="46"/>
      <c r="MJ56" s="46"/>
      <c r="MK56" s="46"/>
      <c r="ML56" s="46"/>
      <c r="MM56" s="46"/>
      <c r="MN56" s="46"/>
      <c r="MO56" s="46"/>
      <c r="MP56" s="46"/>
      <c r="MQ56" s="46"/>
      <c r="MR56" s="46"/>
      <c r="MS56" s="46"/>
      <c r="MT56" s="46"/>
      <c r="MU56" s="46"/>
      <c r="MV56" s="46"/>
      <c r="MW56" s="46"/>
      <c r="MX56" s="46"/>
      <c r="MY56" s="46"/>
      <c r="MZ56" s="46"/>
      <c r="NA56" s="46"/>
      <c r="NB56" s="46"/>
      <c r="NC56" s="46"/>
      <c r="ND56" s="46"/>
      <c r="NE56" s="46"/>
      <c r="NF56" s="46"/>
      <c r="NG56" s="46"/>
      <c r="NH56" s="46"/>
      <c r="NI56" s="46"/>
      <c r="NJ56" s="46"/>
      <c r="NK56" s="46"/>
      <c r="NL56" s="46"/>
      <c r="NM56" s="46"/>
      <c r="NN56" s="46"/>
      <c r="NO56" s="46"/>
      <c r="NP56" s="47"/>
      <c r="NQ56" s="47"/>
      <c r="NR56" s="47"/>
      <c r="NS56" s="47"/>
      <c r="NT56" s="47"/>
      <c r="NU56" s="47"/>
      <c r="NV56" s="47"/>
      <c r="NW56" s="47"/>
      <c r="NX56" s="47"/>
      <c r="NY56" s="47"/>
      <c r="NZ56" s="47"/>
    </row>
    <row r="57" spans="1:390" s="28" customFormat="1" ht="13.8" x14ac:dyDescent="0.3">
      <c r="A57" s="57"/>
      <c r="B57" s="57"/>
      <c r="C57" s="62"/>
      <c r="D57" s="57"/>
      <c r="E57" s="63"/>
      <c r="J57" s="29" t="str">
        <f>"M.S. = "&amp;[1]!xln(K57)&amp;"="</f>
        <v>M.S. = 195000 / (144167 × 1.15 × 1.5) - 1=</v>
      </c>
      <c r="K57" s="68">
        <f>H33/(F44*H35*H37)-1</f>
        <v>-0.21588651372747969</v>
      </c>
      <c r="M57" s="11"/>
      <c r="N57" s="11"/>
      <c r="O57" s="11"/>
      <c r="P57" s="11"/>
      <c r="Q57" s="11"/>
      <c r="R57" s="12"/>
      <c r="S57" s="12"/>
      <c r="W57" s="40">
        <f t="shared" si="2"/>
        <v>3.750000000000013E-2</v>
      </c>
      <c r="X57" s="28">
        <f>(W57-G21)*C35/G26</f>
        <v>-26727.844523080526</v>
      </c>
      <c r="AB57" s="40">
        <f t="shared" si="3"/>
        <v>3.750000000000013E-2</v>
      </c>
      <c r="AC57" s="28">
        <f>(AB57-G20)*C36/J26</f>
        <v>117341.75644279255</v>
      </c>
      <c r="AI57" s="5"/>
      <c r="AJ57" s="5"/>
      <c r="AK57" s="5"/>
      <c r="AL57" s="5"/>
      <c r="AM57" s="5"/>
      <c r="AN57" s="42">
        <f>AN56-AN38/20</f>
        <v>1.8750000000000131E-2</v>
      </c>
      <c r="AO57" s="42">
        <f t="shared" si="5"/>
        <v>9.3750000000000656E-3</v>
      </c>
      <c r="AP57" s="42">
        <f>(AL17-AO57)</f>
        <v>0.36562499999999992</v>
      </c>
      <c r="AQ57" s="42">
        <f>AN57*AL18</f>
        <v>0</v>
      </c>
      <c r="AR57" s="43" t="e">
        <f>C34*(AQ57*AP57)/(AL19*AL18)</f>
        <v>#DIV/0!</v>
      </c>
      <c r="AS57" s="5"/>
      <c r="AT57" s="5"/>
      <c r="AU57" s="5"/>
      <c r="AV57" s="5"/>
      <c r="AW57" s="5"/>
      <c r="AX57" s="5"/>
      <c r="AY57" s="42">
        <f>AY56-AY38/20</f>
        <v>1.8750000000000131E-2</v>
      </c>
      <c r="AZ57" s="42">
        <f t="shared" si="6"/>
        <v>9.3750000000000656E-3</v>
      </c>
      <c r="BA57" s="42">
        <f>(AW17-AZ57)</f>
        <v>0.36562499999999992</v>
      </c>
      <c r="BB57" s="42">
        <f>AY57*AW18</f>
        <v>7.0312500000000496E-3</v>
      </c>
      <c r="BC57" s="43">
        <f>C33*(BB57*BA57)/(AW19*AW18)</f>
        <v>220.69485442076305</v>
      </c>
      <c r="BD57" s="44"/>
      <c r="BE57" s="5"/>
      <c r="BF57" s="5"/>
      <c r="BG57" s="5"/>
      <c r="BH57" s="5"/>
      <c r="BI57" s="5"/>
      <c r="BJ57" s="5"/>
      <c r="BK57" s="5"/>
      <c r="BL57" s="5"/>
      <c r="BM57" s="5"/>
      <c r="BN57" s="7"/>
      <c r="BO57" s="79">
        <f>MAX(BO47:BO55)</f>
        <v>144167.24140054017</v>
      </c>
      <c r="BP57" s="44"/>
      <c r="BQ57" s="44"/>
      <c r="BR57" s="44"/>
      <c r="BS57" s="44"/>
      <c r="BT57" s="44"/>
      <c r="BU57" s="44"/>
      <c r="BV57" s="44"/>
      <c r="BW57" s="44"/>
      <c r="BX57" s="44"/>
      <c r="BY57" s="44"/>
      <c r="CA57" s="39"/>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P57" s="39"/>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G57" s="39"/>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X57" s="39"/>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O57" s="39"/>
      <c r="IP57" s="44"/>
      <c r="IQ57" s="44"/>
      <c r="IR57" s="44"/>
      <c r="IS57" s="44"/>
      <c r="IT57" s="44"/>
      <c r="IU57" s="44"/>
      <c r="IV57" s="44"/>
      <c r="IW57" s="44"/>
      <c r="IX57" s="44"/>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F57" s="45"/>
      <c r="KG57" s="45"/>
      <c r="KH57" s="45"/>
      <c r="KI57" s="45"/>
      <c r="KJ57" s="45"/>
      <c r="KK57" s="45"/>
      <c r="KL57" s="45"/>
      <c r="KM57" s="45"/>
      <c r="KN57" s="45"/>
      <c r="KO57" s="45"/>
      <c r="KP57" s="45"/>
      <c r="KQ57" s="45"/>
      <c r="KR57" s="45"/>
      <c r="KS57" s="45"/>
      <c r="KT57" s="45"/>
      <c r="KU57" s="45"/>
      <c r="KV57" s="45"/>
      <c r="KW57" s="45"/>
      <c r="KX57" s="45"/>
      <c r="KY57" s="45"/>
      <c r="KZ57" s="45"/>
      <c r="LA57" s="45"/>
      <c r="LB57" s="45"/>
      <c r="LC57" s="45"/>
      <c r="LD57" s="45"/>
      <c r="LE57" s="45"/>
      <c r="LF57" s="45"/>
      <c r="LG57" s="45"/>
      <c r="LH57" s="45"/>
      <c r="LI57" s="45"/>
      <c r="LJ57" s="45"/>
      <c r="LK57" s="45"/>
      <c r="LL57" s="45"/>
      <c r="LM57" s="45"/>
      <c r="LN57" s="45"/>
      <c r="LO57" s="45"/>
      <c r="LP57" s="45"/>
      <c r="LQ57" s="45"/>
      <c r="LR57" s="45"/>
      <c r="LS57" s="45"/>
      <c r="LT57" s="45"/>
      <c r="MA57" s="46"/>
      <c r="MB57" s="46"/>
      <c r="MC57" s="46"/>
      <c r="MD57" s="46"/>
      <c r="ME57" s="46"/>
      <c r="MF57" s="46"/>
      <c r="MG57" s="46"/>
      <c r="MH57" s="46"/>
      <c r="MI57" s="46"/>
      <c r="MJ57" s="46"/>
      <c r="MK57" s="46"/>
      <c r="ML57" s="46"/>
      <c r="MM57" s="46"/>
      <c r="MN57" s="46"/>
      <c r="MO57" s="46"/>
      <c r="MP57" s="46"/>
      <c r="MQ57" s="46"/>
      <c r="MR57" s="46"/>
      <c r="MS57" s="46"/>
      <c r="MT57" s="46"/>
      <c r="MU57" s="46"/>
      <c r="MV57" s="46"/>
      <c r="MW57" s="46"/>
      <c r="MX57" s="46"/>
      <c r="MY57" s="46"/>
      <c r="MZ57" s="46"/>
      <c r="NA57" s="46"/>
      <c r="NB57" s="46"/>
      <c r="NC57" s="46"/>
      <c r="ND57" s="46"/>
      <c r="NE57" s="46"/>
      <c r="NF57" s="46"/>
      <c r="NG57" s="46"/>
      <c r="NH57" s="46"/>
      <c r="NI57" s="46"/>
      <c r="NJ57" s="46"/>
      <c r="NK57" s="46"/>
      <c r="NL57" s="46"/>
      <c r="NM57" s="46"/>
      <c r="NN57" s="46"/>
      <c r="NO57" s="46"/>
      <c r="NP57" s="47"/>
      <c r="NQ57" s="47"/>
      <c r="NR57" s="47"/>
      <c r="NS57" s="47"/>
      <c r="NT57" s="47"/>
      <c r="NU57" s="47"/>
      <c r="NV57" s="47"/>
      <c r="NW57" s="47"/>
      <c r="NX57" s="47"/>
      <c r="NY57" s="47"/>
      <c r="NZ57" s="47"/>
    </row>
    <row r="58" spans="1:390" s="28" customFormat="1" ht="13.8" x14ac:dyDescent="0.3">
      <c r="A58" s="106"/>
      <c r="B58" s="107"/>
      <c r="C58" s="108"/>
      <c r="D58" s="106"/>
      <c r="E58" s="106"/>
      <c r="F58" s="106"/>
      <c r="G58" s="108"/>
      <c r="H58" s="106"/>
      <c r="I58" s="106"/>
      <c r="J58" s="106"/>
      <c r="K58" s="106"/>
      <c r="M58" s="11"/>
      <c r="N58" s="11"/>
      <c r="O58" s="11"/>
      <c r="P58" s="11"/>
      <c r="Q58" s="11"/>
      <c r="R58" s="12"/>
      <c r="S58" s="12"/>
      <c r="W58" s="40">
        <f t="shared" si="2"/>
        <v>1.8750000000000131E-2</v>
      </c>
      <c r="X58" s="28">
        <f>(W58-G21)*C35/G26</f>
        <v>-28212.724774362778</v>
      </c>
      <c r="AB58" s="40">
        <f t="shared" si="3"/>
        <v>1.8750000000000131E-2</v>
      </c>
      <c r="AC58" s="28">
        <f>(AB58-G20)*C36/J26</f>
        <v>123860.74291183658</v>
      </c>
      <c r="AI58" s="5"/>
      <c r="AJ58" s="5"/>
      <c r="AK58" s="5"/>
      <c r="AL58" s="5"/>
      <c r="AM58" s="5"/>
      <c r="AN58" s="42">
        <f>AN57-AN38/20</f>
        <v>1.3183898417423734E-16</v>
      </c>
      <c r="AO58" s="42">
        <f t="shared" si="5"/>
        <v>6.591949208711867E-17</v>
      </c>
      <c r="AP58" s="42">
        <f>(AL17-AO58)</f>
        <v>0.37499999999999994</v>
      </c>
      <c r="AQ58" s="42">
        <f>AN58*AL18</f>
        <v>0</v>
      </c>
      <c r="AR58" s="43" t="e">
        <f>C34*(AQ58*AP58)/(AL19*AL18)</f>
        <v>#DIV/0!</v>
      </c>
      <c r="AS58" s="5"/>
      <c r="AT58" s="5"/>
      <c r="AU58" s="5"/>
      <c r="AV58" s="5"/>
      <c r="AW58" s="5"/>
      <c r="AX58" s="5"/>
      <c r="AY58" s="42">
        <f>AY57-AY38/20</f>
        <v>1.3183898417423734E-16</v>
      </c>
      <c r="AZ58" s="42">
        <f t="shared" si="6"/>
        <v>6.591949208711867E-17</v>
      </c>
      <c r="BA58" s="42">
        <f>(AW17-AZ58)</f>
        <v>0.37499999999999994</v>
      </c>
      <c r="BB58" s="42">
        <f>AY58*AW18</f>
        <v>4.9439619065339002E-17</v>
      </c>
      <c r="BC58" s="43">
        <f>C33*(BB58*BA58)/(AW19*AW18)</f>
        <v>1.5915862109710434E-12</v>
      </c>
      <c r="BD58" s="44"/>
      <c r="BE58" s="5"/>
      <c r="BF58" s="5"/>
      <c r="BG58" s="5"/>
      <c r="BH58" s="5"/>
      <c r="BI58" s="5"/>
      <c r="BJ58" s="5"/>
      <c r="BK58" s="5"/>
      <c r="BL58" s="5"/>
      <c r="BM58" s="5"/>
      <c r="BN58" s="5"/>
      <c r="BO58" s="5"/>
      <c r="BP58" s="44"/>
      <c r="BQ58" s="44"/>
      <c r="BR58" s="44"/>
      <c r="BS58" s="44"/>
      <c r="BT58" s="44"/>
      <c r="BU58" s="44"/>
      <c r="BV58" s="44"/>
      <c r="BW58" s="44"/>
      <c r="BX58" s="44"/>
      <c r="BY58" s="44"/>
      <c r="CA58" s="39"/>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P58" s="39"/>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G58" s="39"/>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c r="GI58" s="44"/>
      <c r="GJ58" s="44"/>
      <c r="GK58" s="44"/>
      <c r="GL58" s="44"/>
      <c r="GM58" s="44"/>
      <c r="GN58" s="44"/>
      <c r="GO58" s="44"/>
      <c r="GP58" s="44"/>
      <c r="GQ58" s="44"/>
      <c r="GR58" s="44"/>
      <c r="GS58" s="44"/>
      <c r="GT58" s="44"/>
      <c r="GU58" s="44"/>
      <c r="GV58" s="44"/>
      <c r="GX58" s="39"/>
      <c r="GY58" s="44"/>
      <c r="GZ58" s="44"/>
      <c r="HA58" s="44"/>
      <c r="HB58" s="44"/>
      <c r="HC58" s="44"/>
      <c r="HD58" s="44"/>
      <c r="HE58" s="44"/>
      <c r="HF58" s="44"/>
      <c r="HG58" s="44"/>
      <c r="HH58" s="44"/>
      <c r="HI58" s="44"/>
      <c r="HJ58" s="44"/>
      <c r="HK58" s="44"/>
      <c r="HL58" s="44"/>
      <c r="HM58" s="44"/>
      <c r="HN58" s="44"/>
      <c r="HO58" s="44"/>
      <c r="HP58" s="44"/>
      <c r="HQ58" s="44"/>
      <c r="HR58" s="44"/>
      <c r="HS58" s="44"/>
      <c r="HT58" s="44"/>
      <c r="HU58" s="44"/>
      <c r="HV58" s="44"/>
      <c r="HW58" s="44"/>
      <c r="HX58" s="44"/>
      <c r="HY58" s="44"/>
      <c r="HZ58" s="44"/>
      <c r="IA58" s="44"/>
      <c r="IB58" s="44"/>
      <c r="IC58" s="44"/>
      <c r="ID58" s="44"/>
      <c r="IE58" s="44"/>
      <c r="IF58" s="44"/>
      <c r="IG58" s="44"/>
      <c r="IH58" s="44"/>
      <c r="II58" s="44"/>
      <c r="IJ58" s="44"/>
      <c r="IK58" s="44"/>
      <c r="IL58" s="44"/>
      <c r="IM58" s="44"/>
      <c r="IO58" s="39"/>
      <c r="IP58" s="44"/>
      <c r="IQ58" s="44"/>
      <c r="IR58" s="44"/>
      <c r="IS58" s="44"/>
      <c r="IT58" s="44"/>
      <c r="IU58" s="44"/>
      <c r="IV58" s="44"/>
      <c r="IW58" s="44"/>
      <c r="IX58" s="44"/>
      <c r="IY58" s="44"/>
      <c r="IZ58" s="44"/>
      <c r="JA58" s="44"/>
      <c r="JB58" s="44"/>
      <c r="JC58" s="44"/>
      <c r="JD58" s="44"/>
      <c r="JE58" s="44"/>
      <c r="JF58" s="44"/>
      <c r="JG58" s="44"/>
      <c r="JH58" s="44"/>
      <c r="JI58" s="44"/>
      <c r="JJ58" s="44"/>
      <c r="JK58" s="44"/>
      <c r="JL58" s="44"/>
      <c r="JM58" s="44"/>
      <c r="JN58" s="44"/>
      <c r="JO58" s="44"/>
      <c r="JP58" s="44"/>
      <c r="JQ58" s="44"/>
      <c r="JR58" s="44"/>
      <c r="JS58" s="44"/>
      <c r="JT58" s="44"/>
      <c r="JU58" s="44"/>
      <c r="JV58" s="44"/>
      <c r="JW58" s="44"/>
      <c r="JX58" s="44"/>
      <c r="JY58" s="44"/>
      <c r="JZ58" s="44"/>
      <c r="KA58" s="44"/>
      <c r="KB58" s="44"/>
      <c r="KC58" s="44"/>
      <c r="KD58" s="44"/>
      <c r="KF58" s="45"/>
      <c r="KG58" s="45"/>
      <c r="KH58" s="45"/>
      <c r="KI58" s="45"/>
      <c r="KJ58" s="45"/>
      <c r="KK58" s="45"/>
      <c r="KL58" s="45"/>
      <c r="KM58" s="45"/>
      <c r="KN58" s="45"/>
      <c r="KO58" s="45"/>
      <c r="KP58" s="45"/>
      <c r="KQ58" s="45"/>
      <c r="KR58" s="45"/>
      <c r="KS58" s="45"/>
      <c r="KT58" s="45"/>
      <c r="KU58" s="45"/>
      <c r="KV58" s="45"/>
      <c r="KW58" s="45"/>
      <c r="KX58" s="45"/>
      <c r="KY58" s="45"/>
      <c r="KZ58" s="45"/>
      <c r="LA58" s="45"/>
      <c r="LB58" s="45"/>
      <c r="LC58" s="45"/>
      <c r="LD58" s="45"/>
      <c r="LE58" s="45"/>
      <c r="LF58" s="45"/>
      <c r="LG58" s="45"/>
      <c r="LH58" s="45"/>
      <c r="LI58" s="45"/>
      <c r="LJ58" s="45"/>
      <c r="LK58" s="45"/>
      <c r="LL58" s="45"/>
      <c r="LM58" s="45"/>
      <c r="LN58" s="45"/>
      <c r="LO58" s="45"/>
      <c r="LP58" s="45"/>
      <c r="LQ58" s="45"/>
      <c r="LR58" s="45"/>
      <c r="LS58" s="45"/>
      <c r="LT58" s="45"/>
      <c r="MA58" s="46"/>
      <c r="MB58" s="46"/>
      <c r="MC58" s="46"/>
      <c r="MD58" s="46"/>
      <c r="ME58" s="46"/>
      <c r="MF58" s="46"/>
      <c r="MG58" s="46"/>
      <c r="MH58" s="46"/>
      <c r="MI58" s="46"/>
      <c r="MJ58" s="46"/>
      <c r="MK58" s="46"/>
      <c r="ML58" s="46"/>
      <c r="MM58" s="46"/>
      <c r="MN58" s="46"/>
      <c r="MO58" s="46"/>
      <c r="MP58" s="46"/>
      <c r="MQ58" s="46"/>
      <c r="MR58" s="46"/>
      <c r="MS58" s="46"/>
      <c r="MT58" s="46"/>
      <c r="MU58" s="46"/>
      <c r="MV58" s="46"/>
      <c r="MW58" s="46"/>
      <c r="MX58" s="46"/>
      <c r="MY58" s="46"/>
      <c r="MZ58" s="46"/>
      <c r="NA58" s="46"/>
      <c r="NB58" s="46"/>
      <c r="NC58" s="46"/>
      <c r="ND58" s="46"/>
      <c r="NE58" s="46"/>
      <c r="NF58" s="46"/>
      <c r="NG58" s="46"/>
      <c r="NH58" s="46"/>
      <c r="NI58" s="46"/>
      <c r="NJ58" s="46"/>
      <c r="NK58" s="46"/>
      <c r="NL58" s="46"/>
      <c r="NM58" s="46"/>
      <c r="NN58" s="46"/>
      <c r="NO58" s="46"/>
      <c r="NP58" s="47"/>
      <c r="NQ58" s="47"/>
      <c r="NR58" s="47"/>
      <c r="NS58" s="47"/>
      <c r="NT58" s="47"/>
      <c r="NU58" s="47"/>
      <c r="NV58" s="47"/>
      <c r="NW58" s="47"/>
      <c r="NX58" s="47"/>
      <c r="NY58" s="47"/>
      <c r="NZ58" s="47"/>
    </row>
    <row r="59" spans="1:390" s="28" customFormat="1" ht="13.8" x14ac:dyDescent="0.3">
      <c r="A59" s="106"/>
      <c r="B59" s="109"/>
      <c r="C59" s="108"/>
      <c r="D59" s="110"/>
      <c r="E59" s="110"/>
      <c r="F59" s="111" t="s">
        <v>126</v>
      </c>
      <c r="G59" s="108"/>
      <c r="H59" s="110"/>
      <c r="I59" s="110"/>
      <c r="J59" s="110"/>
      <c r="K59" s="106"/>
      <c r="M59" s="11"/>
      <c r="N59" s="11"/>
      <c r="O59" s="11"/>
      <c r="P59" s="11"/>
      <c r="Q59" s="11"/>
      <c r="R59" s="12"/>
      <c r="S59" s="12"/>
      <c r="W59" s="40">
        <f t="shared" si="2"/>
        <v>1.3183898417423734E-16</v>
      </c>
      <c r="X59" s="28">
        <f>(W59-G21)*C35/G26</f>
        <v>-29697.605025645033</v>
      </c>
      <c r="AB59" s="40">
        <f t="shared" si="3"/>
        <v>1.3183898417423734E-16</v>
      </c>
      <c r="AC59" s="28">
        <f>(AB59-G20)*C36/J26</f>
        <v>130379.72938088063</v>
      </c>
      <c r="AJ59" s="39"/>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CA59" s="39"/>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P59" s="39"/>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G59" s="39"/>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c r="GK59" s="44"/>
      <c r="GL59" s="44"/>
      <c r="GM59" s="44"/>
      <c r="GN59" s="44"/>
      <c r="GO59" s="44"/>
      <c r="GP59" s="44"/>
      <c r="GQ59" s="44"/>
      <c r="GR59" s="44"/>
      <c r="GS59" s="44"/>
      <c r="GT59" s="44"/>
      <c r="GU59" s="44"/>
      <c r="GV59" s="44"/>
      <c r="GX59" s="39"/>
      <c r="GY59" s="44"/>
      <c r="GZ59" s="44"/>
      <c r="HA59" s="44"/>
      <c r="HB59" s="44"/>
      <c r="HC59" s="44"/>
      <c r="HD59" s="44"/>
      <c r="HE59" s="44"/>
      <c r="HF59" s="44"/>
      <c r="HG59" s="44"/>
      <c r="HH59" s="44"/>
      <c r="HI59" s="44"/>
      <c r="HJ59" s="44"/>
      <c r="HK59" s="44"/>
      <c r="HL59" s="44"/>
      <c r="HM59" s="44"/>
      <c r="HN59" s="44"/>
      <c r="HO59" s="44"/>
      <c r="HP59" s="44"/>
      <c r="HQ59" s="44"/>
      <c r="HR59" s="44"/>
      <c r="HS59" s="44"/>
      <c r="HT59" s="44"/>
      <c r="HU59" s="44"/>
      <c r="HV59" s="44"/>
      <c r="HW59" s="44"/>
      <c r="HX59" s="44"/>
      <c r="HY59" s="44"/>
      <c r="HZ59" s="44"/>
      <c r="IA59" s="44"/>
      <c r="IB59" s="44"/>
      <c r="IC59" s="44"/>
      <c r="ID59" s="44"/>
      <c r="IE59" s="44"/>
      <c r="IF59" s="44"/>
      <c r="IG59" s="44"/>
      <c r="IH59" s="44"/>
      <c r="II59" s="44"/>
      <c r="IJ59" s="44"/>
      <c r="IK59" s="44"/>
      <c r="IL59" s="44"/>
      <c r="IM59" s="44"/>
      <c r="IO59" s="39"/>
      <c r="IP59" s="44"/>
      <c r="IQ59" s="44"/>
      <c r="IR59" s="44"/>
      <c r="IS59" s="44"/>
      <c r="IT59" s="44"/>
      <c r="IU59" s="44"/>
      <c r="IV59" s="44"/>
      <c r="IW59" s="44"/>
      <c r="IX59" s="44"/>
      <c r="IY59" s="44"/>
      <c r="IZ59" s="44"/>
      <c r="JA59" s="44"/>
      <c r="JB59" s="44"/>
      <c r="JC59" s="44"/>
      <c r="JD59" s="44"/>
      <c r="JE59" s="44"/>
      <c r="JF59" s="44"/>
      <c r="JG59" s="44"/>
      <c r="JH59" s="44"/>
      <c r="JI59" s="44"/>
      <c r="JJ59" s="44"/>
      <c r="JK59" s="44"/>
      <c r="JL59" s="44"/>
      <c r="JM59" s="44"/>
      <c r="JN59" s="44"/>
      <c r="JO59" s="44"/>
      <c r="JP59" s="44"/>
      <c r="JQ59" s="44"/>
      <c r="JR59" s="44"/>
      <c r="JS59" s="44"/>
      <c r="JT59" s="44"/>
      <c r="JU59" s="44"/>
      <c r="JV59" s="44"/>
      <c r="JW59" s="44"/>
      <c r="JX59" s="44"/>
      <c r="JY59" s="44"/>
      <c r="JZ59" s="44"/>
      <c r="KA59" s="44"/>
      <c r="KB59" s="44"/>
      <c r="KC59" s="44"/>
      <c r="KD59" s="44"/>
      <c r="KF59" s="45"/>
      <c r="KG59" s="45"/>
      <c r="KH59" s="45"/>
      <c r="KI59" s="45"/>
      <c r="KJ59" s="45"/>
      <c r="KK59" s="45"/>
      <c r="KL59" s="45"/>
      <c r="KM59" s="45"/>
      <c r="KN59" s="45"/>
      <c r="KO59" s="45"/>
      <c r="KP59" s="45"/>
      <c r="KQ59" s="45"/>
      <c r="KR59" s="45"/>
      <c r="KS59" s="45"/>
      <c r="KT59" s="45"/>
      <c r="KU59" s="45"/>
      <c r="KV59" s="45"/>
      <c r="KW59" s="45"/>
      <c r="KX59" s="45"/>
      <c r="KY59" s="45"/>
      <c r="KZ59" s="45"/>
      <c r="LA59" s="45"/>
      <c r="LB59" s="45"/>
      <c r="LC59" s="45"/>
      <c r="LD59" s="45"/>
      <c r="LE59" s="45"/>
      <c r="LF59" s="45"/>
      <c r="LG59" s="45"/>
      <c r="LH59" s="45"/>
      <c r="LI59" s="45"/>
      <c r="LJ59" s="45"/>
      <c r="LK59" s="45"/>
      <c r="LL59" s="45"/>
      <c r="LM59" s="45"/>
      <c r="LN59" s="45"/>
      <c r="LO59" s="45"/>
      <c r="LP59" s="45"/>
      <c r="LQ59" s="45"/>
      <c r="LR59" s="45"/>
      <c r="LS59" s="45"/>
      <c r="LT59" s="45"/>
      <c r="MA59" s="46"/>
      <c r="MB59" s="46"/>
      <c r="MC59" s="46"/>
      <c r="MD59" s="46"/>
      <c r="ME59" s="46"/>
      <c r="MF59" s="46"/>
      <c r="MG59" s="46"/>
      <c r="MH59" s="46"/>
      <c r="MI59" s="46"/>
      <c r="MJ59" s="46"/>
      <c r="MK59" s="46"/>
      <c r="ML59" s="46"/>
      <c r="MM59" s="46"/>
      <c r="MN59" s="46"/>
      <c r="MO59" s="46"/>
      <c r="MP59" s="46"/>
      <c r="MQ59" s="46"/>
      <c r="MR59" s="46"/>
      <c r="MS59" s="46"/>
      <c r="MT59" s="46"/>
      <c r="MU59" s="46"/>
      <c r="MV59" s="46"/>
      <c r="MW59" s="46"/>
      <c r="MX59" s="46"/>
      <c r="MY59" s="46"/>
      <c r="MZ59" s="46"/>
      <c r="NA59" s="46"/>
      <c r="NB59" s="46"/>
      <c r="NC59" s="46"/>
      <c r="ND59" s="46"/>
      <c r="NE59" s="46"/>
      <c r="NF59" s="46"/>
      <c r="NG59" s="46"/>
      <c r="NH59" s="46"/>
      <c r="NI59" s="46"/>
      <c r="NJ59" s="46"/>
      <c r="NK59" s="46"/>
      <c r="NL59" s="46"/>
      <c r="NM59" s="46"/>
      <c r="NN59" s="46"/>
      <c r="NO59" s="46"/>
      <c r="NP59" s="47"/>
      <c r="NQ59" s="47"/>
      <c r="NR59" s="47"/>
      <c r="NS59" s="47"/>
      <c r="NT59" s="47"/>
      <c r="NU59" s="47"/>
      <c r="NV59" s="47"/>
      <c r="NW59" s="47"/>
      <c r="NX59" s="47"/>
      <c r="NY59" s="47"/>
      <c r="NZ59" s="47"/>
    </row>
    <row r="60" spans="1:390" s="69" customFormat="1" ht="13.8" x14ac:dyDescent="0.3">
      <c r="A60" s="106"/>
      <c r="B60" s="110"/>
      <c r="C60" s="110"/>
      <c r="D60" s="110"/>
      <c r="E60" s="110"/>
      <c r="F60" s="112" t="s">
        <v>127</v>
      </c>
      <c r="G60" s="110"/>
      <c r="H60" s="110"/>
      <c r="I60" s="110"/>
      <c r="J60" s="110"/>
      <c r="K60" s="106"/>
      <c r="L60" s="28"/>
      <c r="M60" s="11"/>
      <c r="N60" s="11"/>
      <c r="O60" s="11"/>
      <c r="P60" s="11"/>
      <c r="Q60" s="11"/>
      <c r="R60" s="12"/>
      <c r="S60" s="12"/>
      <c r="T60" s="28"/>
    </row>
    <row r="61" spans="1:390" s="5" customFormat="1" ht="13.8" x14ac:dyDescent="0.3">
      <c r="M61" s="11"/>
      <c r="N61" s="11"/>
      <c r="O61" s="11"/>
      <c r="P61" s="11"/>
      <c r="Q61" s="11"/>
      <c r="R61" s="12"/>
      <c r="S61" s="12"/>
    </row>
    <row r="62" spans="1:390" s="5" customFormat="1" ht="13.8" x14ac:dyDescent="0.3">
      <c r="M62" s="11"/>
      <c r="N62" s="11"/>
      <c r="O62" s="11"/>
      <c r="P62" s="11"/>
      <c r="Q62" s="11"/>
      <c r="R62" s="12"/>
      <c r="S62" s="12"/>
    </row>
    <row r="63" spans="1:390" s="5" customFormat="1" ht="13.8" x14ac:dyDescent="0.3">
      <c r="M63" s="11"/>
      <c r="N63" s="11"/>
      <c r="O63" s="11"/>
      <c r="P63" s="11"/>
      <c r="Q63" s="11"/>
      <c r="R63" s="12"/>
      <c r="S63" s="12"/>
    </row>
    <row r="64" spans="1:390" s="5" customFormat="1" ht="13.8" x14ac:dyDescent="0.3">
      <c r="M64" s="11"/>
      <c r="N64" s="11"/>
      <c r="O64" s="11"/>
      <c r="P64" s="11"/>
      <c r="Q64" s="11"/>
      <c r="R64" s="12"/>
      <c r="S64" s="12"/>
    </row>
    <row r="65" spans="13:33" s="5" customFormat="1" ht="13.8" x14ac:dyDescent="0.3">
      <c r="M65" s="11"/>
      <c r="N65" s="11"/>
      <c r="O65" s="11"/>
      <c r="P65" s="11"/>
      <c r="Q65" s="11"/>
      <c r="R65" s="12"/>
      <c r="S65" s="12"/>
    </row>
    <row r="66" spans="13:33" s="5" customFormat="1" ht="13.8" x14ac:dyDescent="0.3">
      <c r="M66" s="11"/>
      <c r="N66" s="11"/>
      <c r="O66" s="11"/>
      <c r="P66" s="11"/>
      <c r="Q66" s="11"/>
      <c r="R66" s="12"/>
      <c r="S66" s="12"/>
      <c r="AE66" s="84" t="s">
        <v>122</v>
      </c>
      <c r="AF66" s="95">
        <v>10000</v>
      </c>
      <c r="AG66" s="83" t="s">
        <v>84</v>
      </c>
    </row>
    <row r="67" spans="13:33" s="5" customFormat="1" ht="13.8" x14ac:dyDescent="0.3">
      <c r="M67" s="11"/>
      <c r="N67" s="11"/>
      <c r="O67" s="11"/>
      <c r="P67" s="11"/>
      <c r="Q67" s="11"/>
      <c r="R67" s="12"/>
      <c r="S67" s="12"/>
      <c r="W67" s="80"/>
      <c r="X67" s="81"/>
      <c r="Y67" s="82"/>
      <c r="Z67" s="82"/>
      <c r="AA67" s="82"/>
      <c r="AB67" s="82"/>
      <c r="AC67" s="82"/>
      <c r="AD67" s="82"/>
      <c r="AE67" s="84" t="s">
        <v>120</v>
      </c>
      <c r="AF67" s="94">
        <v>1.5</v>
      </c>
      <c r="AG67" s="83" t="s">
        <v>53</v>
      </c>
    </row>
    <row r="68" spans="13:33" s="5" customFormat="1" ht="13.8" x14ac:dyDescent="0.3">
      <c r="M68" s="11"/>
      <c r="N68" s="11"/>
      <c r="O68" s="11"/>
      <c r="P68" s="11"/>
      <c r="Q68" s="11"/>
      <c r="R68" s="12"/>
      <c r="S68" s="12"/>
      <c r="W68" s="82"/>
      <c r="X68" s="83"/>
      <c r="Y68" s="84"/>
      <c r="Z68" s="84"/>
      <c r="AA68" s="83"/>
      <c r="AB68" s="83"/>
      <c r="AC68" s="83"/>
      <c r="AD68" s="83"/>
      <c r="AE68" s="84" t="s">
        <v>121</v>
      </c>
      <c r="AF68" s="94">
        <v>1.48</v>
      </c>
      <c r="AG68" s="83" t="s">
        <v>53</v>
      </c>
    </row>
    <row r="69" spans="13:33" s="5" customFormat="1" ht="13.8" x14ac:dyDescent="0.3">
      <c r="M69" s="11"/>
      <c r="N69" s="11"/>
      <c r="O69" s="11"/>
      <c r="P69" s="11"/>
      <c r="Q69" s="11"/>
      <c r="R69" s="12"/>
      <c r="S69" s="12"/>
      <c r="W69" s="82"/>
      <c r="AA69" s="82"/>
      <c r="AB69" s="82"/>
      <c r="AC69" s="82"/>
      <c r="AD69" s="82"/>
      <c r="AE69" s="84" t="s">
        <v>73</v>
      </c>
      <c r="AF69" s="82" t="e">
        <f ca="1">[2]!FORVAR(AF71)</f>
        <v>#NAME?</v>
      </c>
      <c r="AG69" s="82"/>
    </row>
    <row r="70" spans="13:33" s="5" customFormat="1" ht="13.8" x14ac:dyDescent="0.3">
      <c r="M70" s="11"/>
      <c r="N70" s="11"/>
      <c r="O70" s="11"/>
      <c r="P70" s="11"/>
      <c r="Q70" s="11"/>
      <c r="R70" s="12"/>
      <c r="S70" s="12"/>
      <c r="W70" s="82"/>
      <c r="AA70" s="82"/>
      <c r="AB70" s="82"/>
      <c r="AC70" s="82"/>
      <c r="AD70" s="82"/>
      <c r="AE70" s="84" t="s">
        <v>73</v>
      </c>
      <c r="AF70" s="96" t="e">
        <f ca="1">[2]!forex(AF71,2)</f>
        <v>#NAME?</v>
      </c>
      <c r="AG70" s="82"/>
    </row>
    <row r="71" spans="13:33" s="5" customFormat="1" ht="13.8" x14ac:dyDescent="0.3">
      <c r="M71" s="11"/>
      <c r="N71" s="11"/>
      <c r="O71" s="11"/>
      <c r="P71" s="11"/>
      <c r="Q71" s="11"/>
      <c r="R71" s="12"/>
      <c r="S71" s="12"/>
      <c r="W71" s="82"/>
      <c r="X71" s="86"/>
      <c r="Y71" s="87"/>
      <c r="Z71" s="82"/>
      <c r="AA71" s="82"/>
      <c r="AB71" s="82"/>
      <c r="AC71" s="82"/>
      <c r="AD71" s="82"/>
      <c r="AE71" s="84" t="s">
        <v>73</v>
      </c>
      <c r="AF71" s="90">
        <f>0.5*PI()*(AF67^4 - AF68^4)</f>
        <v>0.41570785496620399</v>
      </c>
      <c r="AG71" s="83" t="s">
        <v>68</v>
      </c>
    </row>
    <row r="72" spans="13:33" s="5" customFormat="1" ht="15" x14ac:dyDescent="0.3">
      <c r="M72" s="11"/>
      <c r="N72" s="11"/>
      <c r="O72" s="11"/>
      <c r="P72" s="11"/>
      <c r="Q72" s="11"/>
      <c r="R72" s="12"/>
      <c r="S72" s="12"/>
      <c r="W72" s="82"/>
      <c r="X72" s="83"/>
      <c r="Y72" s="82"/>
      <c r="Z72" s="82"/>
      <c r="AA72" s="82"/>
      <c r="AB72" s="82"/>
      <c r="AC72" s="82"/>
      <c r="AD72" s="82"/>
      <c r="AE72" s="84" t="s">
        <v>123</v>
      </c>
      <c r="AF72" s="82" t="e">
        <f ca="1">[2]!FORVAR(AF74)</f>
        <v>#NAME?</v>
      </c>
      <c r="AG72" s="82"/>
    </row>
    <row r="73" spans="13:33" s="5" customFormat="1" ht="15" x14ac:dyDescent="0.3">
      <c r="M73" s="11"/>
      <c r="N73" s="11"/>
      <c r="O73" s="11"/>
      <c r="P73" s="11"/>
      <c r="Q73" s="11"/>
      <c r="R73" s="12"/>
      <c r="S73" s="12"/>
      <c r="W73" s="82"/>
      <c r="X73" s="81" t="s">
        <v>42</v>
      </c>
      <c r="Y73" s="82"/>
      <c r="Z73" s="82"/>
      <c r="AA73" s="88" t="s">
        <v>43</v>
      </c>
      <c r="AB73" s="82"/>
      <c r="AC73" s="82"/>
      <c r="AE73" s="84" t="s">
        <v>123</v>
      </c>
      <c r="AF73" s="96" t="e">
        <f ca="1">[2]!forex(AF74,2)</f>
        <v>#NAME?</v>
      </c>
      <c r="AG73" s="82"/>
    </row>
    <row r="74" spans="13:33" s="5" customFormat="1" ht="15" x14ac:dyDescent="0.3">
      <c r="M74" s="11"/>
      <c r="N74" s="11"/>
      <c r="O74" s="11"/>
      <c r="P74" s="11"/>
      <c r="Q74" s="11"/>
      <c r="R74" s="12"/>
      <c r="S74" s="12"/>
      <c r="W74" s="82"/>
      <c r="X74" s="84" t="s">
        <v>49</v>
      </c>
      <c r="Y74" s="82" t="e">
        <f ca="1">[2]!FORVAR(Y76)</f>
        <v>#NAME?</v>
      </c>
      <c r="Z74" s="82"/>
      <c r="AA74" s="84" t="s">
        <v>50</v>
      </c>
      <c r="AB74" s="82" t="e">
        <f ca="1">[2]!FORVAR(AB76)</f>
        <v>#NAME?</v>
      </c>
      <c r="AC74" s="82"/>
      <c r="AE74" s="84" t="s">
        <v>123</v>
      </c>
      <c r="AF74" s="97">
        <f>AF66*AF67/AF71</f>
        <v>36083.032400769676</v>
      </c>
      <c r="AG74" s="83" t="s">
        <v>78</v>
      </c>
    </row>
    <row r="75" spans="13:33" s="5" customFormat="1" ht="13.8" x14ac:dyDescent="0.3">
      <c r="M75" s="11"/>
      <c r="N75" s="11"/>
      <c r="O75" s="11"/>
      <c r="P75" s="11"/>
      <c r="Q75" s="11"/>
      <c r="R75" s="12"/>
      <c r="S75" s="12"/>
      <c r="W75" s="82"/>
      <c r="X75" s="84" t="s">
        <v>49</v>
      </c>
      <c r="Y75" s="82" t="e">
        <f ca="1">[2]!forex(Y76,1)</f>
        <v>#NAME?</v>
      </c>
      <c r="Z75" s="82"/>
      <c r="AA75" s="84" t="s">
        <v>50</v>
      </c>
      <c r="AB75" s="82" t="e">
        <f ca="1">[2]!forex(AB76,1)</f>
        <v>#NAME?</v>
      </c>
      <c r="AC75" s="82"/>
      <c r="AF75" s="82"/>
      <c r="AG75" s="82"/>
    </row>
    <row r="76" spans="13:33" s="5" customFormat="1" ht="13.8" x14ac:dyDescent="0.3">
      <c r="M76" s="11"/>
      <c r="N76" s="11"/>
      <c r="O76" s="11"/>
      <c r="P76" s="11"/>
      <c r="Q76" s="11"/>
      <c r="R76" s="12"/>
      <c r="S76" s="12"/>
      <c r="W76" s="82"/>
      <c r="X76" s="84" t="s">
        <v>49</v>
      </c>
      <c r="Y76" s="90">
        <f>PI()*(AB85^2-AB86^2)</f>
        <v>311.01767270538954</v>
      </c>
      <c r="Z76" s="83" t="s">
        <v>63</v>
      </c>
      <c r="AA76" s="84" t="s">
        <v>50</v>
      </c>
      <c r="AB76" s="89">
        <f>(Y83/Y76)^0.5</f>
        <v>35.003571246374278</v>
      </c>
      <c r="AC76" s="83" t="s">
        <v>53</v>
      </c>
      <c r="AF76" s="82"/>
      <c r="AG76" s="82"/>
    </row>
    <row r="77" spans="13:33" s="5" customFormat="1" ht="13.8" x14ac:dyDescent="0.3">
      <c r="M77" s="11"/>
      <c r="N77" s="11"/>
      <c r="O77" s="11"/>
      <c r="P77" s="11"/>
      <c r="Q77" s="11"/>
      <c r="R77" s="12"/>
      <c r="S77" s="12"/>
      <c r="W77" s="82"/>
      <c r="X77" s="86" t="s">
        <v>65</v>
      </c>
      <c r="Y77" s="91">
        <f>AB85</f>
        <v>50</v>
      </c>
      <c r="Z77" s="82" t="s">
        <v>53</v>
      </c>
      <c r="AA77" s="84" t="s">
        <v>66</v>
      </c>
      <c r="AB77" s="82" t="e">
        <f ca="1">[2]!FORVAR(AB79)</f>
        <v>#NAME?</v>
      </c>
      <c r="AC77" s="82"/>
      <c r="AF77" s="82"/>
      <c r="AG77" s="82"/>
    </row>
    <row r="78" spans="13:33" s="5" customFormat="1" ht="13.8" x14ac:dyDescent="0.3">
      <c r="M78" s="11"/>
      <c r="N78" s="11"/>
      <c r="O78" s="11"/>
      <c r="P78" s="11"/>
      <c r="Q78" s="11"/>
      <c r="R78" s="12"/>
      <c r="S78" s="12"/>
      <c r="W78" s="82"/>
      <c r="X78" s="86" t="s">
        <v>69</v>
      </c>
      <c r="Y78" s="91">
        <f>AB85</f>
        <v>50</v>
      </c>
      <c r="Z78" s="82" t="s">
        <v>53</v>
      </c>
      <c r="AA78" s="84" t="s">
        <v>66</v>
      </c>
      <c r="AB78" s="82" t="e">
        <f ca="1">[2]!forex(AB79,1)</f>
        <v>#NAME?</v>
      </c>
      <c r="AC78" s="82"/>
      <c r="AF78" s="82"/>
      <c r="AG78" s="82"/>
    </row>
    <row r="79" spans="13:33" s="5" customFormat="1" ht="13.8" x14ac:dyDescent="0.3">
      <c r="M79" s="11"/>
      <c r="N79" s="11"/>
      <c r="O79" s="11"/>
      <c r="P79" s="11"/>
      <c r="Q79" s="11"/>
      <c r="R79" s="12"/>
      <c r="S79" s="12"/>
      <c r="W79" s="82"/>
      <c r="X79" s="82"/>
      <c r="Y79" s="82"/>
      <c r="Z79" s="82"/>
      <c r="AA79" s="84" t="s">
        <v>66</v>
      </c>
      <c r="AB79" s="91">
        <f>(AB83/Y76)^0.5</f>
        <v>35.003571246374278</v>
      </c>
      <c r="AC79" s="83" t="s">
        <v>53</v>
      </c>
      <c r="AF79" s="82"/>
      <c r="AG79" s="82"/>
    </row>
    <row r="80" spans="13:33" s="5" customFormat="1" ht="13.8" x14ac:dyDescent="0.3">
      <c r="M80" s="11"/>
      <c r="N80" s="11"/>
      <c r="O80" s="11"/>
      <c r="P80" s="11"/>
      <c r="Q80" s="11"/>
      <c r="R80" s="12"/>
      <c r="S80" s="12"/>
      <c r="W80" s="82"/>
      <c r="X80" s="81" t="s">
        <v>70</v>
      </c>
      <c r="Y80" s="82"/>
      <c r="Z80" s="82"/>
      <c r="AA80" s="82"/>
      <c r="AB80" s="82"/>
      <c r="AC80" s="81"/>
      <c r="AD80" s="84"/>
      <c r="AF80" s="82"/>
      <c r="AG80" s="82"/>
    </row>
    <row r="81" spans="13:33" s="5" customFormat="1" ht="13.8" x14ac:dyDescent="0.3">
      <c r="M81" s="11"/>
      <c r="N81" s="11"/>
      <c r="O81" s="11"/>
      <c r="P81" s="11"/>
      <c r="Q81" s="11"/>
      <c r="R81" s="12"/>
      <c r="S81" s="12"/>
      <c r="W81" s="82"/>
      <c r="X81" s="84" t="s">
        <v>71</v>
      </c>
      <c r="Y81" s="82" t="e">
        <f ca="1">[2]!FORVAR(Y83)</f>
        <v>#NAME?</v>
      </c>
      <c r="Z81" s="82"/>
      <c r="AA81" s="86" t="s">
        <v>72</v>
      </c>
      <c r="AB81" s="82" t="e">
        <f ca="1">[2]!FORVAR(AB83)</f>
        <v>#NAME?</v>
      </c>
      <c r="AC81" s="82"/>
      <c r="AD81" s="82"/>
      <c r="AF81" s="82"/>
      <c r="AG81" s="82"/>
    </row>
    <row r="82" spans="13:33" s="5" customFormat="1" ht="13.8" x14ac:dyDescent="0.3">
      <c r="M82" s="11"/>
      <c r="N82" s="11"/>
      <c r="O82" s="11"/>
      <c r="P82" s="11"/>
      <c r="Q82" s="11"/>
      <c r="R82" s="12"/>
      <c r="S82" s="12"/>
      <c r="W82" s="82"/>
      <c r="X82" s="84" t="s">
        <v>71</v>
      </c>
      <c r="Y82" s="82" t="e">
        <f ca="1">[2]!forex(Y83,1)</f>
        <v>#NAME?</v>
      </c>
      <c r="Z82" s="82"/>
      <c r="AA82" s="86" t="s">
        <v>72</v>
      </c>
      <c r="AB82" s="82" t="e">
        <f ca="1">[2]!forex(AB83,1)</f>
        <v>#NAME?</v>
      </c>
      <c r="AC82" s="82"/>
      <c r="AD82" s="82"/>
      <c r="AE82" s="82"/>
      <c r="AF82" s="82"/>
      <c r="AG82" s="82"/>
    </row>
    <row r="83" spans="13:33" s="5" customFormat="1" ht="13.8" x14ac:dyDescent="0.3">
      <c r="M83" s="11"/>
      <c r="N83" s="11"/>
      <c r="O83" s="11"/>
      <c r="P83" s="11"/>
      <c r="Q83" s="11"/>
      <c r="R83" s="12"/>
      <c r="S83" s="12"/>
      <c r="W83" s="82"/>
      <c r="X83" s="84" t="s">
        <v>71</v>
      </c>
      <c r="Y83" s="90">
        <f>PI()*(AB85^4-AB86^4)/4</f>
        <v>381074.40348227852</v>
      </c>
      <c r="Z83" s="83" t="s">
        <v>68</v>
      </c>
      <c r="AA83" s="86" t="s">
        <v>72</v>
      </c>
      <c r="AB83" s="82">
        <f>PI()*(AB85^4-AB86^4)/4</f>
        <v>381074.40348227852</v>
      </c>
      <c r="AC83" s="83" t="s">
        <v>68</v>
      </c>
      <c r="AD83" s="93"/>
      <c r="AE83" s="83"/>
      <c r="AF83" s="82"/>
      <c r="AG83" s="82"/>
    </row>
    <row r="84" spans="13:33" s="5" customFormat="1" ht="13.8" x14ac:dyDescent="0.3">
      <c r="M84" s="11"/>
      <c r="N84" s="11"/>
      <c r="O84" s="11"/>
      <c r="P84" s="11"/>
      <c r="Q84" s="11"/>
      <c r="R84" s="12"/>
      <c r="S84" s="12"/>
      <c r="W84" s="82"/>
      <c r="X84" s="84" t="s">
        <v>73</v>
      </c>
      <c r="Y84" s="82" t="e">
        <f ca="1">[2]!FORVAR(Y86)</f>
        <v>#NAME?</v>
      </c>
      <c r="Z84" s="82"/>
      <c r="AA84" s="82"/>
      <c r="AB84" s="82"/>
      <c r="AC84" s="82"/>
      <c r="AD84" s="82"/>
      <c r="AE84" s="83"/>
      <c r="AF84" s="82"/>
      <c r="AG84" s="82"/>
    </row>
    <row r="85" spans="13:33" s="5" customFormat="1" ht="13.8" x14ac:dyDescent="0.3">
      <c r="M85" s="11"/>
      <c r="N85" s="11"/>
      <c r="O85" s="11"/>
      <c r="P85" s="11"/>
      <c r="Q85" s="11"/>
      <c r="R85" s="12"/>
      <c r="S85" s="12"/>
      <c r="W85" s="82"/>
      <c r="X85" s="84" t="s">
        <v>73</v>
      </c>
      <c r="Y85" s="82" t="e">
        <f ca="1">[2]!forex(Y86,1)</f>
        <v>#NAME?</v>
      </c>
      <c r="Z85" s="82"/>
      <c r="AA85" s="84" t="s">
        <v>120</v>
      </c>
      <c r="AB85" s="85">
        <v>50</v>
      </c>
      <c r="AC85" s="83" t="s">
        <v>53</v>
      </c>
      <c r="AD85" s="82"/>
      <c r="AE85" s="82"/>
      <c r="AF85" s="82"/>
      <c r="AG85" s="82"/>
    </row>
    <row r="86" spans="13:33" s="5" customFormat="1" ht="13.8" x14ac:dyDescent="0.3">
      <c r="M86" s="11"/>
      <c r="N86" s="11"/>
      <c r="O86" s="11"/>
      <c r="P86" s="11"/>
      <c r="Q86" s="11"/>
      <c r="R86" s="12"/>
      <c r="S86" s="12"/>
      <c r="W86" s="82"/>
      <c r="X86" s="84" t="s">
        <v>73</v>
      </c>
      <c r="Y86" s="90">
        <f>Y83+Y83</f>
        <v>762148.80696455704</v>
      </c>
      <c r="Z86" s="83" t="s">
        <v>68</v>
      </c>
      <c r="AA86" s="84" t="s">
        <v>121</v>
      </c>
      <c r="AB86" s="85">
        <v>49</v>
      </c>
      <c r="AC86" s="83" t="s">
        <v>53</v>
      </c>
      <c r="AD86" s="82"/>
      <c r="AE86" s="92"/>
      <c r="AF86" s="82"/>
      <c r="AG86" s="82"/>
    </row>
    <row r="87" spans="13:33" s="5" customFormat="1" ht="13.8" x14ac:dyDescent="0.3">
      <c r="M87" s="11"/>
      <c r="N87" s="11"/>
      <c r="O87" s="11"/>
      <c r="P87" s="11"/>
      <c r="Q87" s="11"/>
      <c r="R87" s="12"/>
      <c r="S87" s="12"/>
      <c r="W87" s="82"/>
      <c r="AA87" s="82"/>
      <c r="AB87" s="82"/>
      <c r="AC87" s="86"/>
      <c r="AD87" s="93"/>
      <c r="AE87" s="82"/>
      <c r="AF87" s="82"/>
      <c r="AG87" s="82"/>
    </row>
    <row r="88" spans="13:33" s="5" customFormat="1" ht="13.8" x14ac:dyDescent="0.3">
      <c r="M88" s="11"/>
      <c r="N88" s="11"/>
      <c r="O88" s="11"/>
      <c r="P88" s="11"/>
      <c r="Q88" s="11"/>
      <c r="R88" s="12"/>
      <c r="S88" s="12"/>
      <c r="W88" s="82"/>
      <c r="AE88" s="82"/>
      <c r="AF88" s="82"/>
      <c r="AG88" s="82"/>
    </row>
    <row r="89" spans="13:33" s="5" customFormat="1" ht="13.8" x14ac:dyDescent="0.3">
      <c r="M89" s="11"/>
      <c r="N89" s="11"/>
      <c r="O89" s="11"/>
      <c r="P89" s="11"/>
      <c r="Q89" s="11"/>
      <c r="R89" s="12"/>
      <c r="S89" s="12"/>
      <c r="W89" s="92"/>
      <c r="AE89" s="82"/>
      <c r="AF89" s="82"/>
      <c r="AG89" s="82"/>
    </row>
    <row r="90" spans="13:33" s="5" customFormat="1" ht="13.8" x14ac:dyDescent="0.3">
      <c r="M90" s="11"/>
      <c r="N90" s="11"/>
      <c r="O90" s="11"/>
      <c r="P90" s="11"/>
      <c r="Q90" s="11"/>
      <c r="R90" s="12"/>
      <c r="S90" s="12"/>
      <c r="W90" s="92"/>
      <c r="AE90" s="82"/>
      <c r="AF90" s="82"/>
      <c r="AG90" s="82"/>
    </row>
    <row r="91" spans="13:33" s="5" customFormat="1" ht="13.8" x14ac:dyDescent="0.3">
      <c r="M91" s="11"/>
      <c r="N91" s="11"/>
      <c r="O91" s="11"/>
      <c r="P91" s="11"/>
      <c r="Q91" s="11"/>
      <c r="R91" s="12"/>
      <c r="S91" s="12"/>
      <c r="W91" s="82"/>
      <c r="AE91" s="82"/>
      <c r="AF91" s="82"/>
      <c r="AG91" s="92"/>
    </row>
    <row r="92" spans="13:33" s="5" customFormat="1" ht="13.8" x14ac:dyDescent="0.3">
      <c r="M92" s="11"/>
      <c r="N92" s="11"/>
      <c r="O92" s="11"/>
      <c r="P92" s="11"/>
      <c r="Q92" s="11"/>
      <c r="R92" s="12"/>
      <c r="S92" s="12"/>
      <c r="W92" s="82"/>
      <c r="X92" s="82"/>
      <c r="Y92" s="82"/>
      <c r="Z92" s="82"/>
      <c r="AA92" s="82"/>
      <c r="AB92" s="82"/>
      <c r="AC92" s="82"/>
      <c r="AD92" s="82"/>
      <c r="AE92" s="82"/>
      <c r="AF92" s="82"/>
      <c r="AG92" s="92"/>
    </row>
    <row r="93" spans="13:33" s="5" customFormat="1" ht="13.8" x14ac:dyDescent="0.3">
      <c r="M93" s="11"/>
      <c r="N93" s="11"/>
      <c r="O93" s="11"/>
      <c r="P93" s="11"/>
      <c r="Q93" s="11"/>
      <c r="R93" s="12"/>
      <c r="S93" s="12"/>
      <c r="W93" s="82"/>
      <c r="AB93" s="82"/>
      <c r="AC93" s="84"/>
      <c r="AD93" s="82"/>
      <c r="AE93" s="82"/>
      <c r="AF93" s="82"/>
      <c r="AG93" s="82"/>
    </row>
    <row r="94" spans="13:33" s="5" customFormat="1" ht="13.8" x14ac:dyDescent="0.3">
      <c r="M94" s="11"/>
      <c r="N94" s="11"/>
      <c r="O94" s="11"/>
      <c r="P94" s="11"/>
      <c r="Q94" s="11"/>
      <c r="R94" s="12"/>
      <c r="S94" s="12"/>
      <c r="W94" s="82"/>
      <c r="AB94" s="82"/>
      <c r="AC94" s="84"/>
      <c r="AD94" s="82"/>
      <c r="AE94" s="82"/>
      <c r="AF94" s="82"/>
      <c r="AG94" s="82"/>
    </row>
    <row r="95" spans="13:33" s="5" customFormat="1" ht="13.8" x14ac:dyDescent="0.3">
      <c r="M95" s="11"/>
      <c r="N95" s="11"/>
      <c r="O95" s="11"/>
      <c r="P95" s="11"/>
      <c r="Q95" s="11"/>
      <c r="R95" s="12"/>
      <c r="S95" s="12"/>
      <c r="W95" s="82"/>
      <c r="AB95" s="82"/>
      <c r="AC95" s="84"/>
      <c r="AD95" s="93"/>
      <c r="AE95" s="82"/>
      <c r="AF95" s="82"/>
      <c r="AG95" s="82"/>
    </row>
    <row r="96" spans="13:33" s="5" customFormat="1" ht="13.8" x14ac:dyDescent="0.3">
      <c r="M96" s="11"/>
      <c r="N96" s="11"/>
      <c r="O96" s="11"/>
      <c r="P96" s="11"/>
      <c r="Q96" s="11"/>
      <c r="R96" s="12"/>
      <c r="S96" s="12"/>
    </row>
    <row r="97" spans="13:19" s="5" customFormat="1" ht="13.8" x14ac:dyDescent="0.3">
      <c r="M97" s="11"/>
      <c r="N97" s="11"/>
      <c r="O97" s="11"/>
      <c r="P97" s="11"/>
      <c r="Q97" s="11"/>
      <c r="R97" s="12"/>
      <c r="S97" s="12"/>
    </row>
    <row r="98" spans="13:19" s="5" customFormat="1" ht="13.8" x14ac:dyDescent="0.3">
      <c r="M98" s="11"/>
      <c r="N98" s="11"/>
      <c r="O98" s="11"/>
      <c r="P98" s="11"/>
      <c r="Q98" s="11"/>
      <c r="R98" s="12"/>
      <c r="S98" s="12"/>
    </row>
    <row r="99" spans="13:19" s="5" customFormat="1" ht="13.8" x14ac:dyDescent="0.3">
      <c r="M99" s="11"/>
      <c r="N99" s="11"/>
      <c r="O99" s="11"/>
      <c r="P99" s="11"/>
      <c r="Q99" s="11"/>
      <c r="R99" s="12"/>
      <c r="S99" s="12"/>
    </row>
    <row r="100" spans="13:19" s="5" customFormat="1" ht="13.8" x14ac:dyDescent="0.3">
      <c r="M100" s="11"/>
      <c r="N100" s="11"/>
      <c r="O100" s="11"/>
      <c r="P100" s="11"/>
      <c r="Q100" s="11"/>
      <c r="R100" s="12"/>
      <c r="S100" s="12"/>
    </row>
    <row r="101" spans="13:19" s="5" customFormat="1" ht="13.8" x14ac:dyDescent="0.3">
      <c r="M101" s="11"/>
      <c r="N101" s="11"/>
      <c r="O101" s="11"/>
      <c r="P101" s="11"/>
      <c r="Q101" s="11"/>
      <c r="R101" s="12"/>
      <c r="S101" s="12"/>
    </row>
    <row r="102" spans="13:19" s="5" customFormat="1" ht="13.8" x14ac:dyDescent="0.3">
      <c r="M102" s="11"/>
      <c r="N102" s="11"/>
      <c r="O102" s="11"/>
      <c r="P102" s="11"/>
      <c r="Q102" s="11"/>
      <c r="R102" s="12"/>
      <c r="S102" s="12"/>
    </row>
    <row r="103" spans="13:19" s="5" customFormat="1" ht="13.8" x14ac:dyDescent="0.3">
      <c r="M103" s="11"/>
      <c r="N103" s="11"/>
      <c r="O103" s="11"/>
      <c r="P103" s="11"/>
      <c r="Q103" s="11"/>
      <c r="R103" s="12"/>
      <c r="S103" s="12"/>
    </row>
    <row r="104" spans="13:19" s="5" customFormat="1" ht="13.8" x14ac:dyDescent="0.3">
      <c r="M104" s="11"/>
      <c r="N104" s="11"/>
      <c r="O104" s="11"/>
      <c r="P104" s="11"/>
      <c r="Q104" s="11"/>
      <c r="R104" s="12"/>
      <c r="S104" s="12"/>
    </row>
    <row r="105" spans="13:19" s="5" customFormat="1" ht="13.8" x14ac:dyDescent="0.3">
      <c r="M105" s="11"/>
      <c r="N105" s="11"/>
      <c r="O105" s="11"/>
      <c r="P105" s="11"/>
      <c r="Q105" s="11"/>
      <c r="R105" s="12"/>
      <c r="S105" s="12"/>
    </row>
    <row r="106" spans="13:19" s="5" customFormat="1" ht="13.8" x14ac:dyDescent="0.3">
      <c r="M106" s="11"/>
      <c r="N106" s="11"/>
      <c r="O106" s="11"/>
      <c r="P106" s="11"/>
      <c r="Q106" s="11"/>
      <c r="R106" s="12"/>
      <c r="S106" s="12"/>
    </row>
    <row r="107" spans="13:19" s="5" customFormat="1" ht="13.8" x14ac:dyDescent="0.3">
      <c r="M107" s="11"/>
      <c r="N107" s="11"/>
      <c r="O107" s="11"/>
      <c r="P107" s="11"/>
      <c r="Q107" s="11"/>
      <c r="R107" s="12"/>
      <c r="S107" s="12"/>
    </row>
    <row r="108" spans="13:19" s="5" customFormat="1" ht="13.8" x14ac:dyDescent="0.3">
      <c r="M108" s="11"/>
      <c r="N108" s="11"/>
      <c r="O108" s="11"/>
      <c r="P108" s="11"/>
      <c r="Q108" s="11"/>
      <c r="R108" s="12"/>
      <c r="S108" s="12"/>
    </row>
    <row r="109" spans="13:19" s="5" customFormat="1" ht="13.8" x14ac:dyDescent="0.3">
      <c r="M109" s="11"/>
      <c r="N109" s="11"/>
      <c r="O109" s="11"/>
      <c r="P109" s="11"/>
      <c r="Q109" s="11"/>
      <c r="R109" s="12"/>
      <c r="S109" s="12"/>
    </row>
    <row r="110" spans="13:19" s="5" customFormat="1" ht="13.8" x14ac:dyDescent="0.3">
      <c r="M110" s="11"/>
      <c r="N110" s="11"/>
      <c r="O110" s="11"/>
      <c r="P110" s="11"/>
      <c r="Q110" s="11"/>
      <c r="R110" s="12"/>
      <c r="S110" s="12"/>
    </row>
    <row r="111" spans="13:19" s="5" customFormat="1" ht="13.8" x14ac:dyDescent="0.3">
      <c r="M111" s="11"/>
      <c r="N111" s="11"/>
      <c r="O111" s="11"/>
      <c r="P111" s="11"/>
      <c r="Q111" s="11"/>
      <c r="R111" s="12"/>
      <c r="S111" s="12"/>
    </row>
    <row r="112" spans="13:19" s="5" customFormat="1" ht="13.8" x14ac:dyDescent="0.3">
      <c r="M112" s="11"/>
      <c r="N112" s="11"/>
      <c r="O112" s="11"/>
      <c r="P112" s="11"/>
      <c r="Q112" s="11"/>
      <c r="R112" s="12"/>
      <c r="S112" s="12"/>
    </row>
    <row r="113" spans="13:19" s="5" customFormat="1" ht="13.8" x14ac:dyDescent="0.3">
      <c r="M113" s="11"/>
      <c r="N113" s="11"/>
      <c r="O113" s="11"/>
      <c r="P113" s="11"/>
      <c r="Q113" s="11"/>
      <c r="R113" s="12"/>
      <c r="S113" s="12"/>
    </row>
    <row r="114" spans="13:19" s="5" customFormat="1" ht="13.8" x14ac:dyDescent="0.3">
      <c r="M114" s="11"/>
      <c r="N114" s="11"/>
      <c r="O114" s="11"/>
      <c r="P114" s="11"/>
      <c r="Q114" s="11"/>
      <c r="R114" s="12"/>
      <c r="S114" s="12"/>
    </row>
    <row r="115" spans="13:19" s="5" customFormat="1" ht="13.8" x14ac:dyDescent="0.3">
      <c r="M115" s="11"/>
      <c r="N115" s="11"/>
      <c r="O115" s="11"/>
      <c r="P115" s="11"/>
      <c r="Q115" s="11"/>
      <c r="R115" s="12"/>
      <c r="S115" s="12"/>
    </row>
    <row r="116" spans="13:19" s="5" customFormat="1" ht="13.8" x14ac:dyDescent="0.3">
      <c r="M116" s="11"/>
      <c r="N116" s="11"/>
      <c r="O116" s="11"/>
      <c r="P116" s="11"/>
      <c r="Q116" s="11"/>
      <c r="R116" s="12"/>
      <c r="S116" s="12"/>
    </row>
    <row r="117" spans="13:19" s="5" customFormat="1" ht="13.8" x14ac:dyDescent="0.3">
      <c r="M117" s="11"/>
      <c r="N117" s="11"/>
      <c r="O117" s="11"/>
      <c r="P117" s="11"/>
      <c r="Q117" s="11"/>
      <c r="R117" s="12"/>
      <c r="S117" s="12"/>
    </row>
    <row r="118" spans="13:19" s="5" customFormat="1" ht="13.8" x14ac:dyDescent="0.3">
      <c r="M118" s="11"/>
      <c r="N118" s="11"/>
      <c r="O118" s="11"/>
      <c r="P118" s="11"/>
      <c r="Q118" s="11"/>
      <c r="R118" s="12"/>
      <c r="S118" s="12"/>
    </row>
    <row r="119" spans="13:19" s="5" customFormat="1" ht="13.8" x14ac:dyDescent="0.3">
      <c r="M119" s="11"/>
      <c r="N119" s="11"/>
      <c r="O119" s="11"/>
      <c r="P119" s="11"/>
      <c r="Q119" s="11"/>
      <c r="R119" s="12"/>
      <c r="S119" s="12"/>
    </row>
    <row r="120" spans="13:19" s="5" customFormat="1" ht="13.8" x14ac:dyDescent="0.3">
      <c r="M120" s="11"/>
      <c r="N120" s="11"/>
      <c r="O120" s="11"/>
      <c r="P120" s="11"/>
      <c r="Q120" s="11"/>
      <c r="R120" s="12"/>
      <c r="S120" s="12"/>
    </row>
    <row r="121" spans="13:19" s="5" customFormat="1" ht="13.8" x14ac:dyDescent="0.3">
      <c r="M121" s="11"/>
      <c r="N121" s="11"/>
      <c r="O121" s="11"/>
      <c r="P121" s="11"/>
      <c r="Q121" s="11"/>
      <c r="R121" s="12"/>
      <c r="S121" s="12"/>
    </row>
    <row r="122" spans="13:19" s="5" customFormat="1" ht="13.8" x14ac:dyDescent="0.3">
      <c r="M122" s="11"/>
      <c r="N122" s="11"/>
      <c r="O122" s="11"/>
      <c r="P122" s="11"/>
      <c r="Q122" s="11"/>
      <c r="R122" s="12"/>
      <c r="S122" s="12"/>
    </row>
    <row r="123" spans="13:19" s="5" customFormat="1" ht="13.8" x14ac:dyDescent="0.3">
      <c r="M123" s="11"/>
      <c r="N123" s="11"/>
      <c r="O123" s="11"/>
      <c r="P123" s="11"/>
      <c r="Q123" s="11"/>
      <c r="R123" s="12"/>
      <c r="S123" s="12"/>
    </row>
    <row r="124" spans="13:19" s="5" customFormat="1" ht="13.8" x14ac:dyDescent="0.3">
      <c r="M124" s="11"/>
      <c r="N124" s="11"/>
      <c r="O124" s="11"/>
      <c r="P124" s="11"/>
      <c r="Q124" s="11"/>
      <c r="R124" s="12"/>
      <c r="S124" s="12"/>
    </row>
    <row r="125" spans="13:19" s="5" customFormat="1" ht="13.8" x14ac:dyDescent="0.3">
      <c r="M125" s="11"/>
      <c r="N125" s="11"/>
      <c r="O125" s="11"/>
      <c r="P125" s="11"/>
      <c r="Q125" s="11"/>
      <c r="R125" s="12"/>
      <c r="S125" s="12"/>
    </row>
    <row r="126" spans="13:19" s="5" customFormat="1" ht="13.8" x14ac:dyDescent="0.3">
      <c r="M126" s="11"/>
      <c r="N126" s="11"/>
      <c r="O126" s="11"/>
      <c r="P126" s="11"/>
      <c r="Q126" s="11"/>
      <c r="R126" s="12"/>
      <c r="S126" s="12"/>
    </row>
    <row r="127" spans="13:19" s="5" customFormat="1" ht="13.8" x14ac:dyDescent="0.3">
      <c r="M127" s="11"/>
      <c r="N127" s="11"/>
      <c r="O127" s="11"/>
      <c r="P127" s="11"/>
      <c r="Q127" s="11"/>
      <c r="R127" s="12"/>
      <c r="S127" s="12"/>
    </row>
    <row r="128" spans="13:19" s="5" customFormat="1" ht="13.8" x14ac:dyDescent="0.3">
      <c r="M128" s="11"/>
      <c r="N128" s="11"/>
      <c r="O128" s="11"/>
      <c r="P128" s="11"/>
      <c r="Q128" s="11"/>
      <c r="R128" s="12"/>
      <c r="S128" s="12"/>
    </row>
    <row r="129" spans="13:19" s="5" customFormat="1" ht="13.8" x14ac:dyDescent="0.3">
      <c r="M129" s="11"/>
      <c r="N129" s="11"/>
      <c r="O129" s="11"/>
      <c r="P129" s="11"/>
      <c r="Q129" s="11"/>
      <c r="R129" s="12"/>
      <c r="S129" s="12"/>
    </row>
    <row r="130" spans="13:19" s="5" customFormat="1" ht="13.8" x14ac:dyDescent="0.3">
      <c r="M130" s="11"/>
      <c r="N130" s="11"/>
      <c r="O130" s="11"/>
      <c r="P130" s="11"/>
      <c r="Q130" s="11"/>
      <c r="R130" s="12"/>
      <c r="S130" s="12"/>
    </row>
    <row r="131" spans="13:19" s="5" customFormat="1" ht="13.8" x14ac:dyDescent="0.3">
      <c r="M131" s="11"/>
      <c r="N131" s="11"/>
      <c r="O131" s="11"/>
      <c r="P131" s="11"/>
      <c r="Q131" s="11"/>
      <c r="R131" s="12"/>
      <c r="S131" s="12"/>
    </row>
    <row r="132" spans="13:19" s="5" customFormat="1" ht="13.8" x14ac:dyDescent="0.3">
      <c r="M132" s="11"/>
      <c r="N132" s="11"/>
      <c r="O132" s="11"/>
      <c r="P132" s="11"/>
      <c r="Q132" s="11"/>
      <c r="R132" s="12"/>
      <c r="S132" s="12"/>
    </row>
    <row r="133" spans="13:19" s="5" customFormat="1" ht="13.8" x14ac:dyDescent="0.3">
      <c r="M133" s="11"/>
      <c r="N133" s="11"/>
      <c r="O133" s="11"/>
      <c r="P133" s="11"/>
      <c r="Q133" s="11"/>
      <c r="R133" s="12"/>
      <c r="S133" s="12"/>
    </row>
    <row r="134" spans="13:19" s="5" customFormat="1" ht="13.8" x14ac:dyDescent="0.3">
      <c r="M134" s="11"/>
      <c r="N134" s="11"/>
      <c r="O134" s="11"/>
      <c r="P134" s="11"/>
      <c r="Q134" s="11"/>
      <c r="R134" s="12"/>
      <c r="S134" s="12"/>
    </row>
    <row r="135" spans="13:19" s="5" customFormat="1" ht="13.8" x14ac:dyDescent="0.3">
      <c r="M135" s="11"/>
      <c r="N135" s="11"/>
      <c r="O135" s="11"/>
      <c r="P135" s="11"/>
      <c r="Q135" s="11"/>
      <c r="R135" s="12"/>
      <c r="S135" s="12"/>
    </row>
    <row r="136" spans="13:19" s="5" customFormat="1" ht="13.8" x14ac:dyDescent="0.3">
      <c r="M136" s="11"/>
      <c r="N136" s="11"/>
      <c r="O136" s="11"/>
      <c r="P136" s="11"/>
      <c r="Q136" s="11"/>
      <c r="R136" s="12"/>
      <c r="S136" s="12"/>
    </row>
    <row r="137" spans="13:19" s="5" customFormat="1" ht="13.8" x14ac:dyDescent="0.3">
      <c r="M137" s="11"/>
      <c r="N137" s="11"/>
      <c r="O137" s="11"/>
      <c r="P137" s="11"/>
      <c r="Q137" s="11"/>
      <c r="R137" s="12"/>
      <c r="S137" s="12"/>
    </row>
    <row r="138" spans="13:19" s="5" customFormat="1" ht="13.8" x14ac:dyDescent="0.3">
      <c r="M138" s="11"/>
      <c r="N138" s="11"/>
      <c r="O138" s="11"/>
      <c r="P138" s="11"/>
      <c r="Q138" s="11"/>
      <c r="R138" s="12"/>
      <c r="S138" s="12"/>
    </row>
    <row r="139" spans="13:19" s="5" customFormat="1" ht="13.8" x14ac:dyDescent="0.3">
      <c r="M139" s="11"/>
      <c r="N139" s="11"/>
      <c r="O139" s="11"/>
      <c r="P139" s="11"/>
      <c r="Q139" s="11"/>
      <c r="R139" s="12"/>
      <c r="S139" s="12"/>
    </row>
    <row r="140" spans="13:19" s="5" customFormat="1" ht="13.8" x14ac:dyDescent="0.3">
      <c r="M140" s="11"/>
      <c r="N140" s="11"/>
      <c r="O140" s="11"/>
      <c r="P140" s="11"/>
      <c r="Q140" s="11"/>
      <c r="R140" s="12"/>
      <c r="S140" s="12"/>
    </row>
    <row r="141" spans="13:19" s="5" customFormat="1" ht="13.8" x14ac:dyDescent="0.3">
      <c r="M141" s="11"/>
      <c r="N141" s="11"/>
      <c r="O141" s="11"/>
      <c r="P141" s="11"/>
      <c r="Q141" s="11"/>
      <c r="R141" s="12"/>
      <c r="S141" s="12"/>
    </row>
    <row r="142" spans="13:19" s="5" customFormat="1" ht="13.8" x14ac:dyDescent="0.3">
      <c r="M142" s="11"/>
      <c r="N142" s="11"/>
      <c r="O142" s="11"/>
      <c r="P142" s="11"/>
      <c r="Q142" s="11"/>
      <c r="R142" s="12"/>
      <c r="S142" s="12"/>
    </row>
    <row r="143" spans="13:19" s="5" customFormat="1" ht="13.8" x14ac:dyDescent="0.3">
      <c r="M143" s="11"/>
      <c r="N143" s="11"/>
      <c r="O143" s="11"/>
      <c r="P143" s="11"/>
      <c r="Q143" s="11"/>
      <c r="R143" s="12"/>
      <c r="S143" s="12"/>
    </row>
    <row r="144" spans="13:19" s="5" customFormat="1" ht="13.8" x14ac:dyDescent="0.3">
      <c r="M144" s="11"/>
      <c r="N144" s="11"/>
      <c r="O144" s="11"/>
      <c r="P144" s="11"/>
      <c r="Q144" s="11"/>
      <c r="R144" s="12"/>
      <c r="S144" s="12"/>
    </row>
    <row r="145" spans="13:19" s="5" customFormat="1" ht="13.8" x14ac:dyDescent="0.3">
      <c r="M145" s="11"/>
      <c r="N145" s="11"/>
      <c r="O145" s="11"/>
      <c r="P145" s="11"/>
      <c r="Q145" s="11"/>
      <c r="R145" s="12"/>
      <c r="S145" s="12"/>
    </row>
    <row r="146" spans="13:19" s="5" customFormat="1" ht="13.8" x14ac:dyDescent="0.3">
      <c r="M146" s="11"/>
      <c r="N146" s="11"/>
      <c r="O146" s="11"/>
      <c r="P146" s="11"/>
      <c r="Q146" s="11"/>
      <c r="R146" s="12"/>
      <c r="S146" s="12"/>
    </row>
    <row r="147" spans="13:19" s="5" customFormat="1" ht="13.8" x14ac:dyDescent="0.3">
      <c r="M147" s="11"/>
      <c r="N147" s="11"/>
      <c r="O147" s="11"/>
      <c r="P147" s="11"/>
      <c r="Q147" s="11"/>
      <c r="R147" s="12"/>
      <c r="S147" s="12"/>
    </row>
    <row r="148" spans="13:19" s="5" customFormat="1" ht="13.8" x14ac:dyDescent="0.3">
      <c r="M148" s="11"/>
      <c r="N148" s="11"/>
      <c r="O148" s="11"/>
      <c r="P148" s="11"/>
      <c r="Q148" s="11"/>
      <c r="R148" s="12"/>
      <c r="S148" s="12"/>
    </row>
    <row r="149" spans="13:19" s="5" customFormat="1" ht="13.8" x14ac:dyDescent="0.3">
      <c r="M149" s="11"/>
      <c r="N149" s="11"/>
      <c r="O149" s="11"/>
      <c r="P149" s="11"/>
      <c r="Q149" s="11"/>
      <c r="R149" s="12"/>
      <c r="S149" s="12"/>
    </row>
    <row r="150" spans="13:19" s="5" customFormat="1" ht="13.8" x14ac:dyDescent="0.3">
      <c r="M150" s="11"/>
      <c r="N150" s="11"/>
      <c r="O150" s="11"/>
      <c r="P150" s="11"/>
      <c r="Q150" s="11"/>
      <c r="R150" s="12"/>
      <c r="S150" s="12"/>
    </row>
    <row r="151" spans="13:19" s="5" customFormat="1" ht="13.8" x14ac:dyDescent="0.3">
      <c r="M151" s="11"/>
      <c r="N151" s="11"/>
      <c r="O151" s="11"/>
      <c r="P151" s="11"/>
      <c r="Q151" s="11"/>
      <c r="R151" s="12"/>
      <c r="S151" s="12"/>
    </row>
    <row r="152" spans="13:19" s="5" customFormat="1" ht="13.8" x14ac:dyDescent="0.3">
      <c r="M152" s="11"/>
      <c r="N152" s="11"/>
      <c r="O152" s="11"/>
      <c r="P152" s="11"/>
      <c r="Q152" s="11"/>
      <c r="R152" s="12"/>
      <c r="S152" s="12"/>
    </row>
    <row r="153" spans="13:19" s="5" customFormat="1" ht="13.8" x14ac:dyDescent="0.3">
      <c r="M153" s="11"/>
      <c r="N153" s="11"/>
      <c r="O153" s="11"/>
      <c r="P153" s="11"/>
      <c r="Q153" s="11"/>
      <c r="R153" s="12"/>
      <c r="S153" s="12"/>
    </row>
    <row r="154" spans="13:19" s="5" customFormat="1" ht="13.8" x14ac:dyDescent="0.3">
      <c r="M154" s="11"/>
      <c r="N154" s="11"/>
      <c r="O154" s="11"/>
      <c r="P154" s="11"/>
      <c r="Q154" s="11"/>
      <c r="R154" s="12"/>
      <c r="S154" s="12"/>
    </row>
    <row r="155" spans="13:19" s="5" customFormat="1" ht="13.8" x14ac:dyDescent="0.3">
      <c r="M155" s="11"/>
      <c r="N155" s="11"/>
      <c r="O155" s="11"/>
      <c r="P155" s="11"/>
      <c r="Q155" s="11"/>
      <c r="R155" s="12"/>
      <c r="S155" s="12"/>
    </row>
    <row r="156" spans="13:19" s="5" customFormat="1" ht="13.8" x14ac:dyDescent="0.3">
      <c r="M156" s="11"/>
      <c r="N156" s="11"/>
      <c r="O156" s="11"/>
      <c r="P156" s="11"/>
      <c r="Q156" s="11"/>
      <c r="R156" s="12"/>
      <c r="S156" s="12"/>
    </row>
    <row r="157" spans="13:19" s="5" customFormat="1" ht="13.8" x14ac:dyDescent="0.3">
      <c r="M157" s="11"/>
      <c r="N157" s="11"/>
      <c r="O157" s="11"/>
      <c r="P157" s="11"/>
      <c r="Q157" s="11"/>
      <c r="R157" s="12"/>
      <c r="S157" s="12"/>
    </row>
    <row r="158" spans="13:19" s="5" customFormat="1" ht="13.8" x14ac:dyDescent="0.3">
      <c r="M158" s="11"/>
      <c r="N158" s="11"/>
      <c r="O158" s="11"/>
      <c r="P158" s="11"/>
      <c r="Q158" s="11"/>
      <c r="R158" s="12"/>
      <c r="S158" s="12"/>
    </row>
    <row r="159" spans="13:19" s="5" customFormat="1" ht="13.8" x14ac:dyDescent="0.3">
      <c r="M159" s="11"/>
      <c r="N159" s="11"/>
      <c r="O159" s="11"/>
      <c r="P159" s="11"/>
      <c r="Q159" s="11"/>
      <c r="R159" s="12"/>
      <c r="S159" s="12"/>
    </row>
    <row r="160" spans="13:19" s="5" customFormat="1" ht="13.8" x14ac:dyDescent="0.3">
      <c r="M160" s="11"/>
      <c r="N160" s="11"/>
      <c r="O160" s="11"/>
      <c r="P160" s="11"/>
      <c r="Q160" s="11"/>
      <c r="R160" s="12"/>
      <c r="S160" s="12"/>
    </row>
    <row r="161" spans="13:19" s="5" customFormat="1" ht="13.8" x14ac:dyDescent="0.3">
      <c r="M161" s="11"/>
      <c r="N161" s="11"/>
      <c r="O161" s="11"/>
      <c r="P161" s="11"/>
      <c r="Q161" s="11"/>
      <c r="R161" s="12"/>
      <c r="S161" s="12"/>
    </row>
    <row r="162" spans="13:19" s="5" customFormat="1" ht="13.8" x14ac:dyDescent="0.3">
      <c r="M162" s="11"/>
      <c r="N162" s="11"/>
      <c r="O162" s="11"/>
      <c r="P162" s="11"/>
      <c r="Q162" s="11"/>
      <c r="R162" s="12"/>
      <c r="S162" s="12"/>
    </row>
    <row r="163" spans="13:19" s="5" customFormat="1" ht="13.8" x14ac:dyDescent="0.3">
      <c r="M163" s="11"/>
      <c r="N163" s="11"/>
      <c r="O163" s="11"/>
      <c r="P163" s="11"/>
      <c r="Q163" s="11"/>
      <c r="R163" s="12"/>
      <c r="S163" s="12"/>
    </row>
    <row r="164" spans="13:19" s="5" customFormat="1" ht="13.8" x14ac:dyDescent="0.3">
      <c r="M164" s="11"/>
      <c r="N164" s="11"/>
      <c r="O164" s="11"/>
      <c r="P164" s="11"/>
      <c r="Q164" s="11"/>
      <c r="R164" s="12"/>
      <c r="S164" s="12"/>
    </row>
    <row r="165" spans="13:19" s="5" customFormat="1" ht="13.8" x14ac:dyDescent="0.3">
      <c r="M165" s="11"/>
      <c r="N165" s="11"/>
      <c r="O165" s="11"/>
      <c r="P165" s="11"/>
      <c r="Q165" s="11"/>
      <c r="R165" s="12"/>
      <c r="S165" s="12"/>
    </row>
    <row r="166" spans="13:19" s="5" customFormat="1" ht="13.8" x14ac:dyDescent="0.3">
      <c r="M166" s="11"/>
      <c r="N166" s="11"/>
      <c r="O166" s="11"/>
      <c r="P166" s="11"/>
      <c r="Q166" s="11"/>
      <c r="R166" s="12"/>
      <c r="S166" s="12"/>
    </row>
    <row r="167" spans="13:19" s="5" customFormat="1" ht="13.8" x14ac:dyDescent="0.3">
      <c r="M167" s="11"/>
      <c r="N167" s="11"/>
      <c r="O167" s="11"/>
      <c r="P167" s="11"/>
      <c r="Q167" s="11"/>
      <c r="R167" s="12"/>
      <c r="S167" s="12"/>
    </row>
    <row r="168" spans="13:19" s="5" customFormat="1" ht="13.8" x14ac:dyDescent="0.3">
      <c r="M168" s="11"/>
      <c r="N168" s="11"/>
      <c r="O168" s="11"/>
      <c r="P168" s="11"/>
      <c r="Q168" s="11"/>
      <c r="R168" s="12"/>
      <c r="S168" s="12"/>
    </row>
    <row r="169" spans="13:19" s="5" customFormat="1" ht="13.8" x14ac:dyDescent="0.3">
      <c r="M169" s="11"/>
      <c r="N169" s="11"/>
      <c r="O169" s="11"/>
      <c r="P169" s="11"/>
      <c r="Q169" s="11"/>
      <c r="R169" s="12"/>
      <c r="S169" s="12"/>
    </row>
    <row r="170" spans="13:19" s="5" customFormat="1" ht="13.8" x14ac:dyDescent="0.3">
      <c r="M170" s="11"/>
      <c r="N170" s="11"/>
      <c r="O170" s="11"/>
      <c r="P170" s="11"/>
      <c r="Q170" s="11"/>
      <c r="R170" s="12"/>
      <c r="S170" s="12"/>
    </row>
    <row r="171" spans="13:19" s="5" customFormat="1" ht="13.8" x14ac:dyDescent="0.3">
      <c r="M171" s="11"/>
      <c r="N171" s="11"/>
      <c r="O171" s="11"/>
      <c r="P171" s="11"/>
      <c r="Q171" s="11"/>
      <c r="R171" s="12"/>
      <c r="S171" s="12"/>
    </row>
    <row r="172" spans="13:19" s="5" customFormat="1" ht="13.8" x14ac:dyDescent="0.3">
      <c r="M172" s="11"/>
      <c r="N172" s="11"/>
      <c r="O172" s="11"/>
      <c r="P172" s="11"/>
      <c r="Q172" s="11"/>
      <c r="R172" s="12"/>
      <c r="S172" s="12"/>
    </row>
    <row r="173" spans="13:19" s="5" customFormat="1" ht="13.8" x14ac:dyDescent="0.3">
      <c r="M173" s="11"/>
      <c r="N173" s="11"/>
      <c r="O173" s="11"/>
      <c r="P173" s="11"/>
      <c r="Q173" s="11"/>
      <c r="R173" s="12"/>
      <c r="S173" s="12"/>
    </row>
    <row r="174" spans="13:19" s="5" customFormat="1" ht="13.8" x14ac:dyDescent="0.3">
      <c r="M174" s="11"/>
      <c r="N174" s="11"/>
      <c r="O174" s="11"/>
      <c r="P174" s="11"/>
      <c r="Q174" s="11"/>
      <c r="R174" s="12"/>
      <c r="S174" s="12"/>
    </row>
    <row r="175" spans="13:19" s="5" customFormat="1" ht="13.8" x14ac:dyDescent="0.3">
      <c r="M175" s="11"/>
      <c r="N175" s="11"/>
      <c r="O175" s="11"/>
      <c r="P175" s="11"/>
      <c r="Q175" s="11"/>
      <c r="R175" s="12"/>
      <c r="S175" s="12"/>
    </row>
    <row r="176" spans="13:19" s="5" customFormat="1" ht="13.8" x14ac:dyDescent="0.3">
      <c r="M176" s="11"/>
      <c r="N176" s="11"/>
      <c r="O176" s="11"/>
      <c r="P176" s="11"/>
      <c r="Q176" s="11"/>
      <c r="R176" s="12"/>
      <c r="S176" s="12"/>
    </row>
    <row r="177" spans="13:19" s="5" customFormat="1" ht="13.8" x14ac:dyDescent="0.3">
      <c r="M177" s="11"/>
      <c r="N177" s="11"/>
      <c r="O177" s="11"/>
      <c r="P177" s="11"/>
      <c r="Q177" s="11"/>
      <c r="R177" s="12"/>
      <c r="S177" s="12"/>
    </row>
    <row r="178" spans="13:19" s="5" customFormat="1" ht="13.8" x14ac:dyDescent="0.3">
      <c r="M178" s="11"/>
      <c r="N178" s="11"/>
      <c r="O178" s="11"/>
      <c r="P178" s="11"/>
      <c r="Q178" s="11"/>
      <c r="R178" s="12"/>
      <c r="S178" s="12"/>
    </row>
    <row r="179" spans="13:19" s="5" customFormat="1" ht="13.8" x14ac:dyDescent="0.3">
      <c r="M179" s="11"/>
      <c r="N179" s="11"/>
      <c r="O179" s="11"/>
      <c r="P179" s="11"/>
      <c r="Q179" s="11"/>
      <c r="R179" s="12"/>
      <c r="S179" s="12"/>
    </row>
    <row r="180" spans="13:19" s="5" customFormat="1" ht="13.8" x14ac:dyDescent="0.3">
      <c r="M180" s="11"/>
      <c r="N180" s="11"/>
      <c r="O180" s="11"/>
      <c r="P180" s="11"/>
      <c r="Q180" s="11"/>
      <c r="R180" s="12"/>
      <c r="S180" s="12"/>
    </row>
    <row r="181" spans="13:19" s="5" customFormat="1" ht="13.8" x14ac:dyDescent="0.3">
      <c r="M181" s="11"/>
      <c r="N181" s="11"/>
      <c r="O181" s="11"/>
      <c r="P181" s="11"/>
      <c r="Q181" s="11"/>
      <c r="R181" s="12"/>
      <c r="S181" s="12"/>
    </row>
    <row r="182" spans="13:19" s="5" customFormat="1" ht="13.8" x14ac:dyDescent="0.3">
      <c r="M182" s="11"/>
      <c r="N182" s="11"/>
      <c r="O182" s="11"/>
      <c r="P182" s="11"/>
      <c r="Q182" s="11"/>
      <c r="R182" s="12"/>
      <c r="S182" s="12"/>
    </row>
    <row r="183" spans="13:19" s="5" customFormat="1" ht="13.8" x14ac:dyDescent="0.3">
      <c r="M183" s="11"/>
      <c r="N183" s="11"/>
      <c r="O183" s="11"/>
      <c r="P183" s="11"/>
      <c r="Q183" s="11"/>
      <c r="R183" s="12"/>
      <c r="S183" s="12"/>
    </row>
    <row r="184" spans="13:19" s="5" customFormat="1" ht="13.8" x14ac:dyDescent="0.3">
      <c r="M184" s="11"/>
      <c r="N184" s="11"/>
      <c r="O184" s="11"/>
      <c r="P184" s="11"/>
      <c r="Q184" s="11"/>
      <c r="R184" s="12"/>
      <c r="S184" s="12"/>
    </row>
    <row r="185" spans="13:19" s="5" customFormat="1" ht="13.8" x14ac:dyDescent="0.3">
      <c r="M185" s="11"/>
      <c r="N185" s="11"/>
      <c r="O185" s="11"/>
      <c r="P185" s="11"/>
      <c r="Q185" s="11"/>
      <c r="R185" s="12"/>
      <c r="S185" s="12"/>
    </row>
    <row r="186" spans="13:19" s="5" customFormat="1" ht="13.8" x14ac:dyDescent="0.3">
      <c r="M186" s="11"/>
      <c r="N186" s="11"/>
      <c r="O186" s="11"/>
      <c r="P186" s="11"/>
      <c r="Q186" s="11"/>
      <c r="R186" s="12"/>
      <c r="S186" s="12"/>
    </row>
    <row r="187" spans="13:19" s="5" customFormat="1" ht="13.8" x14ac:dyDescent="0.3">
      <c r="M187" s="11"/>
      <c r="N187" s="11"/>
      <c r="O187" s="11"/>
      <c r="P187" s="11"/>
      <c r="Q187" s="11"/>
      <c r="R187" s="12"/>
      <c r="S187" s="12"/>
    </row>
    <row r="188" spans="13:19" s="5" customFormat="1" ht="13.8" x14ac:dyDescent="0.3">
      <c r="M188" s="11"/>
      <c r="N188" s="11"/>
      <c r="O188" s="11"/>
      <c r="P188" s="11"/>
      <c r="Q188" s="11"/>
      <c r="R188" s="12"/>
      <c r="S188" s="12"/>
    </row>
    <row r="189" spans="13:19" s="5" customFormat="1" ht="13.8" x14ac:dyDescent="0.3">
      <c r="M189" s="11"/>
      <c r="N189" s="11"/>
      <c r="O189" s="11"/>
      <c r="P189" s="11"/>
      <c r="Q189" s="11"/>
      <c r="R189" s="12"/>
      <c r="S189" s="12"/>
    </row>
    <row r="190" spans="13:19" s="5" customFormat="1" ht="13.8" x14ac:dyDescent="0.3">
      <c r="M190" s="11"/>
      <c r="N190" s="11"/>
      <c r="O190" s="11"/>
      <c r="P190" s="11"/>
      <c r="Q190" s="11"/>
      <c r="R190" s="12"/>
      <c r="S190" s="12"/>
    </row>
    <row r="191" spans="13:19" s="5" customFormat="1" ht="13.8" x14ac:dyDescent="0.3">
      <c r="M191" s="11"/>
      <c r="N191" s="11"/>
      <c r="O191" s="11"/>
      <c r="P191" s="11"/>
      <c r="Q191" s="11"/>
      <c r="R191" s="12"/>
      <c r="S191" s="12"/>
    </row>
    <row r="192" spans="13:19" s="5" customFormat="1" ht="13.8" x14ac:dyDescent="0.3">
      <c r="M192" s="11"/>
      <c r="N192" s="11"/>
      <c r="O192" s="11"/>
      <c r="P192" s="11"/>
      <c r="Q192" s="11"/>
      <c r="R192" s="12"/>
      <c r="S192" s="12"/>
    </row>
    <row r="193" spans="13:19" s="5" customFormat="1" ht="13.8" x14ac:dyDescent="0.3">
      <c r="M193" s="11"/>
      <c r="N193" s="11"/>
      <c r="O193" s="11"/>
      <c r="P193" s="11"/>
      <c r="Q193" s="11"/>
      <c r="R193" s="12"/>
      <c r="S193" s="12"/>
    </row>
    <row r="194" spans="13:19" s="5" customFormat="1" ht="13.8" x14ac:dyDescent="0.3">
      <c r="M194" s="11"/>
      <c r="N194" s="11"/>
      <c r="O194" s="11"/>
      <c r="P194" s="11"/>
      <c r="Q194" s="11"/>
      <c r="R194" s="12"/>
      <c r="S194" s="12"/>
    </row>
    <row r="195" spans="13:19" s="5" customFormat="1" ht="13.8" x14ac:dyDescent="0.3">
      <c r="M195" s="11"/>
      <c r="N195" s="11"/>
      <c r="O195" s="11"/>
      <c r="P195" s="11"/>
      <c r="Q195" s="11"/>
      <c r="R195" s="12"/>
      <c r="S195" s="12"/>
    </row>
    <row r="196" spans="13:19" s="5" customFormat="1" ht="13.8" x14ac:dyDescent="0.3">
      <c r="M196" s="11"/>
      <c r="N196" s="11"/>
      <c r="O196" s="11"/>
      <c r="P196" s="11"/>
      <c r="Q196" s="11"/>
      <c r="R196" s="12"/>
      <c r="S196" s="12"/>
    </row>
    <row r="197" spans="13:19" s="5" customFormat="1" ht="13.8" x14ac:dyDescent="0.3">
      <c r="M197" s="11"/>
      <c r="N197" s="11"/>
      <c r="O197" s="11"/>
      <c r="P197" s="11"/>
      <c r="Q197" s="11"/>
      <c r="R197" s="12"/>
      <c r="S197" s="12"/>
    </row>
    <row r="198" spans="13:19" s="5" customFormat="1" ht="13.8" x14ac:dyDescent="0.3">
      <c r="M198" s="11"/>
      <c r="N198" s="11"/>
      <c r="O198" s="11"/>
      <c r="P198" s="11"/>
      <c r="Q198" s="11"/>
      <c r="R198" s="12"/>
      <c r="S198" s="12"/>
    </row>
    <row r="199" spans="13:19" s="5" customFormat="1" ht="13.8" x14ac:dyDescent="0.3">
      <c r="M199" s="11"/>
      <c r="N199" s="11"/>
      <c r="O199" s="11"/>
      <c r="P199" s="11"/>
      <c r="Q199" s="11"/>
      <c r="R199" s="12"/>
      <c r="S199" s="12"/>
    </row>
    <row r="200" spans="13:19" s="5" customFormat="1" ht="13.8" x14ac:dyDescent="0.3">
      <c r="M200" s="11"/>
      <c r="N200" s="11"/>
      <c r="O200" s="11"/>
      <c r="P200" s="11"/>
      <c r="Q200" s="11"/>
      <c r="R200" s="12"/>
      <c r="S200" s="12"/>
    </row>
    <row r="201" spans="13:19" s="5" customFormat="1" ht="13.8" x14ac:dyDescent="0.3">
      <c r="M201" s="11"/>
      <c r="N201" s="11"/>
      <c r="O201" s="11"/>
      <c r="P201" s="11"/>
      <c r="Q201" s="11"/>
      <c r="R201" s="12"/>
      <c r="S201" s="12"/>
    </row>
    <row r="202" spans="13:19" s="5" customFormat="1" ht="13.8" x14ac:dyDescent="0.3">
      <c r="M202" s="11"/>
      <c r="N202" s="11"/>
      <c r="O202" s="11"/>
      <c r="P202" s="11"/>
      <c r="Q202" s="11"/>
      <c r="R202" s="12"/>
      <c r="S202" s="12"/>
    </row>
    <row r="203" spans="13:19" s="5" customFormat="1" ht="13.8" x14ac:dyDescent="0.3">
      <c r="M203" s="11"/>
      <c r="N203" s="11"/>
      <c r="O203" s="11"/>
      <c r="P203" s="11"/>
      <c r="Q203" s="11"/>
      <c r="R203" s="12"/>
      <c r="S203" s="12"/>
    </row>
    <row r="204" spans="13:19" s="5" customFormat="1" ht="13.8" x14ac:dyDescent="0.3">
      <c r="M204" s="11"/>
      <c r="N204" s="11"/>
      <c r="O204" s="11"/>
      <c r="P204" s="11"/>
      <c r="Q204" s="11"/>
      <c r="R204" s="12"/>
      <c r="S204" s="12"/>
    </row>
    <row r="205" spans="13:19" s="5" customFormat="1" ht="13.8" x14ac:dyDescent="0.3">
      <c r="M205" s="11"/>
      <c r="N205" s="11"/>
      <c r="O205" s="11"/>
      <c r="P205" s="11"/>
      <c r="Q205" s="11"/>
      <c r="R205" s="12"/>
      <c r="S205" s="12"/>
    </row>
    <row r="206" spans="13:19" s="5" customFormat="1" ht="13.8" x14ac:dyDescent="0.3">
      <c r="M206" s="11"/>
      <c r="N206" s="11"/>
      <c r="O206" s="11"/>
      <c r="P206" s="11"/>
      <c r="Q206" s="11"/>
      <c r="R206" s="12"/>
      <c r="S206" s="12"/>
    </row>
    <row r="207" spans="13:19" s="5" customFormat="1" ht="13.8" x14ac:dyDescent="0.3">
      <c r="M207" s="11"/>
      <c r="N207" s="11"/>
      <c r="O207" s="11"/>
      <c r="P207" s="11"/>
      <c r="Q207" s="11"/>
      <c r="R207" s="12"/>
      <c r="S207" s="12"/>
    </row>
    <row r="208" spans="13:19" s="5" customFormat="1" ht="13.8" x14ac:dyDescent="0.3">
      <c r="M208" s="11"/>
      <c r="N208" s="11"/>
      <c r="O208" s="11"/>
      <c r="P208" s="11"/>
      <c r="Q208" s="11"/>
      <c r="R208" s="12"/>
      <c r="S208" s="12"/>
    </row>
    <row r="209" spans="13:19" s="5" customFormat="1" ht="13.8" x14ac:dyDescent="0.3">
      <c r="M209" s="11"/>
      <c r="N209" s="11"/>
      <c r="O209" s="11"/>
      <c r="P209" s="11"/>
      <c r="Q209" s="11"/>
      <c r="R209" s="12"/>
      <c r="S209" s="12"/>
    </row>
    <row r="210" spans="13:19" s="5" customFormat="1" ht="13.8" x14ac:dyDescent="0.3">
      <c r="M210" s="11"/>
      <c r="N210" s="11"/>
      <c r="O210" s="11"/>
      <c r="P210" s="11"/>
      <c r="Q210" s="11"/>
      <c r="R210" s="12"/>
      <c r="S210" s="12"/>
    </row>
    <row r="211" spans="13:19" s="5" customFormat="1" ht="13.8" x14ac:dyDescent="0.3">
      <c r="M211" s="11"/>
      <c r="N211" s="11"/>
      <c r="O211" s="11"/>
      <c r="P211" s="11"/>
      <c r="Q211" s="11"/>
      <c r="R211" s="12"/>
      <c r="S211" s="12"/>
    </row>
    <row r="212" spans="13:19" s="5" customFormat="1" ht="13.8" x14ac:dyDescent="0.3">
      <c r="M212" s="11"/>
      <c r="N212" s="11"/>
      <c r="O212" s="11"/>
      <c r="P212" s="11"/>
      <c r="Q212" s="11"/>
      <c r="R212" s="12"/>
      <c r="S212" s="12"/>
    </row>
    <row r="213" spans="13:19" s="5" customFormat="1" ht="13.8" x14ac:dyDescent="0.3">
      <c r="M213" s="11"/>
      <c r="N213" s="11"/>
      <c r="O213" s="11"/>
      <c r="P213" s="11"/>
      <c r="Q213" s="11"/>
      <c r="R213" s="12"/>
      <c r="S213" s="12"/>
    </row>
    <row r="214" spans="13:19" s="5" customFormat="1" ht="13.8" x14ac:dyDescent="0.3">
      <c r="M214" s="11"/>
      <c r="N214" s="11"/>
      <c r="O214" s="11"/>
      <c r="P214" s="11"/>
      <c r="Q214" s="11"/>
      <c r="R214" s="12"/>
      <c r="S214" s="12"/>
    </row>
    <row r="215" spans="13:19" s="5" customFormat="1" ht="13.8" x14ac:dyDescent="0.3">
      <c r="M215" s="11"/>
      <c r="N215" s="11"/>
      <c r="O215" s="11"/>
      <c r="P215" s="11"/>
      <c r="Q215" s="11"/>
      <c r="R215" s="12"/>
      <c r="S215" s="12"/>
    </row>
    <row r="216" spans="13:19" s="5" customFormat="1" ht="13.8" x14ac:dyDescent="0.3">
      <c r="M216" s="11"/>
      <c r="N216" s="11"/>
      <c r="O216" s="11"/>
      <c r="P216" s="11"/>
      <c r="Q216" s="11"/>
      <c r="R216" s="12"/>
      <c r="S216" s="12"/>
    </row>
    <row r="217" spans="13:19" s="5" customFormat="1" ht="13.8" x14ac:dyDescent="0.3">
      <c r="M217" s="11"/>
      <c r="N217" s="11"/>
      <c r="O217" s="11"/>
      <c r="P217" s="11"/>
      <c r="Q217" s="11"/>
      <c r="R217" s="12"/>
      <c r="S217" s="12"/>
    </row>
    <row r="218" spans="13:19" s="5" customFormat="1" ht="13.8" x14ac:dyDescent="0.3">
      <c r="M218" s="11"/>
      <c r="N218" s="11"/>
      <c r="O218" s="11"/>
      <c r="P218" s="11"/>
      <c r="Q218" s="11"/>
      <c r="R218" s="12"/>
      <c r="S218" s="12"/>
    </row>
    <row r="219" spans="13:19" s="5" customFormat="1" ht="13.8" x14ac:dyDescent="0.3">
      <c r="M219" s="11"/>
      <c r="N219" s="11"/>
      <c r="O219" s="11"/>
      <c r="P219" s="11"/>
      <c r="Q219" s="11"/>
      <c r="R219" s="12"/>
      <c r="S219" s="12"/>
    </row>
    <row r="220" spans="13:19" s="5" customFormat="1" ht="13.8" x14ac:dyDescent="0.3">
      <c r="M220" s="11"/>
      <c r="N220" s="11"/>
      <c r="O220" s="11"/>
      <c r="P220" s="11"/>
      <c r="Q220" s="11"/>
      <c r="R220" s="12"/>
      <c r="S220" s="12"/>
    </row>
    <row r="221" spans="13:19" s="5" customFormat="1" ht="13.8" x14ac:dyDescent="0.3">
      <c r="M221" s="11"/>
      <c r="N221" s="11"/>
      <c r="O221" s="11"/>
      <c r="P221" s="11"/>
      <c r="Q221" s="11"/>
      <c r="R221" s="12"/>
      <c r="S221" s="12"/>
    </row>
    <row r="222" spans="13:19" s="5" customFormat="1" ht="13.8" x14ac:dyDescent="0.3">
      <c r="M222" s="11"/>
      <c r="N222" s="11"/>
      <c r="O222" s="11"/>
      <c r="P222" s="11"/>
      <c r="Q222" s="11"/>
      <c r="R222" s="12"/>
      <c r="S222" s="12"/>
    </row>
    <row r="223" spans="13:19" s="5" customFormat="1" ht="13.8" x14ac:dyDescent="0.3">
      <c r="M223" s="11"/>
      <c r="N223" s="11"/>
      <c r="O223" s="11"/>
      <c r="P223" s="11"/>
      <c r="Q223" s="11"/>
      <c r="R223" s="12"/>
      <c r="S223" s="12"/>
    </row>
    <row r="224" spans="13:19" s="5" customFormat="1" ht="13.8" x14ac:dyDescent="0.3">
      <c r="M224" s="11"/>
      <c r="N224" s="11"/>
      <c r="O224" s="11"/>
      <c r="P224" s="11"/>
      <c r="Q224" s="11"/>
      <c r="R224" s="12"/>
      <c r="S224" s="12"/>
    </row>
    <row r="225" spans="13:19" s="5" customFormat="1" ht="13.8" x14ac:dyDescent="0.3">
      <c r="M225" s="11"/>
      <c r="N225" s="11"/>
      <c r="O225" s="11"/>
      <c r="P225" s="11"/>
      <c r="Q225" s="11"/>
      <c r="R225" s="12"/>
      <c r="S225" s="12"/>
    </row>
    <row r="226" spans="13:19" s="5" customFormat="1" ht="13.8" x14ac:dyDescent="0.3">
      <c r="M226" s="11"/>
      <c r="N226" s="11"/>
      <c r="O226" s="11"/>
      <c r="P226" s="11"/>
      <c r="Q226" s="11"/>
      <c r="R226" s="12"/>
      <c r="S226" s="12"/>
    </row>
    <row r="227" spans="13:19" s="5" customFormat="1" ht="13.8" x14ac:dyDescent="0.3">
      <c r="M227" s="11"/>
      <c r="N227" s="11"/>
      <c r="O227" s="11"/>
      <c r="P227" s="11"/>
      <c r="Q227" s="11"/>
      <c r="R227" s="12"/>
      <c r="S227" s="12"/>
    </row>
    <row r="228" spans="13:19" s="5" customFormat="1" ht="13.8" x14ac:dyDescent="0.3">
      <c r="M228" s="11"/>
      <c r="N228" s="11"/>
      <c r="O228" s="11"/>
      <c r="P228" s="11"/>
      <c r="Q228" s="11"/>
      <c r="R228" s="12"/>
      <c r="S228" s="12"/>
    </row>
    <row r="229" spans="13:19" s="5" customFormat="1" ht="13.8" x14ac:dyDescent="0.3">
      <c r="M229" s="11"/>
      <c r="N229" s="11"/>
      <c r="O229" s="11"/>
      <c r="P229" s="11"/>
      <c r="Q229" s="11"/>
      <c r="R229" s="12"/>
      <c r="S229" s="12"/>
    </row>
    <row r="230" spans="13:19" s="5" customFormat="1" ht="13.8" x14ac:dyDescent="0.3">
      <c r="M230" s="11"/>
      <c r="N230" s="11"/>
      <c r="O230" s="11"/>
      <c r="P230" s="11"/>
      <c r="Q230" s="11"/>
      <c r="R230" s="12"/>
      <c r="S230" s="12"/>
    </row>
    <row r="231" spans="13:19" s="5" customFormat="1" ht="13.8" x14ac:dyDescent="0.3">
      <c r="M231" s="11"/>
      <c r="N231" s="11"/>
      <c r="O231" s="11"/>
      <c r="P231" s="11"/>
      <c r="Q231" s="11"/>
      <c r="R231" s="12"/>
      <c r="S231" s="12"/>
    </row>
    <row r="232" spans="13:19" s="5" customFormat="1" ht="13.8" x14ac:dyDescent="0.3">
      <c r="M232" s="11"/>
      <c r="N232" s="11"/>
      <c r="O232" s="11"/>
      <c r="P232" s="11"/>
      <c r="Q232" s="11"/>
      <c r="R232" s="12"/>
      <c r="S232" s="12"/>
    </row>
    <row r="233" spans="13:19" s="5" customFormat="1" ht="13.8" x14ac:dyDescent="0.3">
      <c r="M233" s="11"/>
      <c r="N233" s="11"/>
      <c r="O233" s="11"/>
      <c r="P233" s="11"/>
      <c r="Q233" s="11"/>
      <c r="R233" s="12"/>
      <c r="S233" s="12"/>
    </row>
    <row r="234" spans="13:19" s="5" customFormat="1" ht="13.8" x14ac:dyDescent="0.3">
      <c r="M234" s="11"/>
      <c r="N234" s="11"/>
      <c r="O234" s="11"/>
      <c r="P234" s="11"/>
      <c r="Q234" s="11"/>
      <c r="R234" s="12"/>
      <c r="S234" s="12"/>
    </row>
    <row r="235" spans="13:19" s="5" customFormat="1" ht="13.8" x14ac:dyDescent="0.3">
      <c r="M235" s="11"/>
      <c r="N235" s="11"/>
      <c r="O235" s="11"/>
      <c r="P235" s="11"/>
      <c r="Q235" s="11"/>
      <c r="R235" s="12"/>
      <c r="S235" s="12"/>
    </row>
    <row r="236" spans="13:19" s="5" customFormat="1" ht="13.8" x14ac:dyDescent="0.3">
      <c r="M236" s="11"/>
      <c r="N236" s="11"/>
      <c r="O236" s="11"/>
      <c r="P236" s="11"/>
      <c r="Q236" s="11"/>
      <c r="R236" s="12"/>
      <c r="S236" s="12"/>
    </row>
    <row r="237" spans="13:19" s="5" customFormat="1" ht="13.8" x14ac:dyDescent="0.3">
      <c r="M237" s="11"/>
      <c r="N237" s="11"/>
      <c r="O237" s="11"/>
      <c r="P237" s="11"/>
      <c r="Q237" s="11"/>
      <c r="R237" s="12"/>
      <c r="S237" s="12"/>
    </row>
    <row r="238" spans="13:19" s="5" customFormat="1" ht="13.8" x14ac:dyDescent="0.3">
      <c r="M238" s="11"/>
      <c r="N238" s="11"/>
      <c r="O238" s="11"/>
      <c r="P238" s="11"/>
      <c r="Q238" s="11"/>
      <c r="R238" s="12"/>
      <c r="S238" s="12"/>
    </row>
    <row r="239" spans="13:19" s="5" customFormat="1" ht="13.8" x14ac:dyDescent="0.3">
      <c r="M239" s="11"/>
      <c r="N239" s="11"/>
      <c r="O239" s="11"/>
      <c r="P239" s="11"/>
      <c r="Q239" s="11"/>
      <c r="R239" s="12"/>
      <c r="S239" s="12"/>
    </row>
    <row r="240" spans="13:19" s="5" customFormat="1" ht="13.8" x14ac:dyDescent="0.3">
      <c r="M240" s="11"/>
      <c r="N240" s="11"/>
      <c r="O240" s="11"/>
      <c r="P240" s="11"/>
      <c r="Q240" s="11"/>
      <c r="R240" s="12"/>
      <c r="S240" s="12"/>
    </row>
    <row r="241" spans="13:19" s="5" customFormat="1" ht="13.8" x14ac:dyDescent="0.3">
      <c r="M241" s="11"/>
      <c r="N241" s="11"/>
      <c r="O241" s="11"/>
      <c r="P241" s="11"/>
      <c r="Q241" s="11"/>
      <c r="R241" s="12"/>
      <c r="S241" s="12"/>
    </row>
    <row r="242" spans="13:19" s="5" customFormat="1" ht="13.8" x14ac:dyDescent="0.3">
      <c r="M242" s="11"/>
      <c r="N242" s="11"/>
      <c r="O242" s="11"/>
      <c r="P242" s="11"/>
      <c r="Q242" s="11"/>
      <c r="R242" s="12"/>
      <c r="S242" s="12"/>
    </row>
    <row r="243" spans="13:19" s="5" customFormat="1" ht="13.8" x14ac:dyDescent="0.3">
      <c r="M243" s="11"/>
      <c r="N243" s="11"/>
      <c r="O243" s="11"/>
      <c r="P243" s="11"/>
      <c r="Q243" s="11"/>
      <c r="R243" s="12"/>
      <c r="S243" s="12"/>
    </row>
    <row r="244" spans="13:19" s="5" customFormat="1" ht="13.8" x14ac:dyDescent="0.3">
      <c r="M244" s="11"/>
      <c r="N244" s="11"/>
      <c r="O244" s="11"/>
      <c r="P244" s="11"/>
      <c r="Q244" s="11"/>
      <c r="R244" s="12"/>
      <c r="S244" s="12"/>
    </row>
    <row r="245" spans="13:19" s="5" customFormat="1" ht="13.8" x14ac:dyDescent="0.3">
      <c r="M245" s="11"/>
      <c r="N245" s="11"/>
      <c r="O245" s="11"/>
      <c r="P245" s="11"/>
      <c r="Q245" s="11"/>
      <c r="R245" s="12"/>
      <c r="S245" s="12"/>
    </row>
    <row r="246" spans="13:19" s="5" customFormat="1" ht="13.8" x14ac:dyDescent="0.3">
      <c r="M246" s="11"/>
      <c r="N246" s="11"/>
      <c r="O246" s="11"/>
      <c r="P246" s="11"/>
      <c r="Q246" s="11"/>
      <c r="R246" s="12"/>
      <c r="S246" s="12"/>
    </row>
    <row r="247" spans="13:19" s="5" customFormat="1" ht="13.8" x14ac:dyDescent="0.3">
      <c r="M247" s="11"/>
      <c r="N247" s="11"/>
      <c r="O247" s="11"/>
      <c r="P247" s="11"/>
      <c r="Q247" s="11"/>
      <c r="R247" s="12"/>
      <c r="S247" s="12"/>
    </row>
    <row r="248" spans="13:19" s="5" customFormat="1" ht="13.8" x14ac:dyDescent="0.3">
      <c r="M248" s="11"/>
      <c r="N248" s="11"/>
      <c r="O248" s="11"/>
      <c r="P248" s="11"/>
      <c r="Q248" s="11"/>
      <c r="R248" s="12"/>
      <c r="S248" s="12"/>
    </row>
    <row r="249" spans="13:19" s="5" customFormat="1" ht="13.8" x14ac:dyDescent="0.3">
      <c r="M249" s="11"/>
      <c r="N249" s="11"/>
      <c r="O249" s="11"/>
      <c r="P249" s="11"/>
      <c r="Q249" s="11"/>
      <c r="R249" s="12"/>
      <c r="S249" s="12"/>
    </row>
    <row r="250" spans="13:19" s="5" customFormat="1" ht="13.8" x14ac:dyDescent="0.3">
      <c r="M250" s="11"/>
      <c r="N250" s="11"/>
      <c r="O250" s="11"/>
      <c r="P250" s="11"/>
      <c r="Q250" s="11"/>
      <c r="R250" s="12"/>
      <c r="S250" s="12"/>
    </row>
    <row r="251" spans="13:19" s="5" customFormat="1" ht="13.8" x14ac:dyDescent="0.3">
      <c r="M251" s="11"/>
      <c r="N251" s="11"/>
      <c r="O251" s="11"/>
      <c r="P251" s="11"/>
      <c r="Q251" s="11"/>
      <c r="R251" s="12"/>
      <c r="S251" s="12"/>
    </row>
    <row r="252" spans="13:19" s="5" customFormat="1" ht="13.8" x14ac:dyDescent="0.3">
      <c r="M252" s="11"/>
      <c r="N252" s="11"/>
      <c r="O252" s="11"/>
      <c r="P252" s="11"/>
      <c r="Q252" s="11"/>
      <c r="R252" s="12"/>
      <c r="S252" s="12"/>
    </row>
    <row r="253" spans="13:19" s="5" customFormat="1" ht="13.8" x14ac:dyDescent="0.3">
      <c r="M253" s="11"/>
      <c r="N253" s="11"/>
      <c r="O253" s="11"/>
      <c r="P253" s="11"/>
      <c r="Q253" s="11"/>
      <c r="R253" s="12"/>
      <c r="S253" s="12"/>
    </row>
    <row r="254" spans="13:19" s="5" customFormat="1" ht="13.8" x14ac:dyDescent="0.3">
      <c r="M254" s="11"/>
      <c r="N254" s="11"/>
      <c r="O254" s="11"/>
      <c r="P254" s="11"/>
      <c r="Q254" s="11"/>
      <c r="R254" s="12"/>
      <c r="S254" s="12"/>
    </row>
    <row r="255" spans="13:19" s="5" customFormat="1" ht="13.8" x14ac:dyDescent="0.3">
      <c r="M255" s="11"/>
      <c r="N255" s="11"/>
      <c r="O255" s="11"/>
      <c r="P255" s="11"/>
      <c r="Q255" s="11"/>
      <c r="R255" s="12"/>
      <c r="S255" s="12"/>
    </row>
    <row r="256" spans="13:19"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sheetData>
  <mergeCells count="3">
    <mergeCell ref="F42:G43"/>
    <mergeCell ref="F46:G47"/>
    <mergeCell ref="F50:G51"/>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2014-01-30T20:48:39Z</dcterms:created>
  <dcterms:modified xsi:type="dcterms:W3CDTF">2016-10-10T11:13:22Z</dcterms:modified>
  <cp:category>Engineering Spreadsheets</cp:category>
</cp:coreProperties>
</file>