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X56" i="41" l="1"/>
  <c r="X55" i="41"/>
  <c r="H20" i="41"/>
  <c r="B34" i="41" s="1"/>
  <c r="H19" i="41"/>
  <c r="H22" i="41" s="1"/>
  <c r="B30" i="41" l="1"/>
  <c r="B26" i="41"/>
  <c r="I26" i="41" l="1"/>
  <c r="AA29" i="41"/>
  <c r="AA37" i="41"/>
  <c r="AA45" i="41"/>
  <c r="AA53" i="41"/>
  <c r="AA23" i="41"/>
  <c r="AA39" i="41"/>
  <c r="Y22" i="41"/>
  <c r="AA55" i="41"/>
  <c r="AA30" i="41"/>
  <c r="AA38" i="41"/>
  <c r="AA22" i="41"/>
  <c r="AA31" i="41"/>
  <c r="AA32" i="41"/>
  <c r="AA40" i="41"/>
  <c r="AA24" i="41"/>
  <c r="AA25" i="41"/>
  <c r="AA33" i="41"/>
  <c r="AA41" i="41"/>
  <c r="AA35" i="41"/>
  <c r="AA44" i="41"/>
  <c r="AA26" i="41"/>
  <c r="AA34" i="41"/>
  <c r="AA42" i="41"/>
  <c r="AA43" i="41"/>
  <c r="AA36" i="41"/>
  <c r="AA27" i="41"/>
  <c r="AA28" i="41"/>
  <c r="Y51" i="41"/>
  <c r="Y52" i="41"/>
  <c r="Y47" i="41"/>
  <c r="Y46" i="41"/>
  <c r="Y48" i="41"/>
  <c r="Y50" i="41"/>
  <c r="Y49" i="41"/>
  <c r="Y56" i="41"/>
  <c r="Y55" i="41"/>
  <c r="Y28" i="41"/>
  <c r="Y36" i="41"/>
  <c r="Y44" i="41"/>
  <c r="Y38" i="41"/>
  <c r="Y29" i="41"/>
  <c r="Y37" i="41"/>
  <c r="Y45" i="41"/>
  <c r="Y53" i="41"/>
  <c r="Y30" i="41"/>
  <c r="Y23" i="41"/>
  <c r="Y39" i="41"/>
  <c r="Y31" i="41"/>
  <c r="Y24" i="41"/>
  <c r="Y32" i="41"/>
  <c r="Y40" i="41"/>
  <c r="Y26" i="41"/>
  <c r="Y42" i="41"/>
  <c r="Y35" i="41"/>
  <c r="Y25" i="41"/>
  <c r="Y33" i="41"/>
  <c r="Y41" i="41"/>
  <c r="Y34" i="41"/>
  <c r="Y27" i="41"/>
  <c r="Y43" i="41"/>
  <c r="Z56" i="41"/>
  <c r="Z29" i="41"/>
  <c r="Z22" i="41"/>
  <c r="Z46" i="41"/>
  <c r="Z23" i="41"/>
  <c r="Z31" i="41"/>
  <c r="Z39" i="41"/>
  <c r="Z41" i="41"/>
  <c r="Z26" i="41"/>
  <c r="Z42" i="41"/>
  <c r="Z47" i="41"/>
  <c r="Z24" i="41"/>
  <c r="Z32" i="41"/>
  <c r="Z40" i="41"/>
  <c r="Z25" i="41"/>
  <c r="Z33" i="41"/>
  <c r="Z49" i="41"/>
  <c r="Z34" i="41"/>
  <c r="Z48" i="41"/>
  <c r="Z50" i="41"/>
  <c r="Z27" i="41"/>
  <c r="Z35" i="41"/>
  <c r="Z43" i="41"/>
  <c r="Z53" i="41"/>
  <c r="Z38" i="41"/>
  <c r="Z51" i="41"/>
  <c r="Z28" i="41"/>
  <c r="Z36" i="41"/>
  <c r="Z44" i="41"/>
  <c r="Z52" i="41"/>
  <c r="Z37" i="41"/>
  <c r="Z45" i="41"/>
  <c r="Z55" i="41"/>
  <c r="Z30" i="41"/>
  <c r="B28" i="41"/>
  <c r="B29" i="41"/>
  <c r="AA56" i="41" l="1"/>
  <c r="AA46" i="41"/>
  <c r="AA47" i="41"/>
  <c r="AA48" i="41"/>
  <c r="AA49" i="41"/>
  <c r="AA51" i="41"/>
  <c r="AA50" i="41"/>
  <c r="AA52" i="41"/>
  <c r="X49" i="41"/>
  <c r="X23" i="41" l="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50" i="41"/>
  <c r="X51" i="41"/>
  <c r="X52" i="41"/>
  <c r="X53" i="41"/>
  <c r="X22" i="41"/>
  <c r="B33" i="41"/>
  <c r="I25" i="41"/>
  <c r="B32" i="41"/>
  <c r="B25" i="41"/>
  <c r="Y16" i="41" l="1"/>
  <c r="X1" i="41" l="1"/>
  <c r="G1" i="41" s="1"/>
  <c r="J10" i="41" s="1"/>
  <c r="X2" i="41"/>
  <c r="X3" i="41"/>
  <c r="X4" i="41"/>
  <c r="X5" i="41"/>
  <c r="X6" i="41"/>
  <c r="X7" i="41"/>
  <c r="F8" i="41"/>
  <c r="J8" i="41"/>
  <c r="F9" i="41"/>
  <c r="J9" i="41"/>
  <c r="F10" i="41"/>
  <c r="L10" i="41"/>
  <c r="F11" i="41"/>
  <c r="B12" i="41"/>
  <c r="W18" i="41"/>
  <c r="Z18" i="41"/>
  <c r="AB18" i="41"/>
  <c r="AC18" i="41"/>
  <c r="AD21" i="41" l="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55" i="41" l="1"/>
  <c r="AE55" i="41"/>
  <c r="AF46" i="4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<sst xmlns="http://schemas.openxmlformats.org/spreadsheetml/2006/main" count="176" uniqueCount="103">
  <si>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</si>
  <si>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</si>
  <si>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</si>
  <si>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</si>
  <si>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</si>
  <si>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</si>
  <si>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</si>
  <si>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</si>
  <si>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</si>
  <si>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</si>
  <si>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</si>
  <si>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</si>
  <si>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</si>
  <si>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</si>
  <si>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</si>
  <si>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</si>
  <si>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</si>
  <si>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</si>
  <si>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</si>
  <si>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</si>
  <si>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</si>
  <si>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</si>
  <si>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</si>
  <si>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</si>
  <si>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</si>
  <si>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</si>
  <si>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</si>
  <si>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</si>
  <si>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</si>
  <si>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</si>
  <si>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</si>
  <si>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</si>
  <si>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</si>
  <si>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</si>
  <si>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</si>
  <si>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</si>
  <si>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</si>
  <si>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</si>
  <si>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</si>
  <si>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</si>
  <si>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</si>
  <si>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</si>
  <si>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</si>
  <si>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</si>
  <si>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</si>
  <si>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</si>
  <si>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</si>
  <si>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</si>
  <si>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</si>
  <si>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</si>
  <si>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</si>
  <si>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</si>
  <si>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</si>
  <si>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</si>
  <si>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</si>
  <si>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</si>
  <si>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</si>
  <si>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</si>
  <si>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</si>
  <si>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</si>
  <si>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</si>
  <si>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</si>
  <si>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</si>
  <si>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</si>
  <si>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</si>
  <si>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</si>
  <si>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</si>
  <si>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</si>
  <si>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</si>
  <si>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</si>
  <si>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</si>
  <si>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</si>
  <si>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</si>
  <si>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</si>
  <si>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</si>
  <si>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</si>
  <si>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</si>
  <si>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</si>
  <si>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</si>
  <si>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</si>
  <si>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</si>
  <si>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</si>
  <si>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</si>
  <si>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</si>
  <si>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</si>
  <si>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</si>
  <si>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</si>
  <si>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</si>
  <si>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</si>
  <si>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</si>
  <si>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</si>
  <si>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W =</t>
  </si>
  <si>
    <t>lb (applied load)</t>
  </si>
  <si>
    <t>a =</t>
  </si>
  <si>
    <t>b =</t>
  </si>
  <si>
    <t>c =</t>
  </si>
  <si>
    <t>d =</t>
  </si>
  <si>
    <t>w =</t>
  </si>
  <si>
    <t>lb/in (applied distributed load)</t>
  </si>
  <si>
    <r>
      <t>R</t>
    </r>
    <r>
      <rPr>
        <vertAlign val="subscript"/>
        <sz val="10"/>
        <color theme="1"/>
        <rFont val="Calibri"/>
        <family val="2"/>
        <scheme val="minor"/>
      </rPr>
      <t>D</t>
    </r>
    <r>
      <rPr>
        <sz val="10"/>
        <color theme="1"/>
        <rFont val="Calibri"/>
        <family val="2"/>
        <scheme val="minor"/>
      </rPr>
      <t xml:space="preserve"> =</t>
    </r>
  </si>
  <si>
    <r>
      <t>M</t>
    </r>
    <r>
      <rPr>
        <vertAlign val="subscript"/>
        <sz val="10"/>
        <color theme="1"/>
        <rFont val="Calibri"/>
        <family val="2"/>
        <scheme val="minor"/>
      </rPr>
      <t>D</t>
    </r>
    <r>
      <rPr>
        <sz val="10"/>
        <color theme="1"/>
        <rFont val="Calibri"/>
        <family val="2"/>
        <scheme val="minor"/>
      </rPr>
      <t xml:space="preserve"> =</t>
    </r>
  </si>
  <si>
    <t>SIMPLE BEAMS - SINGLE SPAN - FIXED BOTH ENDS - UDL PART SPAN</t>
  </si>
  <si>
    <t>AA-SM-026-031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</si>
</sst>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3">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164" fontId="16"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1.0666666666666667</c:v>
                </c:pt>
                <c:pt idx="4">
                  <c:v>2.1333333333333333</c:v>
                </c:pt>
                <c:pt idx="5">
                  <c:v>3.2</c:v>
                </c:pt>
                <c:pt idx="6">
                  <c:v>4.2666666666666666</c:v>
                </c:pt>
                <c:pt idx="7">
                  <c:v>5.333333333333333</c:v>
                </c:pt>
                <c:pt idx="8">
                  <c:v>6.4</c:v>
                </c:pt>
                <c:pt idx="9">
                  <c:v>7.4666666666666668</c:v>
                </c:pt>
                <c:pt idx="10">
                  <c:v>8.5333333333333332</c:v>
                </c:pt>
                <c:pt idx="11">
                  <c:v>9.6</c:v>
                </c:pt>
                <c:pt idx="12">
                  <c:v>10</c:v>
                </c:pt>
                <c:pt idx="13">
                  <c:v>10.666666666666666</c:v>
                </c:pt>
                <c:pt idx="14">
                  <c:v>11.733333333333333</c:v>
                </c:pt>
                <c:pt idx="15">
                  <c:v>12.8</c:v>
                </c:pt>
                <c:pt idx="16">
                  <c:v>13.866666666666667</c:v>
                </c:pt>
                <c:pt idx="17">
                  <c:v>14.933333333333334</c:v>
                </c:pt>
                <c:pt idx="18">
                  <c:v>16</c:v>
                </c:pt>
                <c:pt idx="19">
                  <c:v>17.066666666666666</c:v>
                </c:pt>
                <c:pt idx="20">
                  <c:v>18.133333333333333</c:v>
                </c:pt>
                <c:pt idx="21">
                  <c:v>19.2</c:v>
                </c:pt>
                <c:pt idx="22">
                  <c:v>20.266666666666666</c:v>
                </c:pt>
                <c:pt idx="23">
                  <c:v>21.333333333333332</c:v>
                </c:pt>
                <c:pt idx="24">
                  <c:v>22.4</c:v>
                </c:pt>
                <c:pt idx="25">
                  <c:v>23.466666666666665</c:v>
                </c:pt>
                <c:pt idx="26">
                  <c:v>24.533333333333331</c:v>
                </c:pt>
                <c:pt idx="27">
                  <c:v>25</c:v>
                </c:pt>
                <c:pt idx="28">
                  <c:v>25.6</c:v>
                </c:pt>
                <c:pt idx="29">
                  <c:v>26.666666666666668</c:v>
                </c:pt>
                <c:pt idx="30">
                  <c:v>27.733333333333334</c:v>
                </c:pt>
                <c:pt idx="31">
                  <c:v>28.8</c:v>
                </c:pt>
                <c:pt idx="32">
                  <c:v>29.866666666666667</c:v>
                </c:pt>
                <c:pt idx="33">
                  <c:v>30.933333333333334</c:v>
                </c:pt>
                <c:pt idx="34">
                  <c:v>32</c:v>
                </c:pt>
              </c:numCache>
            </c:numRef>
          </c:xVal>
          <c:yVal>
            <c:numRef>
              <c:f>'POINT LOAD MID SPAN'!$AD$21:$AD$55</c:f>
              <c:numCache>
                <c:formatCode>0</c:formatCode>
                <c:ptCount val="35"/>
                <c:pt idx="0">
                  <c:v>42.416725158691406</c:v>
                </c:pt>
                <c:pt idx="1">
                  <c:v>42.416725158691406</c:v>
                </c:pt>
                <c:pt idx="2">
                  <c:v>42.416725158691406</c:v>
                </c:pt>
                <c:pt idx="3">
                  <c:v>42.416725158691406</c:v>
                </c:pt>
                <c:pt idx="4">
                  <c:v>42.416725158691406</c:v>
                </c:pt>
                <c:pt idx="5">
                  <c:v>42.416725158691406</c:v>
                </c:pt>
                <c:pt idx="6">
                  <c:v>42.416725158691406</c:v>
                </c:pt>
                <c:pt idx="7">
                  <c:v>42.416725158691406</c:v>
                </c:pt>
                <c:pt idx="8">
                  <c:v>42.416725158691406</c:v>
                </c:pt>
                <c:pt idx="9">
                  <c:v>42.416725158691406</c:v>
                </c:pt>
                <c:pt idx="10">
                  <c:v>42.416725158691406</c:v>
                </c:pt>
                <c:pt idx="11">
                  <c:v>42.416725158691406</c:v>
                </c:pt>
                <c:pt idx="12">
                  <c:v>42.416725158691406</c:v>
                </c:pt>
                <c:pt idx="13">
                  <c:v>38.083391825358078</c:v>
                </c:pt>
                <c:pt idx="14">
                  <c:v>31.150058492024748</c:v>
                </c:pt>
                <c:pt idx="15">
                  <c:v>24.216725158691403</c:v>
                </c:pt>
                <c:pt idx="16">
                  <c:v>17.283391825358066</c:v>
                </c:pt>
                <c:pt idx="17">
                  <c:v>10.350058492024736</c:v>
                </c:pt>
                <c:pt idx="18">
                  <c:v>3.4167251586914063</c:v>
                </c:pt>
                <c:pt idx="19">
                  <c:v>-3.5166081746419238</c:v>
                </c:pt>
                <c:pt idx="20">
                  <c:v>-10.449941507975254</c:v>
                </c:pt>
                <c:pt idx="21">
                  <c:v>-17.383274841308591</c:v>
                </c:pt>
                <c:pt idx="22">
                  <c:v>-24.316608174641928</c:v>
                </c:pt>
                <c:pt idx="23">
                  <c:v>-31.249941507975251</c:v>
                </c:pt>
                <c:pt idx="24">
                  <c:v>-38.183274841308588</c:v>
                </c:pt>
                <c:pt idx="25">
                  <c:v>-45.116608174641911</c:v>
                </c:pt>
                <c:pt idx="26">
                  <c:v>-52.049941507975248</c:v>
                </c:pt>
                <c:pt idx="27">
                  <c:v>-55.083274841308594</c:v>
                </c:pt>
                <c:pt idx="28">
                  <c:v>-55.083274841308594</c:v>
                </c:pt>
                <c:pt idx="29">
                  <c:v>-55.083274841308594</c:v>
                </c:pt>
                <c:pt idx="30">
                  <c:v>-55.083274841308594</c:v>
                </c:pt>
                <c:pt idx="31">
                  <c:v>-55.083274841308594</c:v>
                </c:pt>
                <c:pt idx="32">
                  <c:v>-55.083274841308594</c:v>
                </c:pt>
                <c:pt idx="33">
                  <c:v>-55.083274841308594</c:v>
                </c:pt>
                <c:pt idx="34">
                  <c:v>-55.083274841308594</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c:v>
                </c:pt>
                <c:pt idx="3">
                  <c:v>1.0666666666666667</c:v>
                </c:pt>
                <c:pt idx="4">
                  <c:v>2.1333333333333333</c:v>
                </c:pt>
                <c:pt idx="5">
                  <c:v>3.2</c:v>
                </c:pt>
                <c:pt idx="6">
                  <c:v>4.2666666666666666</c:v>
                </c:pt>
                <c:pt idx="7">
                  <c:v>5.333333333333333</c:v>
                </c:pt>
                <c:pt idx="8">
                  <c:v>6.4</c:v>
                </c:pt>
                <c:pt idx="9">
                  <c:v>7.4666666666666668</c:v>
                </c:pt>
                <c:pt idx="10">
                  <c:v>8.5333333333333332</c:v>
                </c:pt>
                <c:pt idx="11">
                  <c:v>9.6</c:v>
                </c:pt>
                <c:pt idx="12">
                  <c:v>10</c:v>
                </c:pt>
                <c:pt idx="13">
                  <c:v>10.666666666666666</c:v>
                </c:pt>
                <c:pt idx="14">
                  <c:v>11.733333333333333</c:v>
                </c:pt>
                <c:pt idx="15">
                  <c:v>12.8</c:v>
                </c:pt>
                <c:pt idx="16">
                  <c:v>13.866666666666667</c:v>
                </c:pt>
                <c:pt idx="17">
                  <c:v>14.933333333333334</c:v>
                </c:pt>
                <c:pt idx="18">
                  <c:v>16</c:v>
                </c:pt>
                <c:pt idx="19">
                  <c:v>17.066666666666666</c:v>
                </c:pt>
                <c:pt idx="20">
                  <c:v>18.133333333333333</c:v>
                </c:pt>
                <c:pt idx="21">
                  <c:v>19.2</c:v>
                </c:pt>
                <c:pt idx="22">
                  <c:v>20.266666666666666</c:v>
                </c:pt>
                <c:pt idx="23">
                  <c:v>21.333333333333332</c:v>
                </c:pt>
                <c:pt idx="24">
                  <c:v>22.4</c:v>
                </c:pt>
                <c:pt idx="25">
                  <c:v>23.466666666666665</c:v>
                </c:pt>
                <c:pt idx="26">
                  <c:v>24.533333333333331</c:v>
                </c:pt>
                <c:pt idx="27">
                  <c:v>25</c:v>
                </c:pt>
                <c:pt idx="28">
                  <c:v>25.6</c:v>
                </c:pt>
                <c:pt idx="29">
                  <c:v>26.666666666666668</c:v>
                </c:pt>
                <c:pt idx="30">
                  <c:v>27.733333333333334</c:v>
                </c:pt>
                <c:pt idx="31">
                  <c:v>28.8</c:v>
                </c:pt>
                <c:pt idx="32">
                  <c:v>29.866666666666667</c:v>
                </c:pt>
                <c:pt idx="33">
                  <c:v>30.933333333333334</c:v>
                </c:pt>
              </c:numCache>
            </c:numRef>
          </c:xVal>
          <c:yVal>
            <c:numRef>
              <c:f>'POINT LOAD MID SPAN'!$AE$21:$AE$54</c:f>
              <c:numCache>
                <c:formatCode>0</c:formatCode>
                <c:ptCount val="34"/>
                <c:pt idx="0">
                  <c:v>-329.8004150390625</c:v>
                </c:pt>
                <c:pt idx="1">
                  <c:v>-329.8004150390625</c:v>
                </c:pt>
                <c:pt idx="2">
                  <c:v>-329.8004150390625</c:v>
                </c:pt>
                <c:pt idx="3">
                  <c:v>-284.555908203125</c:v>
                </c:pt>
                <c:pt idx="4">
                  <c:v>-239.3114013671875</c:v>
                </c:pt>
                <c:pt idx="5">
                  <c:v>-194.06689453125</c:v>
                </c:pt>
                <c:pt idx="6">
                  <c:v>-148.8223876953125</c:v>
                </c:pt>
                <c:pt idx="7">
                  <c:v>-103.577880859375</c:v>
                </c:pt>
                <c:pt idx="8">
                  <c:v>-58.3333740234375</c:v>
                </c:pt>
                <c:pt idx="9">
                  <c:v>-13.0888671875</c:v>
                </c:pt>
                <c:pt idx="10">
                  <c:v>32.1556396484375</c:v>
                </c:pt>
                <c:pt idx="11">
                  <c:v>77.400146484375</c:v>
                </c:pt>
                <c:pt idx="12">
                  <c:v>94.366836547851563</c:v>
                </c:pt>
                <c:pt idx="13">
                  <c:v>121.20020887586806</c:v>
                </c:pt>
                <c:pt idx="14">
                  <c:v>158.12471571180552</c:v>
                </c:pt>
                <c:pt idx="15">
                  <c:v>187.65366699218748</c:v>
                </c:pt>
                <c:pt idx="16">
                  <c:v>209.7870627170139</c:v>
                </c:pt>
                <c:pt idx="17">
                  <c:v>224.52490288628471</c:v>
                </c:pt>
                <c:pt idx="18">
                  <c:v>231.8671875</c:v>
                </c:pt>
                <c:pt idx="19">
                  <c:v>231.81391655815972</c:v>
                </c:pt>
                <c:pt idx="20">
                  <c:v>224.36509006076392</c:v>
                </c:pt>
                <c:pt idx="21">
                  <c:v>209.52070800781257</c:v>
                </c:pt>
                <c:pt idx="22">
                  <c:v>187.28077039930565</c:v>
                </c:pt>
                <c:pt idx="23">
                  <c:v>157.6452772352431</c:v>
                </c:pt>
                <c:pt idx="24">
                  <c:v>120.61422851562497</c:v>
                </c:pt>
                <c:pt idx="25">
                  <c:v>76.187624240451441</c:v>
                </c:pt>
                <c:pt idx="26">
                  <c:v>24.365464409722449</c:v>
                </c:pt>
                <c:pt idx="27">
                  <c:v>-0.63228607177734375</c:v>
                </c:pt>
                <c:pt idx="28">
                  <c:v>-33.682250976562614</c:v>
                </c:pt>
                <c:pt idx="29">
                  <c:v>-92.437744140625114</c:v>
                </c:pt>
                <c:pt idx="30">
                  <c:v>-151.19323730468761</c:v>
                </c:pt>
                <c:pt idx="31">
                  <c:v>-209.94873046875</c:v>
                </c:pt>
                <c:pt idx="32">
                  <c:v>-268.7042236328125</c:v>
                </c:pt>
                <c:pt idx="33">
                  <c:v>-327.459716796875</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1.0666666666666667</c:v>
                </c:pt>
                <c:pt idx="3">
                  <c:v>2.1333333333333333</c:v>
                </c:pt>
                <c:pt idx="4">
                  <c:v>3.2</c:v>
                </c:pt>
                <c:pt idx="5">
                  <c:v>4.2666666666666666</c:v>
                </c:pt>
                <c:pt idx="6">
                  <c:v>5.333333333333333</c:v>
                </c:pt>
                <c:pt idx="7">
                  <c:v>6.4</c:v>
                </c:pt>
                <c:pt idx="8">
                  <c:v>7.4666666666666668</c:v>
                </c:pt>
                <c:pt idx="9">
                  <c:v>8.5333333333333332</c:v>
                </c:pt>
                <c:pt idx="10">
                  <c:v>9.6</c:v>
                </c:pt>
                <c:pt idx="11">
                  <c:v>10</c:v>
                </c:pt>
                <c:pt idx="12">
                  <c:v>10.666666666666666</c:v>
                </c:pt>
                <c:pt idx="13">
                  <c:v>11.733333333333333</c:v>
                </c:pt>
                <c:pt idx="14">
                  <c:v>12.8</c:v>
                </c:pt>
                <c:pt idx="15">
                  <c:v>13.866666666666667</c:v>
                </c:pt>
                <c:pt idx="16">
                  <c:v>14.933333333333334</c:v>
                </c:pt>
                <c:pt idx="17">
                  <c:v>16</c:v>
                </c:pt>
                <c:pt idx="18">
                  <c:v>17.066666666666666</c:v>
                </c:pt>
                <c:pt idx="19">
                  <c:v>18.133333333333333</c:v>
                </c:pt>
                <c:pt idx="20">
                  <c:v>19.2</c:v>
                </c:pt>
                <c:pt idx="21">
                  <c:v>20.266666666666666</c:v>
                </c:pt>
                <c:pt idx="22">
                  <c:v>21.333333333333332</c:v>
                </c:pt>
                <c:pt idx="23">
                  <c:v>22.4</c:v>
                </c:pt>
                <c:pt idx="24">
                  <c:v>23.466666666666665</c:v>
                </c:pt>
                <c:pt idx="25">
                  <c:v>24.533333333333331</c:v>
                </c:pt>
                <c:pt idx="26">
                  <c:v>25</c:v>
                </c:pt>
                <c:pt idx="27">
                  <c:v>25.6</c:v>
                </c:pt>
                <c:pt idx="28">
                  <c:v>26.666666666666668</c:v>
                </c:pt>
                <c:pt idx="29">
                  <c:v>27.733333333333334</c:v>
                </c:pt>
                <c:pt idx="30">
                  <c:v>28.8</c:v>
                </c:pt>
                <c:pt idx="31">
                  <c:v>29.866666666666667</c:v>
                </c:pt>
                <c:pt idx="32">
                  <c:v>30.933333333333334</c:v>
                </c:pt>
                <c:pt idx="33">
                  <c:v>32</c:v>
                </c:pt>
              </c:numCache>
            </c:numRef>
          </c:xVal>
          <c:yVal>
            <c:numRef>
              <c:f>'POINT LOAD MID SPAN'!$AF$22:$AF$55</c:f>
              <c:numCache>
                <c:formatCode>0.0000</c:formatCode>
                <c:ptCount val="34"/>
                <c:pt idx="0">
                  <c:v>0</c:v>
                </c:pt>
                <c:pt idx="1">
                  <c:v>0</c:v>
                </c:pt>
                <c:pt idx="2">
                  <c:v>-1.7904009259259259E-3</c:v>
                </c:pt>
                <c:pt idx="3">
                  <c:v>-6.8184157407407409E-3</c:v>
                </c:pt>
                <c:pt idx="4">
                  <c:v>-1.4569262500000001E-2</c:v>
                </c:pt>
                <c:pt idx="5">
                  <c:v>-2.4528159259259257E-2</c:v>
                </c:pt>
                <c:pt idx="6">
                  <c:v>-3.6180324074074073E-2</c:v>
                </c:pt>
                <c:pt idx="7">
                  <c:v>-4.9010975000000012E-2</c:v>
                </c:pt>
                <c:pt idx="8">
                  <c:v>-6.2505330092592612E-2</c:v>
                </c:pt>
                <c:pt idx="9">
                  <c:v>-7.6148607407407407E-2</c:v>
                </c:pt>
                <c:pt idx="10">
                  <c:v>-8.9426024999999992E-2</c:v>
                </c:pt>
                <c:pt idx="11">
                  <c:v>-9.4205665588378909E-2</c:v>
                </c:pt>
                <c:pt idx="12">
                  <c:v>-0.1018233359053498</c:v>
                </c:pt>
                <c:pt idx="13">
                  <c:v>-0.1128486005164609</c:v>
                </c:pt>
                <c:pt idx="14">
                  <c:v>-0.12208176933333334</c:v>
                </c:pt>
                <c:pt idx="15">
                  <c:v>-0.1291868685102881</c:v>
                </c:pt>
                <c:pt idx="16">
                  <c:v>-0.13391206918930043</c:v>
                </c:pt>
                <c:pt idx="17">
                  <c:v>-0.1360896875</c:v>
                </c:pt>
                <c:pt idx="18">
                  <c:v>-0.1356361845596708</c:v>
                </c:pt>
                <c:pt idx="19">
                  <c:v>-0.13255216647325097</c:v>
                </c:pt>
                <c:pt idx="20">
                  <c:v>-0.1269223843333333</c:v>
                </c:pt>
                <c:pt idx="21">
                  <c:v>-0.11891573422016467</c:v>
                </c:pt>
                <c:pt idx="22">
                  <c:v>-0.10878525720164617</c:v>
                </c:pt>
                <c:pt idx="23">
                  <c:v>-9.6868139333333353E-2</c:v>
                </c:pt>
                <c:pt idx="24">
                  <c:v>-8.3585711658436285E-2</c:v>
                </c:pt>
                <c:pt idx="25">
                  <c:v>-6.9443450207818974E-2</c:v>
                </c:pt>
                <c:pt idx="26">
                  <c:v>-6.3133454322814947E-2</c:v>
                </c:pt>
                <c:pt idx="27">
                  <c:v>-5.5030624999999979E-2</c:v>
                </c:pt>
                <c:pt idx="28">
                  <c:v>-4.1001157407407389E-2</c:v>
                </c:pt>
                <c:pt idx="29">
                  <c:v>-2.8023425925925917E-2</c:v>
                </c:pt>
                <c:pt idx="30">
                  <c:v>-1.6765937499999994E-2</c:v>
                </c:pt>
                <c:pt idx="31">
                  <c:v>-7.8971990740740721E-3</c:v>
                </c:pt>
                <c:pt idx="32">
                  <c:v>-2.0857175925925921E-3</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83821"/>
          <a:ext cx="2502353" cy="59427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161517</xdr:colOff>
      <xdr:row>12</xdr:row>
      <xdr:rowOff>162823</xdr:rowOff>
    </xdr:from>
    <xdr:to>
      <xdr:col>5</xdr:col>
      <xdr:colOff>68904</xdr:colOff>
      <xdr:row>22</xdr:row>
      <xdr:rowOff>82718</xdr:rowOff>
    </xdr:to>
    <xdr:grpSp>
      <xdr:nvGrpSpPr>
        <xdr:cNvPr id="18" name="Group 17">
          <a:extLst>
            <a:ext uri="{FF2B5EF4-FFF2-40B4-BE49-F238E27FC236}">
              <a16:creationId xmlns:a16="http://schemas.microsoft.com/office/drawing/2014/main" id="{EBBAAD55-B8EE-4E9D-96A7-3CE6831022AA}"/>
            </a:ext>
          </a:extLst>
        </xdr:cNvPr>
        <xdr:cNvGrpSpPr/>
      </xdr:nvGrpSpPr>
      <xdr:grpSpPr>
        <a:xfrm>
          <a:off x="161517" y="2176680"/>
          <a:ext cx="2993487" cy="1601738"/>
          <a:chOff x="161517" y="2198791"/>
          <a:chExt cx="2985153" cy="1580817"/>
        </a:xfrm>
      </xdr:grpSpPr>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08564" y="3248444"/>
            <a:ext cx="0" cy="332341"/>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353043" y="3322347"/>
            <a:ext cx="300686" cy="2518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11832" y="3072962"/>
            <a:ext cx="254360" cy="2564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544601" y="2871334"/>
            <a:ext cx="254827" cy="2616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07442" y="2292267"/>
            <a:ext cx="0" cy="66218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07442" y="2404464"/>
            <a:ext cx="1256633"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2756" y="2339136"/>
            <a:ext cx="237352" cy="241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958228" y="3098636"/>
            <a:ext cx="58549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09990" y="2869060"/>
            <a:ext cx="241383" cy="2499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867725" y="2297280"/>
            <a:ext cx="0" cy="62386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31669" y="2198791"/>
            <a:ext cx="230195" cy="239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09845" y="3097979"/>
            <a:ext cx="1262384" cy="659"/>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823800" y="2779375"/>
            <a:ext cx="259264" cy="237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619321" y="3064699"/>
            <a:ext cx="246089" cy="264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D</a:t>
            </a:r>
            <a:endParaRPr lang="en-CA" sz="1000" baseline="-25000"/>
          </a:p>
        </xdr:txBody>
      </xdr:sp>
      <xdr:grpSp>
        <xdr:nvGrpSpPr>
          <xdr:cNvPr id="10" name="Group 9">
            <a:extLst>
              <a:ext uri="{FF2B5EF4-FFF2-40B4-BE49-F238E27FC236}">
                <a16:creationId xmlns:a16="http://schemas.microsoft.com/office/drawing/2014/main" id="{CBD5E3A7-89DF-4B76-B283-619AF2C2D8CA}"/>
              </a:ext>
            </a:extLst>
          </xdr:cNvPr>
          <xdr:cNvGrpSpPr/>
        </xdr:nvGrpSpPr>
        <xdr:grpSpPr>
          <a:xfrm>
            <a:off x="1872853" y="2979340"/>
            <a:ext cx="50903" cy="244348"/>
            <a:chOff x="1876425" y="3000771"/>
            <a:chExt cx="50903" cy="246729"/>
          </a:xfrm>
        </xdr:grpSpPr>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879181" y="3239927"/>
            <a:ext cx="0" cy="326928"/>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848642" y="3318056"/>
            <a:ext cx="305662" cy="2461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D</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757490" y="2925000"/>
            <a:ext cx="324631" cy="348278"/>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2001985" y="3099991"/>
            <a:ext cx="351726" cy="247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D</a:t>
            </a:r>
          </a:p>
        </xdr:txBody>
      </xdr:sp>
      <xdr:sp macro="" textlink="">
        <xdr:nvSpPr>
          <xdr:cNvPr id="51" name="TextBox 50">
            <a:extLst>
              <a:ext uri="{FF2B5EF4-FFF2-40B4-BE49-F238E27FC236}">
                <a16:creationId xmlns:a16="http://schemas.microsoft.com/office/drawing/2014/main" id="{FB457E8E-5A5B-4C01-BC88-FA5FFA154FA5}"/>
              </a:ext>
            </a:extLst>
          </xdr:cNvPr>
          <xdr:cNvSpPr txBox="1"/>
        </xdr:nvSpPr>
        <xdr:spPr>
          <a:xfrm>
            <a:off x="855084" y="3109679"/>
            <a:ext cx="259556" cy="239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53" name="Arc 52">
            <a:extLst>
              <a:ext uri="{FF2B5EF4-FFF2-40B4-BE49-F238E27FC236}">
                <a16:creationId xmlns:a16="http://schemas.microsoft.com/office/drawing/2014/main" id="{0DA982D9-F5D5-437B-BB35-12F7A425D026}"/>
              </a:ext>
            </a:extLst>
          </xdr:cNvPr>
          <xdr:cNvSpPr/>
        </xdr:nvSpPr>
        <xdr:spPr bwMode="auto">
          <a:xfrm flipH="1">
            <a:off x="435898" y="2925000"/>
            <a:ext cx="325346" cy="348278"/>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54" name="TextBox 53">
            <a:extLst>
              <a:ext uri="{FF2B5EF4-FFF2-40B4-BE49-F238E27FC236}">
                <a16:creationId xmlns:a16="http://schemas.microsoft.com/office/drawing/2014/main" id="{884E0130-282F-4ED9-B36C-95969040613B}"/>
              </a:ext>
            </a:extLst>
          </xdr:cNvPr>
          <xdr:cNvSpPr txBox="1"/>
        </xdr:nvSpPr>
        <xdr:spPr>
          <a:xfrm>
            <a:off x="161517" y="3099991"/>
            <a:ext cx="351726" cy="2473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sp macro="" textlink="">
        <xdr:nvSpPr>
          <xdr:cNvPr id="41" name="Freeform: Shape 40">
            <a:extLst>
              <a:ext uri="{FF2B5EF4-FFF2-40B4-BE49-F238E27FC236}">
                <a16:creationId xmlns:a16="http://schemas.microsoft.com/office/drawing/2014/main" id="{E3802AF8-7DB6-487E-9FB1-3FE5B8AD1F32}"/>
              </a:ext>
            </a:extLst>
          </xdr:cNvPr>
          <xdr:cNvSpPr/>
        </xdr:nvSpPr>
        <xdr:spPr bwMode="auto">
          <a:xfrm>
            <a:off x="609056" y="3103996"/>
            <a:ext cx="1258518" cy="74661"/>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 name="connsiteX0" fmla="*/ 10000 w 10000"/>
              <a:gd name="connsiteY0" fmla="*/ 0 h 10287"/>
              <a:gd name="connsiteX1" fmla="*/ 0 w 10000"/>
              <a:gd name="connsiteY1" fmla="*/ 10000 h 10287"/>
              <a:gd name="connsiteX0" fmla="*/ 10000 w 10000"/>
              <a:gd name="connsiteY0" fmla="*/ 1075 h 11230"/>
              <a:gd name="connsiteX1" fmla="*/ 0 w 10000"/>
              <a:gd name="connsiteY1" fmla="*/ 11075 h 1123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79740"/>
              <a:gd name="connsiteX1" fmla="*/ 4780 w 10000"/>
              <a:gd name="connsiteY1" fmla="*/ 179736 h 179740"/>
              <a:gd name="connsiteX2" fmla="*/ 0 w 10000"/>
              <a:gd name="connsiteY2" fmla="*/ 10005 h 179740"/>
              <a:gd name="connsiteX0" fmla="*/ 10000 w 10000"/>
              <a:gd name="connsiteY0" fmla="*/ 5 h 180115"/>
              <a:gd name="connsiteX1" fmla="*/ 4780 w 10000"/>
              <a:gd name="connsiteY1" fmla="*/ 179736 h 180115"/>
              <a:gd name="connsiteX2" fmla="*/ 0 w 10000"/>
              <a:gd name="connsiteY2" fmla="*/ 10005 h 180115"/>
              <a:gd name="connsiteX0" fmla="*/ 10000 w 10000"/>
              <a:gd name="connsiteY0" fmla="*/ 5 h 180115"/>
              <a:gd name="connsiteX1" fmla="*/ 4780 w 10000"/>
              <a:gd name="connsiteY1" fmla="*/ 179736 h 180115"/>
              <a:gd name="connsiteX2" fmla="*/ 0 w 10000"/>
              <a:gd name="connsiteY2" fmla="*/ 10005 h 180115"/>
            </a:gdLst>
            <a:ahLst/>
            <a:cxnLst>
              <a:cxn ang="0">
                <a:pos x="connsiteX0" y="connsiteY0"/>
              </a:cxn>
              <a:cxn ang="0">
                <a:pos x="connsiteX1" y="connsiteY1"/>
              </a:cxn>
              <a:cxn ang="0">
                <a:pos x="connsiteX2" y="connsiteY2"/>
              </a:cxn>
            </a:cxnLst>
            <a:rect l="l" t="t" r="r" b="b"/>
            <a:pathLst>
              <a:path w="10000" h="180115">
                <a:moveTo>
                  <a:pt x="10000" y="5"/>
                </a:moveTo>
                <a:cubicBezTo>
                  <a:pt x="9150" y="-929"/>
                  <a:pt x="6324" y="189731"/>
                  <a:pt x="4780" y="179736"/>
                </a:cubicBezTo>
                <a:cubicBezTo>
                  <a:pt x="3380" y="188674"/>
                  <a:pt x="1552" y="11964"/>
                  <a:pt x="0" y="10005"/>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grpSp>
        <xdr:nvGrpSpPr>
          <xdr:cNvPr id="58" name="Group 57">
            <a:extLst>
              <a:ext uri="{FF2B5EF4-FFF2-40B4-BE49-F238E27FC236}">
                <a16:creationId xmlns:a16="http://schemas.microsoft.com/office/drawing/2014/main" id="{5D5E1AE2-C3A6-4DFC-B3BC-5EAA05EDE5D2}"/>
              </a:ext>
            </a:extLst>
          </xdr:cNvPr>
          <xdr:cNvGrpSpPr/>
        </xdr:nvGrpSpPr>
        <xdr:grpSpPr>
          <a:xfrm flipH="1">
            <a:off x="554491" y="2988469"/>
            <a:ext cx="50903" cy="244348"/>
            <a:chOff x="1876425" y="3000771"/>
            <a:chExt cx="50903" cy="246729"/>
          </a:xfrm>
        </xdr:grpSpPr>
        <xdr:sp macro="" textlink="">
          <xdr:nvSpPr>
            <xdr:cNvPr id="61" name="Line 49">
              <a:extLst>
                <a:ext uri="{FF2B5EF4-FFF2-40B4-BE49-F238E27FC236}">
                  <a16:creationId xmlns:a16="http://schemas.microsoft.com/office/drawing/2014/main" id="{DF27B6A6-9036-4A07-9593-455364C7227E}"/>
                </a:ext>
              </a:extLst>
            </xdr:cNvPr>
            <xdr:cNvSpPr>
              <a:spLocks noChangeShapeType="1"/>
            </xdr:cNvSpPr>
          </xdr:nvSpPr>
          <xdr:spPr bwMode="auto">
            <a:xfrm flipH="1">
              <a:off x="1880664" y="3000771"/>
              <a:ext cx="0" cy="226685"/>
            </a:xfrm>
            <a:prstGeom prst="line">
              <a:avLst/>
            </a:prstGeom>
            <a:noFill/>
            <a:ln w="22225">
              <a:solidFill>
                <a:srgbClr val="000000"/>
              </a:solidFill>
              <a:round/>
              <a:headEnd/>
              <a:tailEnd/>
            </a:ln>
          </xdr:spPr>
        </xdr:sp>
        <xdr:sp macro="" textlink="">
          <xdr:nvSpPr>
            <xdr:cNvPr id="67" name="Line 50">
              <a:extLst>
                <a:ext uri="{FF2B5EF4-FFF2-40B4-BE49-F238E27FC236}">
                  <a16:creationId xmlns:a16="http://schemas.microsoft.com/office/drawing/2014/main" id="{BDC13253-60B0-4B63-98D5-6D76F7C187E1}"/>
                </a:ext>
              </a:extLst>
            </xdr:cNvPr>
            <xdr:cNvSpPr>
              <a:spLocks noChangeShapeType="1"/>
            </xdr:cNvSpPr>
          </xdr:nvSpPr>
          <xdr:spPr bwMode="auto">
            <a:xfrm>
              <a:off x="1880664" y="3010794"/>
              <a:ext cx="46664" cy="22057"/>
            </a:xfrm>
            <a:prstGeom prst="line">
              <a:avLst/>
            </a:prstGeom>
            <a:noFill/>
            <a:ln w="9525">
              <a:solidFill>
                <a:srgbClr val="000000"/>
              </a:solidFill>
              <a:round/>
              <a:headEnd/>
              <a:tailEnd/>
            </a:ln>
          </xdr:spPr>
        </xdr:sp>
        <xdr:sp macro="" textlink="">
          <xdr:nvSpPr>
            <xdr:cNvPr id="68" name="Line 51">
              <a:extLst>
                <a:ext uri="{FF2B5EF4-FFF2-40B4-BE49-F238E27FC236}">
                  <a16:creationId xmlns:a16="http://schemas.microsoft.com/office/drawing/2014/main" id="{B3CE9070-95C5-4D9C-97EC-69862235C0F5}"/>
                </a:ext>
              </a:extLst>
            </xdr:cNvPr>
            <xdr:cNvSpPr>
              <a:spLocks noChangeShapeType="1"/>
            </xdr:cNvSpPr>
          </xdr:nvSpPr>
          <xdr:spPr bwMode="auto">
            <a:xfrm>
              <a:off x="1878806" y="3057525"/>
              <a:ext cx="48522" cy="35455"/>
            </a:xfrm>
            <a:prstGeom prst="line">
              <a:avLst/>
            </a:prstGeom>
            <a:noFill/>
            <a:ln w="9525">
              <a:solidFill>
                <a:srgbClr val="000000"/>
              </a:solidFill>
              <a:round/>
              <a:headEnd/>
              <a:tailEnd/>
            </a:ln>
          </xdr:spPr>
        </xdr:sp>
        <xdr:sp macro="" textlink="">
          <xdr:nvSpPr>
            <xdr:cNvPr id="69" name="Line 52">
              <a:extLst>
                <a:ext uri="{FF2B5EF4-FFF2-40B4-BE49-F238E27FC236}">
                  <a16:creationId xmlns:a16="http://schemas.microsoft.com/office/drawing/2014/main" id="{1928CBDB-C50A-494E-9951-B9EE1779FE35}"/>
                </a:ext>
              </a:extLst>
            </xdr:cNvPr>
            <xdr:cNvSpPr>
              <a:spLocks noChangeShapeType="1"/>
            </xdr:cNvSpPr>
          </xdr:nvSpPr>
          <xdr:spPr bwMode="auto">
            <a:xfrm>
              <a:off x="1876425" y="3109913"/>
              <a:ext cx="50903" cy="35358"/>
            </a:xfrm>
            <a:prstGeom prst="line">
              <a:avLst/>
            </a:prstGeom>
            <a:noFill/>
            <a:ln w="9525">
              <a:solidFill>
                <a:srgbClr val="000000"/>
              </a:solidFill>
              <a:round/>
              <a:headEnd/>
              <a:tailEnd/>
            </a:ln>
          </xdr:spPr>
        </xdr:sp>
        <xdr:sp macro="" textlink="">
          <xdr:nvSpPr>
            <xdr:cNvPr id="70" name="Line 53">
              <a:extLst>
                <a:ext uri="{FF2B5EF4-FFF2-40B4-BE49-F238E27FC236}">
                  <a16:creationId xmlns:a16="http://schemas.microsoft.com/office/drawing/2014/main" id="{70ECBC51-387A-4E4B-89A3-28596823E6B9}"/>
                </a:ext>
              </a:extLst>
            </xdr:cNvPr>
            <xdr:cNvSpPr>
              <a:spLocks noChangeShapeType="1"/>
            </xdr:cNvSpPr>
          </xdr:nvSpPr>
          <xdr:spPr bwMode="auto">
            <a:xfrm>
              <a:off x="1880664" y="3165315"/>
              <a:ext cx="46664" cy="32077"/>
            </a:xfrm>
            <a:prstGeom prst="line">
              <a:avLst/>
            </a:prstGeom>
            <a:noFill/>
            <a:ln w="9525">
              <a:solidFill>
                <a:srgbClr val="000000"/>
              </a:solidFill>
              <a:round/>
              <a:headEnd/>
              <a:tailEnd/>
            </a:ln>
          </xdr:spPr>
        </xdr:sp>
        <xdr:sp macro="" textlink="">
          <xdr:nvSpPr>
            <xdr:cNvPr id="71" name="Line 54">
              <a:extLst>
                <a:ext uri="{FF2B5EF4-FFF2-40B4-BE49-F238E27FC236}">
                  <a16:creationId xmlns:a16="http://schemas.microsoft.com/office/drawing/2014/main" id="{150109AB-0DCA-4A0E-A25D-DA9D21D77510}"/>
                </a:ext>
              </a:extLst>
            </xdr:cNvPr>
            <xdr:cNvSpPr>
              <a:spLocks noChangeShapeType="1"/>
            </xdr:cNvSpPr>
          </xdr:nvSpPr>
          <xdr:spPr bwMode="auto">
            <a:xfrm>
              <a:off x="1880664" y="3207413"/>
              <a:ext cx="46664" cy="40087"/>
            </a:xfrm>
            <a:prstGeom prst="line">
              <a:avLst/>
            </a:prstGeom>
            <a:noFill/>
            <a:ln w="9525">
              <a:solidFill>
                <a:srgbClr val="000000"/>
              </a:solidFill>
              <a:round/>
              <a:headEnd/>
              <a:tailEnd/>
            </a:ln>
          </xdr:spPr>
        </xdr:sp>
      </xdr:grpSp>
      <xdr:sp macro="" textlink="">
        <xdr:nvSpPr>
          <xdr:cNvPr id="105" name="TextBox 104">
            <a:extLst>
              <a:ext uri="{FF2B5EF4-FFF2-40B4-BE49-F238E27FC236}">
                <a16:creationId xmlns:a16="http://schemas.microsoft.com/office/drawing/2014/main" id="{6C385DA6-BF32-41A1-B07D-F269B531DE51}"/>
              </a:ext>
            </a:extLst>
          </xdr:cNvPr>
          <xdr:cNvSpPr txBox="1"/>
        </xdr:nvSpPr>
        <xdr:spPr>
          <a:xfrm>
            <a:off x="1999642" y="2338228"/>
            <a:ext cx="529744" cy="239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 = wc</a:t>
            </a:r>
            <a:endParaRPr lang="en-CA" sz="1000" baseline="-25000"/>
          </a:p>
        </xdr:txBody>
      </xdr:sp>
      <xdr:cxnSp macro="">
        <xdr:nvCxnSpPr>
          <xdr:cNvPr id="106" name="Straight Arrow Connector 105">
            <a:extLst>
              <a:ext uri="{FF2B5EF4-FFF2-40B4-BE49-F238E27FC236}">
                <a16:creationId xmlns:a16="http://schemas.microsoft.com/office/drawing/2014/main" id="{C7FA9887-41CC-42FA-B3EB-F6DEDF130A68}"/>
              </a:ext>
            </a:extLst>
          </xdr:cNvPr>
          <xdr:cNvCxnSpPr/>
        </xdr:nvCxnSpPr>
        <xdr:spPr bwMode="auto">
          <a:xfrm>
            <a:off x="1032228" y="2765919"/>
            <a:ext cx="0" cy="32572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7" name="Straight Arrow Connector 106">
            <a:extLst>
              <a:ext uri="{FF2B5EF4-FFF2-40B4-BE49-F238E27FC236}">
                <a16:creationId xmlns:a16="http://schemas.microsoft.com/office/drawing/2014/main" id="{274E93FF-27CB-42DD-9558-A4A1A258D8D2}"/>
              </a:ext>
            </a:extLst>
          </xdr:cNvPr>
          <xdr:cNvCxnSpPr/>
        </xdr:nvCxnSpPr>
        <xdr:spPr bwMode="auto">
          <a:xfrm>
            <a:off x="1171261" y="2765919"/>
            <a:ext cx="0" cy="32572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8" name="Straight Arrow Connector 107">
            <a:extLst>
              <a:ext uri="{FF2B5EF4-FFF2-40B4-BE49-F238E27FC236}">
                <a16:creationId xmlns:a16="http://schemas.microsoft.com/office/drawing/2014/main" id="{5410B669-3351-4A73-8683-489D5A988161}"/>
              </a:ext>
            </a:extLst>
          </xdr:cNvPr>
          <xdr:cNvCxnSpPr/>
        </xdr:nvCxnSpPr>
        <xdr:spPr bwMode="auto">
          <a:xfrm>
            <a:off x="1305872" y="2765919"/>
            <a:ext cx="0" cy="32572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9" name="Straight Arrow Connector 108">
            <a:extLst>
              <a:ext uri="{FF2B5EF4-FFF2-40B4-BE49-F238E27FC236}">
                <a16:creationId xmlns:a16="http://schemas.microsoft.com/office/drawing/2014/main" id="{68282FA3-41ED-4B47-9465-4A07E22BCE5C}"/>
              </a:ext>
            </a:extLst>
          </xdr:cNvPr>
          <xdr:cNvCxnSpPr/>
        </xdr:nvCxnSpPr>
        <xdr:spPr bwMode="auto">
          <a:xfrm>
            <a:off x="1444904" y="2765919"/>
            <a:ext cx="0" cy="32572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10" name="Straight Connector 109">
            <a:extLst>
              <a:ext uri="{FF2B5EF4-FFF2-40B4-BE49-F238E27FC236}">
                <a16:creationId xmlns:a16="http://schemas.microsoft.com/office/drawing/2014/main" id="{CE61C482-D28B-4166-9365-3425B741E06C}"/>
              </a:ext>
            </a:extLst>
          </xdr:cNvPr>
          <xdr:cNvCxnSpPr/>
        </xdr:nvCxnSpPr>
        <xdr:spPr bwMode="auto">
          <a:xfrm>
            <a:off x="1031200" y="2764413"/>
            <a:ext cx="41495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1" name="Straight Connector 110">
            <a:extLst>
              <a:ext uri="{FF2B5EF4-FFF2-40B4-BE49-F238E27FC236}">
                <a16:creationId xmlns:a16="http://schemas.microsoft.com/office/drawing/2014/main" id="{759F1C0B-9FFC-41B7-B2DE-0B730B4FD850}"/>
              </a:ext>
            </a:extLst>
          </xdr:cNvPr>
          <xdr:cNvCxnSpPr/>
        </xdr:nvCxnSpPr>
        <xdr:spPr bwMode="auto">
          <a:xfrm>
            <a:off x="1029468" y="2491166"/>
            <a:ext cx="0" cy="22081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2" name="Straight Connector 111">
            <a:extLst>
              <a:ext uri="{FF2B5EF4-FFF2-40B4-BE49-F238E27FC236}">
                <a16:creationId xmlns:a16="http://schemas.microsoft.com/office/drawing/2014/main" id="{4FE89D18-E3DB-4C78-8805-874DD4CDD0F1}"/>
              </a:ext>
            </a:extLst>
          </xdr:cNvPr>
          <xdr:cNvCxnSpPr/>
        </xdr:nvCxnSpPr>
        <xdr:spPr bwMode="auto">
          <a:xfrm>
            <a:off x="1450269" y="2491166"/>
            <a:ext cx="0" cy="22081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3" name="Straight Arrow Connector 112">
            <a:extLst>
              <a:ext uri="{FF2B5EF4-FFF2-40B4-BE49-F238E27FC236}">
                <a16:creationId xmlns:a16="http://schemas.microsoft.com/office/drawing/2014/main" id="{85E0669E-A5A6-4718-BFDD-65E3A7B8C0E1}"/>
              </a:ext>
            </a:extLst>
          </xdr:cNvPr>
          <xdr:cNvCxnSpPr/>
        </xdr:nvCxnSpPr>
        <xdr:spPr bwMode="auto">
          <a:xfrm>
            <a:off x="614500" y="2586254"/>
            <a:ext cx="416700" cy="0"/>
          </a:xfrm>
          <a:prstGeom prst="straightConnector1">
            <a:avLst/>
          </a:prstGeom>
          <a:solidFill>
            <a:srgbClr val="FFFFFF"/>
          </a:solidFill>
          <a:ln w="9525" cap="flat" cmpd="sng" algn="ctr">
            <a:solidFill>
              <a:srgbClr val="000000"/>
            </a:solidFill>
            <a:prstDash val="solid"/>
            <a:round/>
            <a:headEnd type="arrow"/>
            <a:tailEnd type="arrow"/>
          </a:ln>
          <a:effectLst/>
        </xdr:spPr>
      </xdr:cxnSp>
      <xdr:cxnSp macro="">
        <xdr:nvCxnSpPr>
          <xdr:cNvPr id="115" name="Straight Arrow Connector 114">
            <a:extLst>
              <a:ext uri="{FF2B5EF4-FFF2-40B4-BE49-F238E27FC236}">
                <a16:creationId xmlns:a16="http://schemas.microsoft.com/office/drawing/2014/main" id="{0989D8ED-8542-4AB0-A9F2-3E487731574E}"/>
              </a:ext>
            </a:extLst>
          </xdr:cNvPr>
          <xdr:cNvCxnSpPr/>
        </xdr:nvCxnSpPr>
        <xdr:spPr bwMode="auto">
          <a:xfrm>
            <a:off x="1026547" y="2586254"/>
            <a:ext cx="425454"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18" name="TextBox 117">
            <a:extLst>
              <a:ext uri="{FF2B5EF4-FFF2-40B4-BE49-F238E27FC236}">
                <a16:creationId xmlns:a16="http://schemas.microsoft.com/office/drawing/2014/main" id="{C5982C31-466E-4A9A-A103-364E8E79D4A4}"/>
              </a:ext>
            </a:extLst>
          </xdr:cNvPr>
          <xdr:cNvSpPr txBox="1"/>
        </xdr:nvSpPr>
        <xdr:spPr>
          <a:xfrm>
            <a:off x="706814" y="2388579"/>
            <a:ext cx="225276" cy="242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121" name="TextBox 120">
            <a:extLst>
              <a:ext uri="{FF2B5EF4-FFF2-40B4-BE49-F238E27FC236}">
                <a16:creationId xmlns:a16="http://schemas.microsoft.com/office/drawing/2014/main" id="{8694D305-9BCF-49F9-A1FA-665099B872E6}"/>
              </a:ext>
            </a:extLst>
          </xdr:cNvPr>
          <xdr:cNvSpPr txBox="1"/>
        </xdr:nvSpPr>
        <xdr:spPr>
          <a:xfrm>
            <a:off x="1118185" y="2391122"/>
            <a:ext cx="223500" cy="2425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124" name="TextBox 123">
            <a:extLst>
              <a:ext uri="{FF2B5EF4-FFF2-40B4-BE49-F238E27FC236}">
                <a16:creationId xmlns:a16="http://schemas.microsoft.com/office/drawing/2014/main" id="{1D6CA733-45E1-4378-ADEA-BDEA5862D6B8}"/>
              </a:ext>
            </a:extLst>
          </xdr:cNvPr>
          <xdr:cNvSpPr txBox="1"/>
        </xdr:nvSpPr>
        <xdr:spPr>
          <a:xfrm>
            <a:off x="1391539" y="3098896"/>
            <a:ext cx="259556" cy="2390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xnSp macro="">
        <xdr:nvCxnSpPr>
          <xdr:cNvPr id="125" name="Straight Connector 124">
            <a:extLst>
              <a:ext uri="{FF2B5EF4-FFF2-40B4-BE49-F238E27FC236}">
                <a16:creationId xmlns:a16="http://schemas.microsoft.com/office/drawing/2014/main" id="{E3B47685-B48E-4266-B6A6-0F6844ADB251}"/>
              </a:ext>
            </a:extLst>
          </xdr:cNvPr>
          <xdr:cNvCxnSpPr/>
        </xdr:nvCxnSpPr>
        <xdr:spPr bwMode="auto">
          <a:xfrm>
            <a:off x="1447310" y="3231766"/>
            <a:ext cx="0" cy="54784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26" name="Straight Arrow Connector 125">
            <a:extLst>
              <a:ext uri="{FF2B5EF4-FFF2-40B4-BE49-F238E27FC236}">
                <a16:creationId xmlns:a16="http://schemas.microsoft.com/office/drawing/2014/main" id="{E5ECF25F-1682-40CB-9BB1-8705CFF4C6A6}"/>
              </a:ext>
            </a:extLst>
          </xdr:cNvPr>
          <xdr:cNvCxnSpPr/>
        </xdr:nvCxnSpPr>
        <xdr:spPr bwMode="auto">
          <a:xfrm>
            <a:off x="614500" y="3691773"/>
            <a:ext cx="831099"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27" name="TextBox 126">
            <a:extLst>
              <a:ext uri="{FF2B5EF4-FFF2-40B4-BE49-F238E27FC236}">
                <a16:creationId xmlns:a16="http://schemas.microsoft.com/office/drawing/2014/main" id="{ECDC9CD4-4CD7-45E9-ADD1-84C3F04238CB}"/>
              </a:ext>
            </a:extLst>
          </xdr:cNvPr>
          <xdr:cNvSpPr txBox="1"/>
        </xdr:nvSpPr>
        <xdr:spPr>
          <a:xfrm>
            <a:off x="900908" y="3503911"/>
            <a:ext cx="225276" cy="240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128" name="Straight Connector 127">
            <a:extLst>
              <a:ext uri="{FF2B5EF4-FFF2-40B4-BE49-F238E27FC236}">
                <a16:creationId xmlns:a16="http://schemas.microsoft.com/office/drawing/2014/main" id="{DFA6880A-1D99-4B77-8214-8A36BB06CB4F}"/>
              </a:ext>
            </a:extLst>
          </xdr:cNvPr>
          <xdr:cNvCxnSpPr/>
        </xdr:nvCxnSpPr>
        <xdr:spPr bwMode="auto">
          <a:xfrm>
            <a:off x="607442" y="3613860"/>
            <a:ext cx="0" cy="14068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29" name="Straight Connector 128">
            <a:extLst>
              <a:ext uri="{FF2B5EF4-FFF2-40B4-BE49-F238E27FC236}">
                <a16:creationId xmlns:a16="http://schemas.microsoft.com/office/drawing/2014/main" id="{C77F3F4E-646C-46EA-B716-0A06FF61690B}"/>
              </a:ext>
            </a:extLst>
          </xdr:cNvPr>
          <xdr:cNvCxnSpPr/>
        </xdr:nvCxnSpPr>
        <xdr:spPr bwMode="auto">
          <a:xfrm>
            <a:off x="1241557" y="3231766"/>
            <a:ext cx="0" cy="31692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30" name="Straight Arrow Connector 129">
            <a:extLst>
              <a:ext uri="{FF2B5EF4-FFF2-40B4-BE49-F238E27FC236}">
                <a16:creationId xmlns:a16="http://schemas.microsoft.com/office/drawing/2014/main" id="{A9BBAAD4-EA04-4A53-AD86-691FEC6797AC}"/>
              </a:ext>
            </a:extLst>
          </xdr:cNvPr>
          <xdr:cNvCxnSpPr/>
        </xdr:nvCxnSpPr>
        <xdr:spPr bwMode="auto">
          <a:xfrm>
            <a:off x="1243649" y="3488688"/>
            <a:ext cx="626824"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31" name="TextBox 130">
            <a:extLst>
              <a:ext uri="{FF2B5EF4-FFF2-40B4-BE49-F238E27FC236}">
                <a16:creationId xmlns:a16="http://schemas.microsoft.com/office/drawing/2014/main" id="{F2C22A74-F9C9-405C-8EB2-9C9E114AB2E3}"/>
              </a:ext>
            </a:extLst>
          </xdr:cNvPr>
          <xdr:cNvSpPr txBox="1"/>
        </xdr:nvSpPr>
        <xdr:spPr>
          <a:xfrm>
            <a:off x="1428728" y="3306913"/>
            <a:ext cx="225276" cy="2428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d</a:t>
            </a:r>
            <a:endParaRPr lang="en-CA" sz="1000" baseline="-25000"/>
          </a:p>
        </xdr:txBody>
      </xdr:sp>
      <xdr:sp macro="" textlink="">
        <xdr:nvSpPr>
          <xdr:cNvPr id="132" name="TextBox 131">
            <a:extLst>
              <a:ext uri="{FF2B5EF4-FFF2-40B4-BE49-F238E27FC236}">
                <a16:creationId xmlns:a16="http://schemas.microsoft.com/office/drawing/2014/main" id="{DAC250E1-C414-4CE8-9656-11AD51E66FD8}"/>
              </a:ext>
            </a:extLst>
          </xdr:cNvPr>
          <xdr:cNvSpPr txBox="1"/>
        </xdr:nvSpPr>
        <xdr:spPr>
          <a:xfrm>
            <a:off x="1396842" y="2749070"/>
            <a:ext cx="224513" cy="240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sp macro="" textlink="">
        <xdr:nvSpPr>
          <xdr:cNvPr id="133" name="TextBox 132">
            <a:extLst>
              <a:ext uri="{FF2B5EF4-FFF2-40B4-BE49-F238E27FC236}">
                <a16:creationId xmlns:a16="http://schemas.microsoft.com/office/drawing/2014/main" id="{9063AB23-4656-4D23-AF5F-E6CB205DB99D}"/>
              </a:ext>
            </a:extLst>
          </xdr:cNvPr>
          <xdr:cNvSpPr txBox="1"/>
        </xdr:nvSpPr>
        <xdr:spPr>
          <a:xfrm>
            <a:off x="1999642" y="2531642"/>
            <a:ext cx="1147028" cy="2433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baseline="0"/>
              <a:t>d = L - 0.5a - 0.5b</a:t>
            </a:r>
            <a:endParaRPr lang="en-CA" sz="1000" baseline="-250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9" t="s">
        <v>18</v>
      </c>
      <c r="C16" s="109"/>
      <c r="D16" s="109"/>
      <c r="E16" s="109"/>
      <c r="F16" s="109"/>
      <c r="G16" s="109"/>
      <c r="H16" s="109"/>
      <c r="I16" s="109"/>
      <c r="J16" s="109"/>
      <c r="M16" s="26"/>
      <c r="N16" s="26"/>
      <c r="O16" s="26"/>
      <c r="P16" s="26"/>
      <c r="Q16" s="26"/>
      <c r="R16" s="27"/>
      <c r="S16" s="27"/>
      <c r="T16" s="23"/>
      <c r="U16" s="23"/>
      <c r="V16" s="23"/>
      <c r="W16" s="23"/>
      <c r="X16" s="23"/>
      <c r="Y16" s="23"/>
    </row>
    <row r="17" spans="1:25" s="5" customFormat="1" ht="12.75" x14ac:dyDescent="0.2">
      <c r="B17" s="109"/>
      <c r="C17" s="109"/>
      <c r="D17" s="109"/>
      <c r="E17" s="109"/>
      <c r="F17" s="109"/>
      <c r="G17" s="109"/>
      <c r="H17" s="109"/>
      <c r="I17" s="109"/>
      <c r="J17" s="109"/>
      <c r="M17" s="26"/>
      <c r="N17" s="26"/>
      <c r="O17" s="26"/>
      <c r="P17" s="26"/>
      <c r="Q17" s="26"/>
      <c r="R17" s="27"/>
      <c r="S17" s="27"/>
      <c r="T17" s="23"/>
      <c r="U17" s="23"/>
      <c r="V17" s="23"/>
      <c r="W17" s="23"/>
      <c r="X17" s="23"/>
      <c r="Y17" s="23"/>
    </row>
    <row r="18" spans="1:25" s="5" customFormat="1" ht="12.75" x14ac:dyDescent="0.2">
      <c r="B18" s="109"/>
      <c r="C18" s="109"/>
      <c r="D18" s="109"/>
      <c r="E18" s="109"/>
      <c r="F18" s="109"/>
      <c r="G18" s="109"/>
      <c r="H18" s="109"/>
      <c r="I18" s="109"/>
      <c r="J18" s="109"/>
      <c r="M18" s="26"/>
      <c r="N18" s="26"/>
      <c r="O18" s="26"/>
      <c r="P18" s="26"/>
      <c r="Q18" s="26"/>
      <c r="R18" s="27"/>
      <c r="S18" s="27"/>
      <c r="T18" s="23"/>
      <c r="U18" s="23"/>
      <c r="V18" s="23"/>
      <c r="W18" s="23"/>
      <c r="X18" s="23"/>
      <c r="Y18" s="23"/>
    </row>
    <row r="19" spans="1:25" s="5" customFormat="1" ht="12.75" x14ac:dyDescent="0.2">
      <c r="B19" s="109"/>
      <c r="C19" s="109"/>
      <c r="D19" s="109"/>
      <c r="E19" s="109"/>
      <c r="F19" s="109"/>
      <c r="G19" s="109"/>
      <c r="H19" s="109"/>
      <c r="I19" s="109"/>
      <c r="J19" s="109"/>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9" t="s">
        <v>19</v>
      </c>
      <c r="C22" s="109"/>
      <c r="D22" s="109"/>
      <c r="E22" s="109"/>
      <c r="F22" s="109"/>
      <c r="G22" s="109"/>
      <c r="H22" s="109"/>
      <c r="I22" s="109"/>
      <c r="J22" s="109"/>
      <c r="K22" s="19"/>
      <c r="M22" s="26"/>
      <c r="N22" s="26"/>
      <c r="O22" s="26"/>
      <c r="P22" s="26"/>
      <c r="Q22" s="26"/>
      <c r="R22" s="27"/>
      <c r="S22" s="27"/>
      <c r="T22" s="23"/>
      <c r="U22" s="23"/>
      <c r="V22" s="23"/>
      <c r="W22" s="23"/>
      <c r="X22" s="23"/>
      <c r="Y22" s="23"/>
    </row>
    <row r="23" spans="1:25" s="5" customFormat="1" ht="12.75" x14ac:dyDescent="0.2">
      <c r="A23" s="19"/>
      <c r="B23" s="109"/>
      <c r="C23" s="109"/>
      <c r="D23" s="109"/>
      <c r="E23" s="109"/>
      <c r="F23" s="109"/>
      <c r="G23" s="109"/>
      <c r="H23" s="109"/>
      <c r="I23" s="109"/>
      <c r="J23" s="109"/>
      <c r="K23" s="19"/>
      <c r="M23" s="26"/>
      <c r="N23" s="26"/>
      <c r="O23" s="26"/>
      <c r="P23" s="26"/>
      <c r="Q23" s="26"/>
      <c r="R23" s="27"/>
      <c r="S23" s="30"/>
      <c r="T23" s="23"/>
      <c r="U23" s="23"/>
      <c r="V23" s="23"/>
      <c r="W23" s="23"/>
      <c r="X23" s="23"/>
      <c r="Y23" s="23"/>
    </row>
    <row r="24" spans="1:25" s="5" customFormat="1" ht="12.75" x14ac:dyDescent="0.2">
      <c r="A24" s="19"/>
      <c r="B24" s="109"/>
      <c r="C24" s="109"/>
      <c r="D24" s="109"/>
      <c r="E24" s="109"/>
      <c r="F24" s="109"/>
      <c r="G24" s="109"/>
      <c r="H24" s="109"/>
      <c r="I24" s="109"/>
      <c r="J24" s="109"/>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9" t="s">
        <v>21</v>
      </c>
      <c r="C26" s="109"/>
      <c r="D26" s="109"/>
      <c r="E26" s="109"/>
      <c r="F26" s="109"/>
      <c r="G26" s="109"/>
      <c r="H26" s="109"/>
      <c r="I26" s="109"/>
      <c r="J26" s="109"/>
      <c r="K26" s="19"/>
      <c r="M26" s="26"/>
      <c r="N26" s="26"/>
      <c r="O26" s="26"/>
      <c r="P26" s="26"/>
      <c r="Q26" s="26"/>
      <c r="R26" s="27"/>
      <c r="S26" s="27"/>
      <c r="T26" s="23"/>
      <c r="U26" s="23"/>
      <c r="V26" s="23"/>
      <c r="W26" s="23"/>
      <c r="X26" s="23"/>
      <c r="Y26" s="23"/>
    </row>
    <row r="27" spans="1:25" s="5" customFormat="1" ht="12.75" x14ac:dyDescent="0.2">
      <c r="A27" s="19"/>
      <c r="B27" s="109"/>
      <c r="C27" s="109"/>
      <c r="D27" s="109"/>
      <c r="E27" s="109"/>
      <c r="F27" s="109"/>
      <c r="G27" s="109"/>
      <c r="H27" s="109"/>
      <c r="I27" s="109"/>
      <c r="J27" s="109"/>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9" t="s">
        <v>22</v>
      </c>
      <c r="C29" s="109"/>
      <c r="D29" s="109"/>
      <c r="E29" s="109"/>
      <c r="F29" s="109"/>
      <c r="G29" s="109"/>
      <c r="H29" s="109"/>
      <c r="I29" s="109"/>
      <c r="J29" s="109"/>
      <c r="K29" s="19"/>
      <c r="M29" s="26"/>
      <c r="N29" s="26"/>
      <c r="O29" s="26"/>
      <c r="P29" s="26"/>
      <c r="Q29" s="26"/>
      <c r="R29" s="27"/>
      <c r="S29" s="27"/>
      <c r="T29" s="23"/>
      <c r="U29" s="23"/>
      <c r="V29" s="23"/>
      <c r="W29" s="23"/>
      <c r="X29" s="23"/>
      <c r="Y29" s="23"/>
    </row>
    <row r="30" spans="1:25" s="5" customFormat="1" ht="12.75" customHeight="1" x14ac:dyDescent="0.2">
      <c r="A30" s="19"/>
      <c r="B30" s="109"/>
      <c r="C30" s="109"/>
      <c r="D30" s="109"/>
      <c r="E30" s="109"/>
      <c r="F30" s="109"/>
      <c r="G30" s="109"/>
      <c r="H30" s="109"/>
      <c r="I30" s="109"/>
      <c r="J30" s="109"/>
      <c r="K30" s="19"/>
      <c r="M30" s="26"/>
      <c r="N30" s="26"/>
      <c r="O30" s="26"/>
      <c r="P30" s="26"/>
      <c r="Q30" s="26"/>
      <c r="R30" s="27"/>
      <c r="S30" s="27"/>
      <c r="T30" s="23"/>
      <c r="U30" s="23"/>
      <c r="V30" s="23"/>
      <c r="W30" s="23"/>
      <c r="X30" s="23"/>
      <c r="Y30" s="23"/>
    </row>
    <row r="31" spans="1:25" s="5" customFormat="1" ht="12.75" customHeight="1" x14ac:dyDescent="0.2">
      <c r="A31" s="19"/>
      <c r="B31" s="109"/>
      <c r="C31" s="109"/>
      <c r="D31" s="109"/>
      <c r="E31" s="109"/>
      <c r="F31" s="109"/>
      <c r="G31" s="109"/>
      <c r="H31" s="109"/>
      <c r="I31" s="109"/>
      <c r="J31" s="109"/>
      <c r="K31" s="19"/>
      <c r="M31" s="26"/>
      <c r="N31" s="26"/>
      <c r="O31" s="26"/>
      <c r="P31" s="26"/>
      <c r="Q31" s="26"/>
      <c r="R31" s="27"/>
      <c r="S31" s="27"/>
      <c r="T31" s="23"/>
      <c r="U31" s="23"/>
      <c r="V31" s="23"/>
      <c r="W31" s="23"/>
      <c r="X31" s="23"/>
      <c r="Y31" s="23"/>
    </row>
    <row r="32" spans="1:25" s="5" customFormat="1" ht="12.75" customHeight="1" x14ac:dyDescent="0.2">
      <c r="A32" s="19"/>
      <c r="B32" s="109"/>
      <c r="C32" s="109"/>
      <c r="D32" s="109"/>
      <c r="E32" s="109"/>
      <c r="F32" s="109"/>
      <c r="G32" s="109"/>
      <c r="H32" s="109"/>
      <c r="I32" s="109"/>
      <c r="J32" s="109"/>
      <c r="K32" s="19"/>
      <c r="M32" s="26"/>
      <c r="N32" s="26"/>
      <c r="O32" s="26"/>
      <c r="P32" s="26"/>
      <c r="Q32" s="26"/>
      <c r="R32" s="27"/>
      <c r="S32" s="27"/>
      <c r="T32" s="23"/>
      <c r="U32" s="23"/>
      <c r="V32" s="23"/>
      <c r="W32" s="23"/>
      <c r="X32" s="23"/>
      <c r="Y32" s="23"/>
    </row>
    <row r="33" spans="1:25" s="5" customFormat="1" ht="12.75" customHeight="1" x14ac:dyDescent="0.2">
      <c r="A33" s="19"/>
      <c r="B33" s="109"/>
      <c r="C33" s="109"/>
      <c r="D33" s="109"/>
      <c r="E33" s="109"/>
      <c r="F33" s="109"/>
      <c r="G33" s="109"/>
      <c r="H33" s="109"/>
      <c r="I33" s="109"/>
      <c r="J33" s="109"/>
      <c r="K33" s="19"/>
      <c r="M33" s="26"/>
      <c r="N33" s="26"/>
      <c r="O33" s="26"/>
      <c r="P33" s="26"/>
      <c r="Q33" s="26"/>
      <c r="R33" s="27"/>
      <c r="S33" s="30"/>
      <c r="T33" s="23"/>
      <c r="U33" s="23"/>
      <c r="V33" s="23"/>
      <c r="W33" s="23"/>
      <c r="X33" s="23"/>
      <c r="Y33" s="23"/>
    </row>
    <row r="34" spans="1:25" s="5" customFormat="1" ht="12.75" x14ac:dyDescent="0.2">
      <c r="A34" s="19"/>
      <c r="B34" s="32"/>
      <c r="C34" s="32"/>
      <c r="D34" s="111" t="s">
        <v>14</v>
      </c>
      <c r="E34" s="111"/>
      <c r="F34" s="111"/>
      <c r="G34" s="111"/>
      <c r="H34" s="111"/>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9" t="s">
        <v>23</v>
      </c>
      <c r="C38" s="109"/>
      <c r="D38" s="109"/>
      <c r="E38" s="109"/>
      <c r="F38" s="109"/>
      <c r="G38" s="109"/>
      <c r="H38" s="109"/>
      <c r="I38" s="109"/>
      <c r="J38" s="109"/>
      <c r="K38" s="19"/>
      <c r="M38" s="26"/>
      <c r="N38" s="26"/>
      <c r="O38" s="26"/>
      <c r="P38" s="26"/>
      <c r="Q38" s="26"/>
      <c r="R38" s="27"/>
      <c r="S38" s="27"/>
      <c r="T38" s="23"/>
      <c r="U38" s="23"/>
      <c r="V38" s="23"/>
      <c r="W38" s="23"/>
      <c r="X38" s="23"/>
      <c r="Y38" s="23"/>
    </row>
    <row r="39" spans="1:25" s="5" customFormat="1" ht="12.75" x14ac:dyDescent="0.2">
      <c r="A39" s="19"/>
      <c r="B39" s="109"/>
      <c r="C39" s="109"/>
      <c r="D39" s="109"/>
      <c r="E39" s="109"/>
      <c r="F39" s="109"/>
      <c r="G39" s="109"/>
      <c r="H39" s="109"/>
      <c r="I39" s="109"/>
      <c r="J39" s="109"/>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9" t="s">
        <v>24</v>
      </c>
      <c r="C41" s="109"/>
      <c r="D41" s="109"/>
      <c r="E41" s="109"/>
      <c r="F41" s="109"/>
      <c r="G41" s="109"/>
      <c r="H41" s="109"/>
      <c r="I41" s="109"/>
      <c r="J41" s="109"/>
      <c r="K41" s="19"/>
      <c r="M41" s="26"/>
      <c r="N41" s="26"/>
      <c r="O41" s="26"/>
      <c r="P41" s="26"/>
      <c r="Q41" s="26"/>
      <c r="R41" s="27"/>
      <c r="S41" s="27"/>
      <c r="T41" s="23"/>
      <c r="U41" s="23"/>
      <c r="V41" s="23"/>
      <c r="W41" s="23"/>
      <c r="X41" s="23"/>
      <c r="Y41" s="23"/>
    </row>
    <row r="42" spans="1:25" s="5" customFormat="1" ht="12.75" x14ac:dyDescent="0.2">
      <c r="A42" s="19"/>
      <c r="B42" s="109"/>
      <c r="C42" s="109"/>
      <c r="D42" s="109"/>
      <c r="E42" s="109"/>
      <c r="F42" s="109"/>
      <c r="G42" s="109"/>
      <c r="H42" s="109"/>
      <c r="I42" s="109"/>
      <c r="J42" s="109"/>
      <c r="K42" s="19"/>
      <c r="M42" s="26"/>
      <c r="N42" s="26"/>
      <c r="O42" s="26"/>
      <c r="P42" s="26"/>
      <c r="Q42" s="26"/>
      <c r="R42" s="27"/>
      <c r="S42" s="27"/>
      <c r="T42" s="23"/>
      <c r="U42" s="23"/>
      <c r="V42" s="23"/>
      <c r="W42" s="23"/>
      <c r="X42" s="23"/>
      <c r="Y42" s="23"/>
    </row>
    <row r="43" spans="1:25" s="5" customFormat="1" ht="12.75" x14ac:dyDescent="0.2">
      <c r="A43" s="19"/>
      <c r="B43" s="109"/>
      <c r="C43" s="109"/>
      <c r="D43" s="109"/>
      <c r="E43" s="109"/>
      <c r="F43" s="109"/>
      <c r="G43" s="109"/>
      <c r="H43" s="109"/>
      <c r="I43" s="109"/>
      <c r="J43" s="109"/>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9" t="s">
        <v>17</v>
      </c>
      <c r="C45" s="109"/>
      <c r="D45" s="109"/>
      <c r="E45" s="109"/>
      <c r="F45" s="109"/>
      <c r="G45" s="109"/>
      <c r="H45" s="109"/>
      <c r="I45" s="109"/>
      <c r="J45" s="109"/>
      <c r="K45" s="19"/>
      <c r="M45" s="26"/>
      <c r="N45" s="26"/>
      <c r="O45" s="26"/>
      <c r="P45" s="26"/>
      <c r="Q45" s="26"/>
      <c r="R45" s="27"/>
      <c r="S45" s="27"/>
      <c r="T45" s="23"/>
      <c r="U45" s="23"/>
      <c r="V45" s="23"/>
      <c r="W45" s="23"/>
      <c r="X45" s="23"/>
      <c r="Y45" s="23"/>
    </row>
    <row r="46" spans="1:25" s="5" customFormat="1" ht="12.75" x14ac:dyDescent="0.2">
      <c r="A46" s="19"/>
      <c r="B46" s="109"/>
      <c r="C46" s="109"/>
      <c r="D46" s="109"/>
      <c r="E46" s="109"/>
      <c r="F46" s="109"/>
      <c r="G46" s="109"/>
      <c r="H46" s="109"/>
      <c r="I46" s="109"/>
      <c r="J46" s="109"/>
      <c r="K46" s="19"/>
      <c r="M46" s="26"/>
      <c r="N46" s="26"/>
      <c r="O46" s="26"/>
      <c r="P46" s="26"/>
      <c r="Q46" s="26"/>
      <c r="R46" s="27"/>
      <c r="S46" s="27"/>
      <c r="T46" s="23"/>
      <c r="U46" s="23"/>
      <c r="V46" s="23"/>
      <c r="W46" s="23"/>
      <c r="X46" s="23"/>
      <c r="Y46" s="23"/>
    </row>
    <row r="47" spans="1:25" s="5" customFormat="1" ht="12.75" x14ac:dyDescent="0.2">
      <c r="A47" s="19"/>
      <c r="B47" s="109"/>
      <c r="C47" s="109"/>
      <c r="D47" s="109"/>
      <c r="E47" s="109"/>
      <c r="F47" s="109"/>
      <c r="G47" s="109"/>
      <c r="H47" s="109"/>
      <c r="I47" s="109"/>
      <c r="J47" s="109"/>
      <c r="K47" s="19"/>
      <c r="M47" s="26"/>
      <c r="N47" s="26"/>
      <c r="O47" s="26"/>
      <c r="P47" s="26"/>
      <c r="Q47" s="26"/>
      <c r="R47" s="27"/>
      <c r="S47" s="27"/>
      <c r="T47" s="23"/>
      <c r="U47" s="23"/>
      <c r="V47" s="23"/>
      <c r="W47" s="23"/>
      <c r="X47" s="23"/>
      <c r="Y47" s="23"/>
    </row>
    <row r="48" spans="1:25" s="5" customFormat="1" ht="12.75" customHeight="1" x14ac:dyDescent="0.2">
      <c r="A48" s="19"/>
      <c r="B48" s="109"/>
      <c r="C48" s="109"/>
      <c r="D48" s="109"/>
      <c r="E48" s="109"/>
      <c r="F48" s="109"/>
      <c r="G48" s="109"/>
      <c r="H48" s="109"/>
      <c r="I48" s="109"/>
      <c r="J48" s="109"/>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10" t="s">
        <v>28</v>
      </c>
      <c r="C54" s="110"/>
      <c r="D54" s="110"/>
      <c r="E54" s="110"/>
      <c r="F54" s="110"/>
      <c r="G54" s="110"/>
      <c r="H54" s="110"/>
      <c r="I54" s="110"/>
      <c r="J54" s="110"/>
      <c r="K54" s="19"/>
      <c r="M54" s="26"/>
      <c r="N54" s="26"/>
      <c r="O54" s="26"/>
      <c r="P54" s="26"/>
      <c r="Q54" s="26"/>
      <c r="R54" s="27"/>
      <c r="S54" s="27"/>
      <c r="T54" s="23"/>
      <c r="U54" s="23"/>
      <c r="V54" s="23"/>
      <c r="W54" s="23"/>
      <c r="X54" s="23"/>
      <c r="Y54" s="23"/>
    </row>
    <row r="55" spans="1:25" s="5" customFormat="1" ht="12.75" x14ac:dyDescent="0.2">
      <c r="A55" s="19"/>
      <c r="B55" s="110"/>
      <c r="C55" s="110"/>
      <c r="D55" s="110"/>
      <c r="E55" s="110"/>
      <c r="F55" s="110"/>
      <c r="G55" s="110"/>
      <c r="H55" s="110"/>
      <c r="I55" s="110"/>
      <c r="J55" s="110"/>
      <c r="K55" s="19"/>
      <c r="M55" s="26"/>
      <c r="N55" s="26"/>
      <c r="O55" s="26"/>
      <c r="P55" s="26"/>
      <c r="Q55" s="26"/>
      <c r="R55" s="27"/>
      <c r="S55" s="27"/>
      <c r="T55" s="23"/>
      <c r="U55" s="23"/>
      <c r="V55" s="23"/>
      <c r="W55" s="23"/>
      <c r="X55" s="23"/>
      <c r="Y55" s="23"/>
    </row>
    <row r="56" spans="1:25" s="5" customFormat="1" ht="12.75" x14ac:dyDescent="0.2">
      <c r="A56" s="19"/>
      <c r="B56" s="110"/>
      <c r="C56" s="110"/>
      <c r="D56" s="110"/>
      <c r="E56" s="110"/>
      <c r="F56" s="110"/>
      <c r="G56" s="110"/>
      <c r="H56" s="110"/>
      <c r="I56" s="110"/>
      <c r="J56" s="110"/>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175" zoomScaleNormal="100" zoomScaleSheetLayoutView="175" workbookViewId="0">
      <selection activeCell="G3" sqref="G3"/>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89</v>
      </c>
      <c r="N1" s="86" t="s">
        <v>83</v>
      </c>
      <c r="O1" s="86" t="s">
        <v>88</v>
      </c>
      <c r="P1" s="86" t="s">
        <v>88</v>
      </c>
      <c r="Q1" s="86" t="s">
        <v>88</v>
      </c>
      <c r="R1" s="86" t="s">
        <v>87</v>
      </c>
      <c r="S1" s="85" t="s">
        <v>86</v>
      </c>
      <c r="T1" s="84" t="s">
        <v>85</v>
      </c>
      <c r="W1" s="6" t="s">
        <v>84</v>
      </c>
      <c r="X1" s="7">
        <f>SUM(M:M)</f>
        <v>1</v>
      </c>
    </row>
    <row r="2" spans="1:39" s="5" customFormat="1" ht="12.75" x14ac:dyDescent="0.2">
      <c r="A2" s="1"/>
      <c r="B2" s="2" t="s">
        <v>2</v>
      </c>
      <c r="C2" s="3" t="s">
        <v>7</v>
      </c>
      <c r="D2" s="1"/>
      <c r="E2" s="1"/>
      <c r="F2" s="2" t="s">
        <v>5</v>
      </c>
      <c r="G2" s="3" t="s">
        <v>102</v>
      </c>
      <c r="H2" s="1"/>
      <c r="I2" s="1"/>
      <c r="J2" s="1"/>
      <c r="K2" s="1"/>
      <c r="M2" s="74" t="s">
        <v>82</v>
      </c>
      <c r="N2" s="74" t="s">
        <v>82</v>
      </c>
      <c r="O2" s="74" t="s">
        <v>83</v>
      </c>
      <c r="P2" s="74" t="s">
        <v>83</v>
      </c>
      <c r="Q2" s="74" t="s">
        <v>83</v>
      </c>
      <c r="R2" s="74" t="s">
        <v>82</v>
      </c>
      <c r="S2" s="83" t="s">
        <v>82</v>
      </c>
      <c r="T2" s="79"/>
      <c r="W2" s="6" t="s">
        <v>81</v>
      </c>
      <c r="X2" s="7">
        <f>SUM(N:N)</f>
        <v>0</v>
      </c>
    </row>
    <row r="3" spans="1:39" s="5" customFormat="1" ht="12.75" x14ac:dyDescent="0.2">
      <c r="A3" s="1"/>
      <c r="B3" s="2" t="s">
        <v>3</v>
      </c>
      <c r="C3" s="8" t="s">
        <v>80</v>
      </c>
      <c r="D3" s="1"/>
      <c r="E3" s="1"/>
      <c r="F3" s="2" t="s">
        <v>4</v>
      </c>
      <c r="G3" s="3" t="s">
        <v>79</v>
      </c>
      <c r="H3" s="1"/>
      <c r="I3" s="1"/>
      <c r="J3" s="1"/>
      <c r="K3" s="1"/>
      <c r="M3" s="74"/>
      <c r="N3" s="74"/>
      <c r="O3" s="74"/>
      <c r="P3" s="74"/>
      <c r="Q3" s="74"/>
      <c r="R3" s="74"/>
      <c r="S3" s="83"/>
      <c r="T3" s="79"/>
      <c r="W3" s="6" t="s">
        <v>77</v>
      </c>
      <c r="X3" s="7">
        <f>SUM(O:O)</f>
        <v>0</v>
      </c>
    </row>
    <row r="4" spans="1:39" s="5" customFormat="1" ht="12.75" x14ac:dyDescent="0.2">
      <c r="A4" s="1"/>
      <c r="B4" s="2" t="s">
        <v>9</v>
      </c>
      <c r="C4" s="4"/>
      <c r="D4" s="1"/>
      <c r="E4" s="1"/>
      <c r="F4" s="2" t="s">
        <v>10</v>
      </c>
      <c r="G4" s="3" t="s">
        <v>101</v>
      </c>
      <c r="H4" s="1"/>
      <c r="I4" s="1"/>
      <c r="J4" s="1"/>
      <c r="K4" s="1"/>
      <c r="M4" s="74"/>
      <c r="N4" s="74"/>
      <c r="O4" s="74"/>
      <c r="P4" s="74"/>
      <c r="Q4" s="82"/>
      <c r="R4" s="81"/>
      <c r="S4" s="80"/>
      <c r="T4" s="79"/>
      <c r="W4" s="6" t="s">
        <v>77</v>
      </c>
      <c r="X4" s="7">
        <f>SUM(P:P)</f>
        <v>0</v>
      </c>
    </row>
    <row r="5" spans="1:39" s="5" customFormat="1" ht="12.75" x14ac:dyDescent="0.2">
      <c r="A5" s="1"/>
      <c r="B5" s="2" t="s">
        <v>11</v>
      </c>
      <c r="C5" s="4" t="s">
        <v>78</v>
      </c>
      <c r="D5" s="1"/>
      <c r="E5" s="2"/>
      <c r="F5" s="1"/>
      <c r="G5" s="1"/>
      <c r="H5" s="1"/>
      <c r="I5" s="1"/>
      <c r="J5" s="1"/>
      <c r="K5" s="1"/>
      <c r="M5" s="74"/>
      <c r="N5" s="74"/>
      <c r="O5" s="74"/>
      <c r="P5" s="74"/>
      <c r="Q5" s="82"/>
      <c r="R5" s="81"/>
      <c r="S5" s="80"/>
      <c r="T5" s="79"/>
      <c r="W5" s="6" t="s">
        <v>77</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76</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75</v>
      </c>
      <c r="X7" s="7">
        <f>SUM(S:S)</f>
        <v>0</v>
      </c>
      <c r="Y7" s="68"/>
      <c r="Z7" s="58"/>
      <c r="AA7" s="78"/>
      <c r="AB7" s="77"/>
      <c r="AC7" s="56"/>
    </row>
    <row r="8" spans="1:39" s="5" customFormat="1" ht="12.75" x14ac:dyDescent="0.2">
      <c r="A8" s="16"/>
      <c r="E8" s="6" t="s">
        <v>1</v>
      </c>
      <c r="F8" s="7" t="str">
        <f>$C$1</f>
        <v>R. Abbott</v>
      </c>
      <c r="H8" s="10"/>
      <c r="I8" s="6" t="s">
        <v>74</v>
      </c>
      <c r="J8" s="11" t="str">
        <f>$G$2</f>
        <v>AA-SM-026-031</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73</v>
      </c>
      <c r="J9" s="12" t="str">
        <f>$G$3</f>
        <v>IR</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72</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71</v>
      </c>
      <c r="F11" s="10" t="str">
        <f>$C$5</f>
        <v>STANDARD SPREADSHEET METHOD</v>
      </c>
      <c r="I11" s="14"/>
      <c r="J11" s="7"/>
      <c r="M11" s="74"/>
      <c r="N11" s="74"/>
      <c r="O11" s="74"/>
      <c r="P11" s="74"/>
      <c r="Q11" s="74"/>
      <c r="R11" s="74"/>
      <c r="S11" s="74"/>
      <c r="T11" s="74"/>
      <c r="W11" s="58" t="s">
        <v>70</v>
      </c>
      <c r="X11" s="56">
        <v>0</v>
      </c>
      <c r="Y11" s="56" t="s">
        <v>39</v>
      </c>
      <c r="Z11" s="56"/>
      <c r="AA11" s="56"/>
      <c r="AB11" s="56"/>
      <c r="AC11" s="56"/>
    </row>
    <row r="12" spans="1:39" s="37" customFormat="1" x14ac:dyDescent="0.25">
      <c r="A12" s="39"/>
      <c r="B12" s="15" t="str">
        <f>$G$4</f>
        <v>SIMPLE BEAMS - SINGLE SPAN - FIXED BOTH ENDS - UDL PART SPAN</v>
      </c>
      <c r="C12" s="39"/>
      <c r="D12" s="39"/>
      <c r="E12" s="39"/>
      <c r="F12" s="5"/>
      <c r="G12" s="5"/>
      <c r="H12" s="5"/>
      <c r="I12" s="14"/>
      <c r="J12" s="7"/>
      <c r="K12" s="5"/>
      <c r="L12" s="5"/>
      <c r="M12" s="74"/>
      <c r="N12" s="74"/>
      <c r="O12" s="73"/>
      <c r="P12" s="73"/>
      <c r="Q12" s="73"/>
      <c r="R12" s="73"/>
      <c r="S12" s="73"/>
      <c r="T12" s="73"/>
      <c r="U12" s="38"/>
      <c r="W12" s="58" t="s">
        <v>69</v>
      </c>
      <c r="X12" s="56">
        <v>0</v>
      </c>
      <c r="Y12" s="56" t="s">
        <v>42</v>
      </c>
      <c r="Z12" s="56"/>
      <c r="AA12" s="56"/>
      <c r="AB12" s="56"/>
      <c r="AC12" s="72"/>
      <c r="AL12" s="40"/>
      <c r="AM12" s="40"/>
    </row>
    <row r="13" spans="1:39" s="36" customFormat="1" ht="14.25" x14ac:dyDescent="0.25">
      <c r="A13" s="70"/>
      <c r="B13" s="112" t="s">
        <v>68</v>
      </c>
      <c r="C13" s="112"/>
      <c r="D13" s="112"/>
      <c r="E13" s="70" t="s">
        <v>67</v>
      </c>
      <c r="F13" s="71"/>
      <c r="G13" s="71"/>
      <c r="H13" s="71"/>
      <c r="I13" s="70"/>
      <c r="J13" s="70"/>
      <c r="K13" s="70"/>
      <c r="M13" s="35"/>
      <c r="N13" s="35"/>
      <c r="O13" s="35"/>
      <c r="P13" s="35"/>
      <c r="Q13" s="35"/>
      <c r="R13" s="35"/>
      <c r="S13" s="35"/>
      <c r="T13" s="35"/>
      <c r="U13" s="34"/>
      <c r="W13" s="58" t="s">
        <v>66</v>
      </c>
      <c r="X13" s="58">
        <v>0</v>
      </c>
      <c r="Y13" s="56" t="s">
        <v>32</v>
      </c>
      <c r="Z13" s="37"/>
      <c r="AA13" s="37"/>
      <c r="AB13" s="37"/>
      <c r="AC13" s="37"/>
    </row>
    <row r="14" spans="1:39" s="37" customFormat="1" ht="14.25" x14ac:dyDescent="0.25">
      <c r="A14" s="56"/>
      <c r="B14" s="69"/>
      <c r="C14" s="56"/>
      <c r="D14" s="56"/>
      <c r="E14" s="68"/>
      <c r="F14" s="67" t="s">
        <v>90</v>
      </c>
      <c r="G14" s="58" t="s">
        <v>64</v>
      </c>
      <c r="H14" s="63">
        <v>10000000</v>
      </c>
      <c r="I14" s="56" t="s">
        <v>63</v>
      </c>
      <c r="J14" s="55"/>
      <c r="K14" s="55"/>
      <c r="L14" s="38"/>
      <c r="M14" s="35"/>
      <c r="N14" s="35"/>
      <c r="O14" s="35"/>
      <c r="P14" s="35"/>
      <c r="Q14" s="35"/>
      <c r="R14" s="35"/>
      <c r="S14" s="35"/>
      <c r="T14" s="35"/>
      <c r="U14" s="34"/>
      <c r="V14" s="38"/>
      <c r="W14" s="58" t="s">
        <v>65</v>
      </c>
      <c r="X14" s="56">
        <v>0</v>
      </c>
      <c r="Y14" s="56" t="s">
        <v>37</v>
      </c>
    </row>
    <row r="15" spans="1:39" s="37" customFormat="1" ht="12.75" x14ac:dyDescent="0.2">
      <c r="G15" s="58" t="s">
        <v>54</v>
      </c>
      <c r="H15" s="65">
        <v>0.01</v>
      </c>
      <c r="I15" s="56" t="s">
        <v>53</v>
      </c>
      <c r="J15" s="55"/>
      <c r="K15" s="55"/>
      <c r="L15" s="38"/>
      <c r="M15" s="35"/>
      <c r="N15" s="35"/>
      <c r="O15" s="35"/>
      <c r="P15" s="35"/>
      <c r="Q15" s="35"/>
      <c r="R15" s="35"/>
      <c r="S15" s="35"/>
      <c r="T15" s="35"/>
      <c r="U15" s="34"/>
      <c r="V15" s="38"/>
    </row>
    <row r="16" spans="1:39" s="37" customFormat="1" ht="12.75" x14ac:dyDescent="0.2">
      <c r="G16" s="58" t="s">
        <v>52</v>
      </c>
      <c r="H16" s="108">
        <v>32</v>
      </c>
      <c r="I16" s="56" t="s">
        <v>51</v>
      </c>
      <c r="J16" s="55"/>
      <c r="L16" s="38"/>
      <c r="M16" s="35"/>
      <c r="N16" s="35"/>
      <c r="O16" s="35"/>
      <c r="P16" s="35"/>
      <c r="Q16" s="35"/>
      <c r="R16" s="35"/>
      <c r="S16" s="35"/>
      <c r="T16" s="35"/>
      <c r="U16" s="34"/>
      <c r="V16" s="38"/>
      <c r="Y16" s="87">
        <f>H21</f>
        <v>6.5</v>
      </c>
    </row>
    <row r="17" spans="1:32" s="37" customFormat="1" ht="14.25" x14ac:dyDescent="0.25">
      <c r="G17" s="58" t="s">
        <v>93</v>
      </c>
      <c r="H17" s="108">
        <v>10</v>
      </c>
      <c r="I17" s="56" t="s">
        <v>32</v>
      </c>
      <c r="L17" s="38"/>
      <c r="M17" s="35"/>
      <c r="N17" s="35"/>
      <c r="O17" s="35"/>
      <c r="P17" s="35"/>
      <c r="Q17" s="35"/>
      <c r="R17" s="35"/>
      <c r="S17" s="35"/>
      <c r="T17" s="35"/>
      <c r="U17" s="34"/>
      <c r="V17" s="38"/>
      <c r="W17" s="66" t="s">
        <v>62</v>
      </c>
      <c r="X17" s="66" t="s">
        <v>61</v>
      </c>
      <c r="Y17" s="66" t="s">
        <v>60</v>
      </c>
      <c r="Z17" s="66" t="s">
        <v>59</v>
      </c>
      <c r="AA17" s="66" t="s">
        <v>58</v>
      </c>
      <c r="AB17" s="66" t="s">
        <v>57</v>
      </c>
      <c r="AC17" s="66" t="s">
        <v>56</v>
      </c>
      <c r="AD17" s="66" t="s">
        <v>55</v>
      </c>
    </row>
    <row r="18" spans="1:32" s="37" customFormat="1" ht="12.75" x14ac:dyDescent="0.2">
      <c r="G18" s="58" t="s">
        <v>94</v>
      </c>
      <c r="H18" s="108">
        <v>25</v>
      </c>
      <c r="I18" s="56" t="s">
        <v>32</v>
      </c>
      <c r="L18" s="38"/>
      <c r="M18" s="35"/>
      <c r="N18" s="35"/>
      <c r="O18" s="35"/>
      <c r="P18" s="35"/>
      <c r="Q18" s="35"/>
      <c r="R18" s="35"/>
      <c r="S18" s="35"/>
      <c r="T18" s="35"/>
      <c r="U18" s="34"/>
      <c r="V18" s="38"/>
      <c r="W18" s="43">
        <f>X11</f>
        <v>0</v>
      </c>
      <c r="X18" s="43">
        <f>I26</f>
        <v>55.083274841308594</v>
      </c>
      <c r="Y18" s="43">
        <f>B35</f>
        <v>0</v>
      </c>
      <c r="Z18" s="40">
        <f>X12</f>
        <v>0</v>
      </c>
      <c r="AA18" s="64" t="e">
        <f>#REF!</f>
        <v>#REF!</v>
      </c>
      <c r="AB18" s="40">
        <f>X13</f>
        <v>0</v>
      </c>
      <c r="AC18" s="40">
        <f>X14</f>
        <v>0</v>
      </c>
      <c r="AD18" s="40" t="e">
        <f>#REF!</f>
        <v>#REF!</v>
      </c>
    </row>
    <row r="19" spans="1:32" s="37" customFormat="1" ht="12.75" x14ac:dyDescent="0.2">
      <c r="G19" s="58" t="s">
        <v>95</v>
      </c>
      <c r="H19" s="87">
        <f>H18-H17</f>
        <v>15</v>
      </c>
      <c r="I19" s="56" t="s">
        <v>32</v>
      </c>
      <c r="K19" s="55"/>
      <c r="L19" s="38"/>
      <c r="M19" s="35"/>
      <c r="N19" s="35"/>
      <c r="O19" s="35"/>
      <c r="P19" s="35"/>
      <c r="Q19" s="35"/>
      <c r="R19" s="35"/>
      <c r="S19" s="35"/>
      <c r="T19" s="35"/>
      <c r="U19" s="34"/>
      <c r="V19" s="38"/>
      <c r="W19" s="38"/>
      <c r="X19" s="38"/>
      <c r="Y19" s="38"/>
      <c r="Z19" s="41"/>
      <c r="AA19" s="41"/>
      <c r="AB19" s="41"/>
      <c r="AC19" s="43" t="s">
        <v>50</v>
      </c>
      <c r="AD19" s="43" t="s">
        <v>49</v>
      </c>
      <c r="AE19" s="49" t="s">
        <v>48</v>
      </c>
      <c r="AF19" s="48" t="s">
        <v>47</v>
      </c>
    </row>
    <row r="20" spans="1:32" s="37" customFormat="1" ht="12.75" x14ac:dyDescent="0.2">
      <c r="G20" s="58" t="s">
        <v>96</v>
      </c>
      <c r="H20" s="107">
        <f>H16-0.5*H17-0.5*H18</f>
        <v>14.5</v>
      </c>
      <c r="I20" s="56" t="s">
        <v>32</v>
      </c>
      <c r="K20" s="55"/>
      <c r="L20" s="38"/>
      <c r="M20" s="35"/>
      <c r="N20" s="35"/>
      <c r="O20" s="35"/>
      <c r="P20" s="35"/>
      <c r="Q20" s="35"/>
      <c r="R20" s="35"/>
      <c r="S20" s="35"/>
      <c r="T20" s="35"/>
      <c r="U20" s="34"/>
      <c r="V20" s="38"/>
      <c r="W20" s="38"/>
      <c r="X20" s="43" t="s">
        <v>50</v>
      </c>
      <c r="Y20" s="43" t="s">
        <v>49</v>
      </c>
      <c r="Z20" s="49" t="s">
        <v>48</v>
      </c>
      <c r="AA20" s="48" t="s">
        <v>47</v>
      </c>
      <c r="AB20" s="48"/>
      <c r="AC20" s="40" t="s">
        <v>44</v>
      </c>
      <c r="AD20" s="40" t="s">
        <v>46</v>
      </c>
      <c r="AE20" s="40" t="s">
        <v>45</v>
      </c>
      <c r="AF20" s="62" t="s">
        <v>44</v>
      </c>
    </row>
    <row r="21" spans="1:32" s="37" customFormat="1" ht="12.75" x14ac:dyDescent="0.2">
      <c r="G21" s="58" t="s">
        <v>97</v>
      </c>
      <c r="H21" s="106">
        <v>6.5</v>
      </c>
      <c r="I21" s="56" t="s">
        <v>98</v>
      </c>
      <c r="L21" s="38"/>
      <c r="M21" s="35"/>
      <c r="N21" s="35"/>
      <c r="O21" s="35"/>
      <c r="P21" s="35"/>
      <c r="Q21" s="35"/>
      <c r="R21" s="35"/>
      <c r="S21" s="35"/>
      <c r="T21" s="35"/>
      <c r="U21" s="34"/>
      <c r="V21" s="38"/>
      <c r="W21" s="38"/>
      <c r="X21" s="40" t="s">
        <v>44</v>
      </c>
      <c r="Y21" s="40" t="s">
        <v>46</v>
      </c>
      <c r="Z21" s="40" t="s">
        <v>45</v>
      </c>
      <c r="AA21" s="62" t="s">
        <v>44</v>
      </c>
      <c r="AB21" s="48"/>
      <c r="AC21" s="40">
        <v>0</v>
      </c>
      <c r="AD21" s="50">
        <f t="shared" ref="AD21:AD31" si="0">INDEX($Y$22:$Y$56,MATCH(AC21,$X$22:$X$56,0))</f>
        <v>42.416725158691406</v>
      </c>
      <c r="AE21" s="50">
        <f>INDEX($Z$22:$Z$56,MATCH(AC21,$X$22:$X$56,0))</f>
        <v>-329.8004150390625</v>
      </c>
    </row>
    <row r="22" spans="1:32" s="37" customFormat="1" ht="12.75" x14ac:dyDescent="0.2">
      <c r="G22" s="58" t="s">
        <v>91</v>
      </c>
      <c r="H22" s="57">
        <f>H21*H19</f>
        <v>97.5</v>
      </c>
      <c r="I22" s="56" t="s">
        <v>92</v>
      </c>
      <c r="J22" s="55"/>
      <c r="L22" s="38"/>
      <c r="M22" s="35"/>
      <c r="N22" s="35"/>
      <c r="O22" s="35"/>
      <c r="P22" s="35"/>
      <c r="Q22" s="35"/>
      <c r="R22" s="35"/>
      <c r="S22" s="35"/>
      <c r="T22" s="35"/>
      <c r="U22" s="34"/>
      <c r="V22" s="38"/>
      <c r="W22" s="40">
        <v>0</v>
      </c>
      <c r="X22" s="51">
        <f t="shared" ref="X22:X53" si="1">$H$16/MAX($W$22:$W$55)*W22</f>
        <v>0</v>
      </c>
      <c r="Y22" s="91">
        <f>IF(X22&lt;$H$17,$B$26,IF(X22&lt;$H$18,$B$26-$H$22*((X22-$H$17)/$H$19),-$I$26))</f>
        <v>42.416725158691406</v>
      </c>
      <c r="Z22" s="49">
        <f>IF(X22&lt;$H$17,-$B$30+$B$26*X22,IF(X22&lt;$H$18,-$B$30+$B$26*X22-$H$22*(X22-$H$17)^2/(2*$H$19),-$B$30+$B$26*X22-$H$22*(X22-$H$16+$H$20)))</f>
        <v>-329.8004150390625</v>
      </c>
      <c r="AA22" s="90">
        <f>IF(X22&lt;$H$17,1/(6*$H$14*$H$15)*($B$26*X22^3-3*$B$30*X22^2),IF(X22&lt;$H$18,1/(6*$H$14*$H$15)*($B$26*X22^3-3*$B$30*X22^2-$H$22*(X22-$H$17)^4/(4*$H$19)),1/(6*$H$14*$H$15)*($I$26*($H$16-X22)^3-3*$B$34*($H$16-X22)^2)))</f>
        <v>0</v>
      </c>
      <c r="AB22" s="48"/>
      <c r="AC22" s="47">
        <f t="array" ref="AC22:AC55">IF(ISERROR(SMALL(X22:X56,ROW()-ROW(X21))),"",SMALL(X22:X56,ROW()-ROW(X21)))</f>
        <v>0</v>
      </c>
      <c r="AD22" s="50">
        <f t="shared" si="0"/>
        <v>42.416725158691406</v>
      </c>
      <c r="AE22" s="50">
        <f>INDEX($Z$22:$Z$56,MATCH(AC22,$X$22:$X$56,0))</f>
        <v>-329.8004150390625</v>
      </c>
      <c r="AF22" s="64">
        <f>INDEX($AA$22:$AA$56,MATCH(AC22,$X$22:$X$56,0))</f>
        <v>0</v>
      </c>
    </row>
    <row r="23" spans="1:32" s="37" customFormat="1" ht="12.75" x14ac:dyDescent="0.2">
      <c r="L23" s="38"/>
      <c r="M23" s="35"/>
      <c r="N23" s="35"/>
      <c r="O23" s="35"/>
      <c r="P23" s="35"/>
      <c r="Q23" s="35"/>
      <c r="R23" s="35"/>
      <c r="S23" s="35"/>
      <c r="T23" s="35"/>
      <c r="U23" s="34"/>
      <c r="V23" s="38"/>
      <c r="W23" s="43">
        <v>1</v>
      </c>
      <c r="X23" s="51">
        <f t="shared" si="1"/>
        <v>1.0666666666666667</v>
      </c>
      <c r="Y23" s="91">
        <f t="shared" ref="Y23:Y56" si="2">IF(X23&lt;$H$17,$B$26,IF(X23&lt;$H$18,$B$26-$H$22*((X23-$H$17)/$H$19),-$I$26))</f>
        <v>42.416725158691406</v>
      </c>
      <c r="Z23" s="49">
        <f t="shared" ref="Z23:Z56" si="3">IF(X23&lt;$H$17,-$B$30+$B$26*X23,IF(X23&lt;$H$18,-$B$30+$B$26*X23-$H$22*(X23-$H$17)^2/(2*$H$19),-$B$30+$B$26*X23-$H$22*(X23-$H$16+$H$20)))</f>
        <v>-284.555908203125</v>
      </c>
      <c r="AA23" s="90">
        <f t="shared" ref="AA23:AA56" si="4">IF(X23&lt;$H$17,1/(6*$H$14*$H$15)*($B$26*X23^3-3*$B$30*X23^2),IF(X23&lt;$H$18,1/(6*$H$14*$H$15)*($B$26*X23^3-3*$B$30*X23^2-$H$22*(X23-$H$17)^4/(4*$H$19)),1/(6*$H$14*$H$15)*($I$26*($H$16-X23)^3-3*$B$34*($H$16-X23)^2)))</f>
        <v>-1.7904009259259259E-3</v>
      </c>
      <c r="AB23" s="48"/>
      <c r="AC23" s="47">
        <v>0</v>
      </c>
      <c r="AD23" s="50">
        <f t="shared" si="0"/>
        <v>42.416725158691406</v>
      </c>
      <c r="AE23" s="50">
        <f t="shared" ref="AE23:AE54" si="5">INDEX($Z$22:$Z$56,MATCH(AC23,$X$22:$X$56,0))</f>
        <v>-329.8004150390625</v>
      </c>
      <c r="AF23" s="64">
        <f t="shared" ref="AF23:AF55" si="6">INDEX($AA$22:$AA$56,MATCH(AC23,$X$22:$X$56,0))</f>
        <v>0</v>
      </c>
    </row>
    <row r="24" spans="1:32" s="37" customFormat="1" ht="12.75" x14ac:dyDescent="0.2">
      <c r="B24" s="61" t="s">
        <v>43</v>
      </c>
      <c r="C24" s="60"/>
      <c r="D24" s="59"/>
      <c r="L24" s="38"/>
      <c r="M24" s="35"/>
      <c r="N24" s="35"/>
      <c r="O24" s="35"/>
      <c r="P24" s="35"/>
      <c r="Q24" s="35"/>
      <c r="R24" s="35"/>
      <c r="S24" s="35"/>
      <c r="T24" s="35"/>
      <c r="U24" s="34"/>
      <c r="V24" s="38"/>
      <c r="W24" s="43">
        <v>2</v>
      </c>
      <c r="X24" s="51">
        <f t="shared" si="1"/>
        <v>2.1333333333333333</v>
      </c>
      <c r="Y24" s="91">
        <f t="shared" si="2"/>
        <v>42.416725158691406</v>
      </c>
      <c r="Z24" s="49">
        <f t="shared" si="3"/>
        <v>-239.3114013671875</v>
      </c>
      <c r="AA24" s="90">
        <f t="shared" si="4"/>
        <v>-6.8184157407407409E-3</v>
      </c>
      <c r="AB24" s="48"/>
      <c r="AC24" s="47">
        <v>1.0666666666666667</v>
      </c>
      <c r="AD24" s="50">
        <f t="shared" si="0"/>
        <v>42.416725158691406</v>
      </c>
      <c r="AE24" s="50">
        <f t="shared" si="5"/>
        <v>-284.555908203125</v>
      </c>
      <c r="AF24" s="64">
        <f t="shared" si="6"/>
        <v>-1.7904009259259259E-3</v>
      </c>
    </row>
    <row r="25" spans="1:32" s="37" customFormat="1" ht="14.25" x14ac:dyDescent="0.25">
      <c r="A25" s="58" t="s">
        <v>70</v>
      </c>
      <c r="B25" s="37" t="str">
        <f ca="1">[1]!xlv(B26)</f>
        <v>W / (4 × L²) × (12 × d² - 8 × d³ / L + 2 × b × c² / L - c³ / L - c²)</v>
      </c>
      <c r="H25" s="58" t="s">
        <v>99</v>
      </c>
      <c r="I25" s="37" t="str">
        <f ca="1">[1]!xlv(I26)</f>
        <v>W - RA</v>
      </c>
      <c r="L25" s="38"/>
      <c r="M25" s="35"/>
      <c r="N25" s="35"/>
      <c r="O25" s="35"/>
      <c r="P25" s="35"/>
      <c r="Q25" s="35"/>
      <c r="R25" s="35"/>
      <c r="S25" s="35"/>
      <c r="T25" s="35"/>
      <c r="U25" s="34"/>
      <c r="V25" s="38"/>
      <c r="W25" s="43">
        <v>3</v>
      </c>
      <c r="X25" s="51">
        <f t="shared" si="1"/>
        <v>3.2</v>
      </c>
      <c r="Y25" s="91">
        <f t="shared" si="2"/>
        <v>42.416725158691406</v>
      </c>
      <c r="Z25" s="49">
        <f t="shared" si="3"/>
        <v>-194.06689453125</v>
      </c>
      <c r="AA25" s="90">
        <f t="shared" si="4"/>
        <v>-1.4569262500000001E-2</v>
      </c>
      <c r="AB25" s="48"/>
      <c r="AC25" s="47">
        <v>2.1333333333333333</v>
      </c>
      <c r="AD25" s="50">
        <f t="shared" si="0"/>
        <v>42.416725158691406</v>
      </c>
      <c r="AE25" s="50">
        <f t="shared" si="5"/>
        <v>-239.3114013671875</v>
      </c>
      <c r="AF25" s="64">
        <f t="shared" si="6"/>
        <v>-6.8184157407407409E-3</v>
      </c>
    </row>
    <row r="26" spans="1:32" s="37" customFormat="1" ht="14.25" x14ac:dyDescent="0.25">
      <c r="A26" s="58" t="s">
        <v>70</v>
      </c>
      <c r="B26" s="57">
        <f>H22/(4*H16^2)*(12*H20^2-8*H20^3/H16+2*H18*H19^2/H16-H19^3/H16-H19^2)</f>
        <v>42.416725158691406</v>
      </c>
      <c r="C26" s="56" t="s">
        <v>39</v>
      </c>
      <c r="H26" s="58" t="s">
        <v>41</v>
      </c>
      <c r="I26" s="57">
        <f>H22-B26</f>
        <v>55.083274841308594</v>
      </c>
      <c r="J26" s="56" t="s">
        <v>39</v>
      </c>
      <c r="L26" s="38"/>
      <c r="M26" s="35"/>
      <c r="N26" s="35"/>
      <c r="O26" s="35"/>
      <c r="P26" s="35"/>
      <c r="Q26" s="35"/>
      <c r="R26" s="35"/>
      <c r="S26" s="35"/>
      <c r="T26" s="35"/>
      <c r="U26" s="34"/>
      <c r="V26" s="38"/>
      <c r="W26" s="43">
        <v>4</v>
      </c>
      <c r="X26" s="51">
        <f t="shared" si="1"/>
        <v>4.2666666666666666</v>
      </c>
      <c r="Y26" s="91">
        <f t="shared" si="2"/>
        <v>42.416725158691406</v>
      </c>
      <c r="Z26" s="49">
        <f t="shared" si="3"/>
        <v>-148.8223876953125</v>
      </c>
      <c r="AA26" s="90">
        <f t="shared" si="4"/>
        <v>-2.4528159259259257E-2</v>
      </c>
      <c r="AB26" s="48"/>
      <c r="AC26" s="47">
        <v>3.2</v>
      </c>
      <c r="AD26" s="50">
        <f t="shared" si="0"/>
        <v>42.416725158691406</v>
      </c>
      <c r="AE26" s="50">
        <f t="shared" si="5"/>
        <v>-194.06689453125</v>
      </c>
      <c r="AF26" s="64">
        <f t="shared" si="6"/>
        <v>-1.4569262500000001E-2</v>
      </c>
    </row>
    <row r="27" spans="1:32" s="37" customFormat="1" ht="12.75" x14ac:dyDescent="0.2">
      <c r="J27" s="102"/>
      <c r="L27" s="38"/>
      <c r="M27" s="35"/>
      <c r="N27" s="35"/>
      <c r="O27" s="35"/>
      <c r="P27" s="35"/>
      <c r="Q27" s="35"/>
      <c r="R27" s="35"/>
      <c r="S27" s="35"/>
      <c r="T27" s="35"/>
      <c r="U27" s="34"/>
      <c r="V27" s="38"/>
      <c r="W27" s="43">
        <v>5</v>
      </c>
      <c r="X27" s="51">
        <f t="shared" si="1"/>
        <v>5.333333333333333</v>
      </c>
      <c r="Y27" s="91">
        <f t="shared" si="2"/>
        <v>42.416725158691406</v>
      </c>
      <c r="Z27" s="49">
        <f t="shared" si="3"/>
        <v>-103.577880859375</v>
      </c>
      <c r="AA27" s="90">
        <f t="shared" si="4"/>
        <v>-3.6180324074074073E-2</v>
      </c>
      <c r="AB27" s="48"/>
      <c r="AC27" s="47">
        <v>4.2666666666666666</v>
      </c>
      <c r="AD27" s="50">
        <f t="shared" si="0"/>
        <v>42.416725158691406</v>
      </c>
      <c r="AE27" s="50">
        <f t="shared" si="5"/>
        <v>-148.8223876953125</v>
      </c>
      <c r="AF27" s="64">
        <f t="shared" si="6"/>
        <v>-2.4528159259259257E-2</v>
      </c>
    </row>
    <row r="28" spans="1:32" s="37" customFormat="1" ht="14.25" x14ac:dyDescent="0.25">
      <c r="A28" s="58" t="s">
        <v>65</v>
      </c>
      <c r="B28" s="56" t="str">
        <f ca="1">[1]!xlv(B30)</f>
        <v xml:space="preserve"> - W / (24 × L) × (24 × d³ / L - 6 × b × c² / L + 3 × c³ / L + 4 × c² - 24 × d²)</v>
      </c>
      <c r="L28" s="38"/>
      <c r="M28" s="35"/>
      <c r="N28" s="35"/>
      <c r="O28" s="35"/>
      <c r="P28" s="35"/>
      <c r="Q28" s="35"/>
      <c r="R28" s="35"/>
      <c r="S28" s="35"/>
      <c r="T28" s="35"/>
      <c r="U28" s="34"/>
      <c r="V28" s="38"/>
      <c r="W28" s="43">
        <v>6</v>
      </c>
      <c r="X28" s="51">
        <f t="shared" si="1"/>
        <v>6.4</v>
      </c>
      <c r="Y28" s="91">
        <f t="shared" si="2"/>
        <v>42.416725158691406</v>
      </c>
      <c r="Z28" s="49">
        <f t="shared" si="3"/>
        <v>-58.3333740234375</v>
      </c>
      <c r="AA28" s="90">
        <f t="shared" si="4"/>
        <v>-4.9010975000000012E-2</v>
      </c>
      <c r="AB28" s="48"/>
      <c r="AC28" s="47">
        <v>5.333333333333333</v>
      </c>
      <c r="AD28" s="50">
        <f t="shared" si="0"/>
        <v>42.416725158691406</v>
      </c>
      <c r="AE28" s="50">
        <f t="shared" si="5"/>
        <v>-103.577880859375</v>
      </c>
      <c r="AF28" s="64">
        <f t="shared" si="6"/>
        <v>-3.6180324074074073E-2</v>
      </c>
    </row>
    <row r="29" spans="1:32" s="37" customFormat="1" ht="12.75" x14ac:dyDescent="0.2">
      <c r="A29" s="58" t="s">
        <v>41</v>
      </c>
      <c r="B29" s="37" t="str">
        <f>[1]!xln(B30)</f>
        <v xml:space="preserve"> - 97.5 / (24 × 32) × (24 × 14.5³ / 32 - 6 × 25 × 15² / 32 + 3 × 15³ / 32 + 4 × 15² - 24 × 14.5²)</v>
      </c>
      <c r="L29" s="38"/>
      <c r="M29" s="35"/>
      <c r="N29" s="35"/>
      <c r="O29" s="35"/>
      <c r="P29" s="35"/>
      <c r="Q29" s="35"/>
      <c r="R29" s="35"/>
      <c r="S29" s="35"/>
      <c r="T29" s="35"/>
      <c r="U29" s="34"/>
      <c r="V29" s="38"/>
      <c r="W29" s="43">
        <v>7</v>
      </c>
      <c r="X29" s="51">
        <f t="shared" si="1"/>
        <v>7.4666666666666668</v>
      </c>
      <c r="Y29" s="91">
        <f t="shared" si="2"/>
        <v>42.416725158691406</v>
      </c>
      <c r="Z29" s="49">
        <f t="shared" si="3"/>
        <v>-13.0888671875</v>
      </c>
      <c r="AA29" s="90">
        <f t="shared" si="4"/>
        <v>-6.2505330092592612E-2</v>
      </c>
      <c r="AB29" s="48"/>
      <c r="AC29" s="47">
        <v>6.4</v>
      </c>
      <c r="AD29" s="50">
        <f t="shared" si="0"/>
        <v>42.416725158691406</v>
      </c>
      <c r="AE29" s="50">
        <f t="shared" si="5"/>
        <v>-58.3333740234375</v>
      </c>
      <c r="AF29" s="64">
        <f t="shared" si="6"/>
        <v>-4.9010975000000012E-2</v>
      </c>
    </row>
    <row r="30" spans="1:32" s="37" customFormat="1" ht="12.75" x14ac:dyDescent="0.2">
      <c r="A30" s="58" t="s">
        <v>41</v>
      </c>
      <c r="B30" s="57">
        <f>-H22/(24*H16)*(24*H20^3/H16-6*H18*H19^2/H16+3*H19^3/H16+4*H19^2-24*H20^2)</f>
        <v>329.8004150390625</v>
      </c>
      <c r="C30" s="56" t="s">
        <v>37</v>
      </c>
      <c r="J30" s="102"/>
      <c r="L30" s="38"/>
      <c r="M30" s="35"/>
      <c r="N30" s="35"/>
      <c r="O30" s="35"/>
      <c r="P30" s="35"/>
      <c r="Q30" s="35"/>
      <c r="R30" s="35"/>
      <c r="S30" s="35"/>
      <c r="T30" s="35"/>
      <c r="U30" s="34"/>
      <c r="V30" s="38"/>
      <c r="W30" s="43">
        <v>8</v>
      </c>
      <c r="X30" s="51">
        <f t="shared" si="1"/>
        <v>8.5333333333333332</v>
      </c>
      <c r="Y30" s="91">
        <f t="shared" si="2"/>
        <v>42.416725158691406</v>
      </c>
      <c r="Z30" s="49">
        <f t="shared" si="3"/>
        <v>32.1556396484375</v>
      </c>
      <c r="AA30" s="90">
        <f t="shared" si="4"/>
        <v>-7.6148607407407407E-2</v>
      </c>
      <c r="AB30" s="48"/>
      <c r="AC30" s="47">
        <v>7.4666666666666668</v>
      </c>
      <c r="AD30" s="50">
        <f t="shared" si="0"/>
        <v>42.416725158691406</v>
      </c>
      <c r="AE30" s="50">
        <f t="shared" si="5"/>
        <v>-13.0888671875</v>
      </c>
      <c r="AF30" s="64">
        <f t="shared" si="6"/>
        <v>-6.2505330092592612E-2</v>
      </c>
    </row>
    <row r="31" spans="1:32" s="37" customFormat="1" ht="12.75" x14ac:dyDescent="0.2">
      <c r="L31" s="38"/>
      <c r="M31" s="35"/>
      <c r="N31" s="35"/>
      <c r="O31" s="35"/>
      <c r="P31" s="35"/>
      <c r="Q31" s="35"/>
      <c r="R31" s="35"/>
      <c r="S31" s="35"/>
      <c r="T31" s="35"/>
      <c r="U31" s="34"/>
      <c r="V31" s="38"/>
      <c r="W31" s="43">
        <v>9</v>
      </c>
      <c r="X31" s="51">
        <f t="shared" si="1"/>
        <v>9.6</v>
      </c>
      <c r="Y31" s="91">
        <f t="shared" si="2"/>
        <v>42.416725158691406</v>
      </c>
      <c r="Z31" s="49">
        <f t="shared" si="3"/>
        <v>77.400146484375</v>
      </c>
      <c r="AA31" s="90">
        <f t="shared" si="4"/>
        <v>-8.9426024999999992E-2</v>
      </c>
      <c r="AB31" s="48"/>
      <c r="AC31" s="47">
        <v>8.5333333333333332</v>
      </c>
      <c r="AD31" s="50">
        <f t="shared" si="0"/>
        <v>42.416725158691406</v>
      </c>
      <c r="AE31" s="50">
        <f t="shared" si="5"/>
        <v>32.1556396484375</v>
      </c>
      <c r="AF31" s="64">
        <f t="shared" si="6"/>
        <v>-7.6148607407407407E-2</v>
      </c>
    </row>
    <row r="32" spans="1:32" s="37" customFormat="1" ht="14.25" x14ac:dyDescent="0.25">
      <c r="A32" s="58" t="s">
        <v>100</v>
      </c>
      <c r="B32" s="56" t="str">
        <f ca="1">[1]!xlv(B34)</f>
        <v>W / (24 × L) × (24 × d³ / L - 6 × b × c² / L + 3 × c³ / L + 2 × c² - 48 × d² + 24 × d × L)</v>
      </c>
      <c r="L32" s="38"/>
      <c r="M32" s="35"/>
      <c r="N32" s="35"/>
      <c r="O32" s="35"/>
      <c r="P32" s="35"/>
      <c r="Q32" s="35"/>
      <c r="R32" s="35"/>
      <c r="S32" s="35"/>
      <c r="T32" s="35"/>
      <c r="U32" s="34"/>
      <c r="V32" s="38"/>
      <c r="W32" s="43">
        <v>10</v>
      </c>
      <c r="X32" s="51">
        <f t="shared" si="1"/>
        <v>10.666666666666666</v>
      </c>
      <c r="Y32" s="91">
        <f t="shared" si="2"/>
        <v>38.083391825358078</v>
      </c>
      <c r="Z32" s="49">
        <f t="shared" si="3"/>
        <v>121.20020887586806</v>
      </c>
      <c r="AA32" s="90">
        <f t="shared" si="4"/>
        <v>-0.1018233359053498</v>
      </c>
      <c r="AB32" s="48"/>
      <c r="AC32" s="47">
        <v>9.6</v>
      </c>
      <c r="AD32" s="50">
        <f>INDEX($Y$22:$Y$56,MATCH(AC32,$X$22:$X$56,0))</f>
        <v>42.416725158691406</v>
      </c>
      <c r="AE32" s="50">
        <f t="shared" si="5"/>
        <v>77.400146484375</v>
      </c>
      <c r="AF32" s="64">
        <f t="shared" si="6"/>
        <v>-8.9426024999999992E-2</v>
      </c>
    </row>
    <row r="33" spans="1:32" s="37" customFormat="1" ht="12.75" x14ac:dyDescent="0.2">
      <c r="A33" s="58" t="s">
        <v>41</v>
      </c>
      <c r="B33" s="37" t="str">
        <f>[1]!xln(B34)</f>
        <v>97.5 / (24 × 32) × (24 × 14.5³ / 32 - 6 × 25 × 15² / 32 + 3 × 15³ / 32 + 2 × 15² - 48 × 14.5² + 24 × 14.5 × 32)</v>
      </c>
      <c r="L33" s="38"/>
      <c r="M33" s="35"/>
      <c r="N33" s="35"/>
      <c r="O33" s="35"/>
      <c r="P33" s="35"/>
      <c r="Q33" s="35"/>
      <c r="R33" s="35"/>
      <c r="S33" s="35"/>
      <c r="T33" s="35"/>
      <c r="U33" s="34"/>
      <c r="V33" s="38"/>
      <c r="W33" s="43">
        <v>11</v>
      </c>
      <c r="X33" s="51">
        <f t="shared" si="1"/>
        <v>11.733333333333333</v>
      </c>
      <c r="Y33" s="91">
        <f t="shared" si="2"/>
        <v>31.150058492024748</v>
      </c>
      <c r="Z33" s="49">
        <f t="shared" si="3"/>
        <v>158.12471571180552</v>
      </c>
      <c r="AA33" s="90">
        <f t="shared" si="4"/>
        <v>-0.1128486005164609</v>
      </c>
      <c r="AB33" s="48"/>
      <c r="AC33" s="47">
        <v>10</v>
      </c>
      <c r="AD33" s="50">
        <f t="shared" ref="AD33:AD55" si="7">INDEX($Y$22:$Y$56,MATCH(AC33,$X$22:$X$56,0))</f>
        <v>42.416725158691406</v>
      </c>
      <c r="AE33" s="50">
        <f t="shared" si="5"/>
        <v>94.366836547851563</v>
      </c>
      <c r="AF33" s="64">
        <f t="shared" si="6"/>
        <v>-9.4205665588378909E-2</v>
      </c>
    </row>
    <row r="34" spans="1:32" s="37" customFormat="1" ht="12.75" x14ac:dyDescent="0.2">
      <c r="A34" s="58" t="s">
        <v>41</v>
      </c>
      <c r="B34" s="57">
        <f>H22/(24*H16)*(24*H20^3/H16-6*H18*H19^2/H16+3*H19^3/H16+2*H19^2-48*H20^2+24*H20*H16)</f>
        <v>386.2152099609375</v>
      </c>
      <c r="C34" s="56" t="s">
        <v>37</v>
      </c>
      <c r="L34" s="38"/>
      <c r="M34" s="35"/>
      <c r="N34" s="35"/>
      <c r="O34" s="35"/>
      <c r="P34" s="35"/>
      <c r="Q34" s="35"/>
      <c r="R34" s="35"/>
      <c r="S34" s="35"/>
      <c r="T34" s="35"/>
      <c r="U34" s="34"/>
      <c r="V34" s="38"/>
      <c r="W34" s="43">
        <v>12</v>
      </c>
      <c r="X34" s="51">
        <f t="shared" si="1"/>
        <v>12.8</v>
      </c>
      <c r="Y34" s="91">
        <f t="shared" si="2"/>
        <v>24.216725158691403</v>
      </c>
      <c r="Z34" s="49">
        <f t="shared" si="3"/>
        <v>187.65366699218748</v>
      </c>
      <c r="AA34" s="90">
        <f t="shared" si="4"/>
        <v>-0.12208176933333334</v>
      </c>
      <c r="AB34" s="48"/>
      <c r="AC34" s="47">
        <v>10.666666666666666</v>
      </c>
      <c r="AD34" s="50">
        <f t="shared" si="7"/>
        <v>38.083391825358078</v>
      </c>
      <c r="AE34" s="50">
        <f t="shared" si="5"/>
        <v>121.20020887586806</v>
      </c>
      <c r="AF34" s="64">
        <f t="shared" si="6"/>
        <v>-0.1018233359053498</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13.866666666666667</v>
      </c>
      <c r="Y35" s="91">
        <f t="shared" si="2"/>
        <v>17.283391825358066</v>
      </c>
      <c r="Z35" s="49">
        <f t="shared" si="3"/>
        <v>209.7870627170139</v>
      </c>
      <c r="AA35" s="90">
        <f t="shared" si="4"/>
        <v>-0.1291868685102881</v>
      </c>
      <c r="AB35" s="48"/>
      <c r="AC35" s="47">
        <v>11.733333333333333</v>
      </c>
      <c r="AD35" s="50">
        <f t="shared" si="7"/>
        <v>31.150058492024748</v>
      </c>
      <c r="AE35" s="50">
        <f t="shared" si="5"/>
        <v>158.12471571180552</v>
      </c>
      <c r="AF35" s="64">
        <f t="shared" si="6"/>
        <v>-0.1128486005164609</v>
      </c>
    </row>
    <row r="36" spans="1:32" s="37" customFormat="1" ht="12.75" x14ac:dyDescent="0.2">
      <c r="I36" s="54" t="s">
        <v>40</v>
      </c>
      <c r="J36" s="38"/>
      <c r="K36" s="38"/>
      <c r="L36" s="38"/>
      <c r="M36" s="35"/>
      <c r="N36" s="35"/>
      <c r="O36" s="35"/>
      <c r="P36" s="35"/>
      <c r="Q36" s="35"/>
      <c r="R36" s="35"/>
      <c r="S36" s="35"/>
      <c r="T36" s="35"/>
      <c r="U36" s="34"/>
      <c r="V36" s="38"/>
      <c r="W36" s="43">
        <v>14</v>
      </c>
      <c r="X36" s="51">
        <f t="shared" si="1"/>
        <v>14.933333333333334</v>
      </c>
      <c r="Y36" s="91">
        <f t="shared" si="2"/>
        <v>10.350058492024736</v>
      </c>
      <c r="Z36" s="49">
        <f t="shared" si="3"/>
        <v>224.52490288628471</v>
      </c>
      <c r="AA36" s="90">
        <f t="shared" si="4"/>
        <v>-0.13391206918930043</v>
      </c>
      <c r="AB36" s="48"/>
      <c r="AC36" s="47">
        <v>12.8</v>
      </c>
      <c r="AD36" s="50">
        <f t="shared" si="7"/>
        <v>24.216725158691403</v>
      </c>
      <c r="AE36" s="50">
        <f t="shared" si="5"/>
        <v>187.65366699218748</v>
      </c>
      <c r="AF36" s="64">
        <f t="shared" si="6"/>
        <v>-0.12208176933333334</v>
      </c>
    </row>
    <row r="37" spans="1:32" s="37" customFormat="1" ht="12.75" x14ac:dyDescent="0.2">
      <c r="I37" s="46" t="s">
        <v>34</v>
      </c>
      <c r="J37" s="88">
        <f>MAX(AD21:AD54)</f>
        <v>42.416725158691406</v>
      </c>
      <c r="K37" s="38" t="s">
        <v>39</v>
      </c>
      <c r="L37" s="38"/>
      <c r="M37" s="35"/>
      <c r="N37" s="35"/>
      <c r="O37" s="35"/>
      <c r="P37" s="35"/>
      <c r="Q37" s="35"/>
      <c r="R37" s="35"/>
      <c r="S37" s="35"/>
      <c r="T37" s="35"/>
      <c r="U37" s="34"/>
      <c r="V37" s="38"/>
      <c r="W37" s="43">
        <v>15</v>
      </c>
      <c r="X37" s="51">
        <f t="shared" si="1"/>
        <v>16</v>
      </c>
      <c r="Y37" s="91">
        <f t="shared" si="2"/>
        <v>3.4167251586914063</v>
      </c>
      <c r="Z37" s="49">
        <f t="shared" si="3"/>
        <v>231.8671875</v>
      </c>
      <c r="AA37" s="90">
        <f t="shared" si="4"/>
        <v>-0.1360896875</v>
      </c>
      <c r="AB37" s="48"/>
      <c r="AC37" s="47">
        <v>13.866666666666667</v>
      </c>
      <c r="AD37" s="50">
        <f t="shared" si="7"/>
        <v>17.283391825358066</v>
      </c>
      <c r="AE37" s="50">
        <f t="shared" si="5"/>
        <v>209.7870627170139</v>
      </c>
      <c r="AF37" s="64">
        <f t="shared" si="6"/>
        <v>-0.1291868685102881</v>
      </c>
    </row>
    <row r="38" spans="1:32" s="37" customFormat="1" ht="12.75" x14ac:dyDescent="0.2">
      <c r="I38" s="46" t="s">
        <v>33</v>
      </c>
      <c r="J38" s="88">
        <f>MIN(AD21:AD54)</f>
        <v>-55.083274841308594</v>
      </c>
      <c r="K38" s="38" t="s">
        <v>39</v>
      </c>
      <c r="L38" s="38"/>
      <c r="M38" s="35"/>
      <c r="N38" s="35"/>
      <c r="O38" s="35"/>
      <c r="P38" s="35"/>
      <c r="Q38" s="35"/>
      <c r="R38" s="35"/>
      <c r="S38" s="35"/>
      <c r="T38" s="35"/>
      <c r="U38" s="34"/>
      <c r="V38" s="38"/>
      <c r="W38" s="43">
        <v>16</v>
      </c>
      <c r="X38" s="51">
        <f t="shared" si="1"/>
        <v>17.066666666666666</v>
      </c>
      <c r="Y38" s="91">
        <f t="shared" si="2"/>
        <v>-3.5166081746419238</v>
      </c>
      <c r="Z38" s="49">
        <f t="shared" si="3"/>
        <v>231.81391655815972</v>
      </c>
      <c r="AA38" s="90">
        <f t="shared" si="4"/>
        <v>-0.1356361845596708</v>
      </c>
      <c r="AB38" s="48"/>
      <c r="AC38" s="47">
        <v>14.933333333333334</v>
      </c>
      <c r="AD38" s="50">
        <f t="shared" si="7"/>
        <v>10.350058492024736</v>
      </c>
      <c r="AE38" s="50">
        <f t="shared" si="5"/>
        <v>224.52490288628471</v>
      </c>
      <c r="AF38" s="64">
        <f t="shared" si="6"/>
        <v>-0.13391206918930043</v>
      </c>
    </row>
    <row r="39" spans="1:32" s="37" customFormat="1" ht="12.75" x14ac:dyDescent="0.2">
      <c r="I39" s="44" t="s">
        <v>35</v>
      </c>
      <c r="J39" s="38"/>
      <c r="K39" s="38"/>
      <c r="L39" s="38"/>
      <c r="M39" s="35"/>
      <c r="N39" s="35"/>
      <c r="O39" s="35"/>
      <c r="P39" s="35"/>
      <c r="Q39" s="35"/>
      <c r="R39" s="35"/>
      <c r="S39" s="35"/>
      <c r="T39" s="35"/>
      <c r="U39" s="34"/>
      <c r="V39" s="38"/>
      <c r="W39" s="43">
        <v>17</v>
      </c>
      <c r="X39" s="51">
        <f t="shared" si="1"/>
        <v>18.133333333333333</v>
      </c>
      <c r="Y39" s="91">
        <f t="shared" si="2"/>
        <v>-10.449941507975254</v>
      </c>
      <c r="Z39" s="49">
        <f t="shared" si="3"/>
        <v>224.36509006076392</v>
      </c>
      <c r="AA39" s="90">
        <f t="shared" si="4"/>
        <v>-0.13255216647325097</v>
      </c>
      <c r="AB39" s="48"/>
      <c r="AC39" s="47">
        <v>16</v>
      </c>
      <c r="AD39" s="50">
        <f t="shared" si="7"/>
        <v>3.4167251586914063</v>
      </c>
      <c r="AE39" s="50">
        <f t="shared" si="5"/>
        <v>231.8671875</v>
      </c>
      <c r="AF39" s="64">
        <f t="shared" si="6"/>
        <v>-0.1360896875</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 t="shared" si="1"/>
        <v>19.2</v>
      </c>
      <c r="Y40" s="91">
        <f t="shared" si="2"/>
        <v>-17.383274841308591</v>
      </c>
      <c r="Z40" s="49">
        <f t="shared" si="3"/>
        <v>209.52070800781257</v>
      </c>
      <c r="AA40" s="90">
        <f t="shared" si="4"/>
        <v>-0.1269223843333333</v>
      </c>
      <c r="AB40" s="48"/>
      <c r="AC40" s="47">
        <v>17.066666666666666</v>
      </c>
      <c r="AD40" s="50">
        <f t="shared" si="7"/>
        <v>-3.5166081746419238</v>
      </c>
      <c r="AE40" s="50">
        <f t="shared" si="5"/>
        <v>231.81391655815972</v>
      </c>
      <c r="AF40" s="64">
        <f t="shared" si="6"/>
        <v>-0.1356361845596708</v>
      </c>
    </row>
    <row r="41" spans="1:32" s="37" customFormat="1" ht="12.75" x14ac:dyDescent="0.2">
      <c r="I41" s="46" t="s">
        <v>33</v>
      </c>
      <c r="J41" s="45">
        <f>INDEX(AC21:AC54,MATCH(J38,AD21:AD54,0))</f>
        <v>25</v>
      </c>
      <c r="K41" s="44" t="s">
        <v>32</v>
      </c>
      <c r="L41" s="38"/>
      <c r="M41" s="35"/>
      <c r="N41" s="35"/>
      <c r="O41" s="35"/>
      <c r="P41" s="35"/>
      <c r="Q41" s="35"/>
      <c r="R41" s="35"/>
      <c r="S41" s="35"/>
      <c r="T41" s="35"/>
      <c r="U41" s="34"/>
      <c r="V41" s="38"/>
      <c r="W41" s="43">
        <v>19</v>
      </c>
      <c r="X41" s="51">
        <f t="shared" si="1"/>
        <v>20.266666666666666</v>
      </c>
      <c r="Y41" s="91">
        <f t="shared" si="2"/>
        <v>-24.316608174641928</v>
      </c>
      <c r="Z41" s="49">
        <f t="shared" si="3"/>
        <v>187.28077039930565</v>
      </c>
      <c r="AA41" s="90">
        <f t="shared" si="4"/>
        <v>-0.11891573422016467</v>
      </c>
      <c r="AB41" s="40"/>
      <c r="AC41" s="47">
        <v>18.133333333333333</v>
      </c>
      <c r="AD41" s="50">
        <f t="shared" si="7"/>
        <v>-10.449941507975254</v>
      </c>
      <c r="AE41" s="50">
        <f t="shared" si="5"/>
        <v>224.36509006076392</v>
      </c>
      <c r="AF41" s="64">
        <f t="shared" si="6"/>
        <v>-0.13255216647325097</v>
      </c>
    </row>
    <row r="42" spans="1:32" s="37" customFormat="1" ht="12.75" x14ac:dyDescent="0.2">
      <c r="L42" s="38"/>
      <c r="M42" s="35"/>
      <c r="N42" s="35"/>
      <c r="O42" s="35"/>
      <c r="P42" s="35"/>
      <c r="Q42" s="35"/>
      <c r="R42" s="35"/>
      <c r="S42" s="35"/>
      <c r="T42" s="35"/>
      <c r="U42" s="34"/>
      <c r="V42" s="38"/>
      <c r="W42" s="43">
        <v>20</v>
      </c>
      <c r="X42" s="51">
        <f t="shared" si="1"/>
        <v>21.333333333333332</v>
      </c>
      <c r="Y42" s="91">
        <f t="shared" si="2"/>
        <v>-31.249941507975251</v>
      </c>
      <c r="Z42" s="49">
        <f t="shared" si="3"/>
        <v>157.6452772352431</v>
      </c>
      <c r="AA42" s="90">
        <f t="shared" si="4"/>
        <v>-0.10878525720164617</v>
      </c>
      <c r="AB42" s="40"/>
      <c r="AC42" s="47">
        <v>19.2</v>
      </c>
      <c r="AD42" s="50">
        <f t="shared" si="7"/>
        <v>-17.383274841308591</v>
      </c>
      <c r="AE42" s="50">
        <f t="shared" si="5"/>
        <v>209.52070800781257</v>
      </c>
      <c r="AF42" s="64">
        <f t="shared" si="6"/>
        <v>-0.1269223843333333</v>
      </c>
    </row>
    <row r="43" spans="1:32" s="37" customFormat="1" ht="12.75" x14ac:dyDescent="0.2">
      <c r="I43" s="53" t="s">
        <v>38</v>
      </c>
      <c r="J43" s="38"/>
      <c r="K43" s="38"/>
      <c r="L43" s="38"/>
      <c r="M43" s="35"/>
      <c r="N43" s="35"/>
      <c r="O43" s="35"/>
      <c r="P43" s="35"/>
      <c r="Q43" s="35"/>
      <c r="R43" s="35"/>
      <c r="S43" s="35"/>
      <c r="T43" s="35"/>
      <c r="U43" s="34"/>
      <c r="V43" s="38"/>
      <c r="W43" s="43">
        <v>21</v>
      </c>
      <c r="X43" s="51">
        <f t="shared" si="1"/>
        <v>22.4</v>
      </c>
      <c r="Y43" s="91">
        <f t="shared" si="2"/>
        <v>-38.183274841308588</v>
      </c>
      <c r="Z43" s="49">
        <f t="shared" si="3"/>
        <v>120.61422851562497</v>
      </c>
      <c r="AA43" s="90">
        <f t="shared" si="4"/>
        <v>-9.6868139333333353E-2</v>
      </c>
      <c r="AB43" s="40"/>
      <c r="AC43" s="47">
        <v>20.266666666666666</v>
      </c>
      <c r="AD43" s="50">
        <f t="shared" si="7"/>
        <v>-24.316608174641928</v>
      </c>
      <c r="AE43" s="50">
        <f t="shared" si="5"/>
        <v>187.28077039930565</v>
      </c>
      <c r="AF43" s="64">
        <f t="shared" si="6"/>
        <v>-0.11891573422016467</v>
      </c>
    </row>
    <row r="44" spans="1:32" s="37" customFormat="1" ht="12.75" x14ac:dyDescent="0.2">
      <c r="I44" s="46" t="s">
        <v>34</v>
      </c>
      <c r="J44" s="88">
        <f>MAX(AE21:AE54)</f>
        <v>231.8671875</v>
      </c>
      <c r="K44" s="38" t="s">
        <v>37</v>
      </c>
      <c r="L44" s="38"/>
      <c r="M44" s="35"/>
      <c r="N44" s="35"/>
      <c r="O44" s="35"/>
      <c r="P44" s="35"/>
      <c r="Q44" s="35"/>
      <c r="R44" s="35"/>
      <c r="S44" s="35"/>
      <c r="T44" s="35"/>
      <c r="U44" s="34"/>
      <c r="V44" s="38"/>
      <c r="W44" s="43">
        <v>22</v>
      </c>
      <c r="X44" s="51">
        <f t="shared" si="1"/>
        <v>23.466666666666665</v>
      </c>
      <c r="Y44" s="91">
        <f t="shared" si="2"/>
        <v>-45.116608174641911</v>
      </c>
      <c r="Z44" s="49">
        <f t="shared" si="3"/>
        <v>76.187624240451441</v>
      </c>
      <c r="AA44" s="90">
        <f t="shared" si="4"/>
        <v>-8.3585711658436285E-2</v>
      </c>
      <c r="AB44" s="40"/>
      <c r="AC44" s="47">
        <v>21.333333333333332</v>
      </c>
      <c r="AD44" s="50">
        <f t="shared" si="7"/>
        <v>-31.249941507975251</v>
      </c>
      <c r="AE44" s="50">
        <f t="shared" si="5"/>
        <v>157.6452772352431</v>
      </c>
      <c r="AF44" s="64">
        <f t="shared" si="6"/>
        <v>-0.10878525720164617</v>
      </c>
    </row>
    <row r="45" spans="1:32" s="37" customFormat="1" ht="12.75" x14ac:dyDescent="0.2">
      <c r="I45" s="46" t="s">
        <v>33</v>
      </c>
      <c r="J45" s="88">
        <f>MIN(AE21:AE54)</f>
        <v>-329.8004150390625</v>
      </c>
      <c r="K45" s="38" t="s">
        <v>37</v>
      </c>
      <c r="L45" s="38"/>
      <c r="M45" s="35"/>
      <c r="N45" s="35"/>
      <c r="O45" s="35"/>
      <c r="P45" s="35"/>
      <c r="Q45" s="35"/>
      <c r="R45" s="35"/>
      <c r="S45" s="35"/>
      <c r="T45" s="35"/>
      <c r="U45" s="34"/>
      <c r="V45" s="38"/>
      <c r="W45" s="43">
        <v>23</v>
      </c>
      <c r="X45" s="51">
        <f t="shared" si="1"/>
        <v>24.533333333333331</v>
      </c>
      <c r="Y45" s="91">
        <f t="shared" si="2"/>
        <v>-52.049941507975248</v>
      </c>
      <c r="Z45" s="49">
        <f t="shared" si="3"/>
        <v>24.365464409722449</v>
      </c>
      <c r="AA45" s="90">
        <f t="shared" si="4"/>
        <v>-6.9443450207818974E-2</v>
      </c>
      <c r="AB45" s="40"/>
      <c r="AC45" s="47">
        <v>22.4</v>
      </c>
      <c r="AD45" s="50">
        <f t="shared" si="7"/>
        <v>-38.183274841308588</v>
      </c>
      <c r="AE45" s="50">
        <f t="shared" si="5"/>
        <v>120.61422851562497</v>
      </c>
      <c r="AF45" s="64">
        <f t="shared" si="6"/>
        <v>-9.6868139333333353E-2</v>
      </c>
    </row>
    <row r="46" spans="1:32" s="37" customFormat="1" ht="12.75" x14ac:dyDescent="0.2">
      <c r="I46" s="44" t="s">
        <v>35</v>
      </c>
      <c r="J46" s="38"/>
      <c r="K46" s="38"/>
      <c r="L46" s="38"/>
      <c r="M46" s="35"/>
      <c r="N46" s="35"/>
      <c r="O46" s="35"/>
      <c r="P46" s="35"/>
      <c r="Q46" s="35"/>
      <c r="R46" s="35"/>
      <c r="S46" s="35"/>
      <c r="T46" s="35"/>
      <c r="U46" s="34"/>
      <c r="V46" s="38"/>
      <c r="W46" s="43">
        <v>24</v>
      </c>
      <c r="X46" s="51">
        <f t="shared" si="1"/>
        <v>25.6</v>
      </c>
      <c r="Y46" s="91">
        <f t="shared" si="2"/>
        <v>-55.083274841308594</v>
      </c>
      <c r="Z46" s="49">
        <f>IF(X46&lt;$H$17,-$B$30+$B$26*X46,IF(X46&lt;$H$18,-$B$30+$B$26*X46-$H$22*(X46-$H$17)^2/(2*$H$19),-$B$30+$B$26*X46-$H$22*(X46-$H$16+$H$20)))</f>
        <v>-33.682250976562614</v>
      </c>
      <c r="AA46" s="90">
        <f t="shared" si="4"/>
        <v>-5.5030624999999979E-2</v>
      </c>
      <c r="AB46" s="40"/>
      <c r="AC46" s="47">
        <v>23.466666666666665</v>
      </c>
      <c r="AD46" s="50">
        <f>INDEX($Y$22:$Y$56,MATCH(AC46,$X$22:$X$56,0))</f>
        <v>-45.116608174641911</v>
      </c>
      <c r="AE46" s="50">
        <f t="shared" si="5"/>
        <v>76.187624240451441</v>
      </c>
      <c r="AF46" s="64">
        <f t="shared" si="6"/>
        <v>-8.3585711658436285E-2</v>
      </c>
    </row>
    <row r="47" spans="1:32" s="37" customFormat="1" ht="12.75" x14ac:dyDescent="0.2">
      <c r="I47" s="46" t="s">
        <v>34</v>
      </c>
      <c r="J47" s="45">
        <f>INDEX(AC21:AC54,MATCH(J44,AE21:AE54,0))</f>
        <v>16</v>
      </c>
      <c r="K47" s="38" t="s">
        <v>32</v>
      </c>
      <c r="L47" s="38"/>
      <c r="M47" s="35"/>
      <c r="N47" s="35"/>
      <c r="O47" s="35"/>
      <c r="P47" s="35"/>
      <c r="Q47" s="35"/>
      <c r="R47" s="35"/>
      <c r="S47" s="35"/>
      <c r="T47" s="35"/>
      <c r="U47" s="34"/>
      <c r="V47" s="38"/>
      <c r="W47" s="43">
        <v>25</v>
      </c>
      <c r="X47" s="51">
        <f t="shared" si="1"/>
        <v>26.666666666666668</v>
      </c>
      <c r="Y47" s="91">
        <f t="shared" si="2"/>
        <v>-55.083274841308594</v>
      </c>
      <c r="Z47" s="49">
        <f t="shared" si="3"/>
        <v>-92.437744140625114</v>
      </c>
      <c r="AA47" s="90">
        <f t="shared" si="4"/>
        <v>-4.1001157407407389E-2</v>
      </c>
      <c r="AB47" s="40"/>
      <c r="AC47" s="47">
        <v>24.533333333333331</v>
      </c>
      <c r="AD47" s="50">
        <f t="shared" si="7"/>
        <v>-52.049941507975248</v>
      </c>
      <c r="AE47" s="50">
        <f t="shared" si="5"/>
        <v>24.365464409722449</v>
      </c>
      <c r="AF47" s="64">
        <f t="shared" si="6"/>
        <v>-6.9443450207818974E-2</v>
      </c>
    </row>
    <row r="48" spans="1:32" s="37" customFormat="1" ht="12.75" x14ac:dyDescent="0.2">
      <c r="I48" s="46" t="s">
        <v>33</v>
      </c>
      <c r="J48" s="45">
        <f>INDEX(AC21:AC54,MATCH(J45,AE21:AE54,0))</f>
        <v>0</v>
      </c>
      <c r="K48" s="44" t="s">
        <v>32</v>
      </c>
      <c r="L48" s="38"/>
      <c r="M48" s="35"/>
      <c r="N48" s="35"/>
      <c r="O48" s="35"/>
      <c r="P48" s="35"/>
      <c r="Q48" s="35"/>
      <c r="R48" s="35"/>
      <c r="S48" s="35"/>
      <c r="T48" s="35"/>
      <c r="U48" s="34"/>
      <c r="V48" s="38"/>
      <c r="W48" s="43">
        <v>26</v>
      </c>
      <c r="X48" s="51">
        <f t="shared" si="1"/>
        <v>27.733333333333334</v>
      </c>
      <c r="Y48" s="91">
        <f t="shared" si="2"/>
        <v>-55.083274841308594</v>
      </c>
      <c r="Z48" s="49">
        <f t="shared" si="3"/>
        <v>-151.19323730468761</v>
      </c>
      <c r="AA48" s="90">
        <f t="shared" si="4"/>
        <v>-2.8023425925925917E-2</v>
      </c>
      <c r="AB48" s="40"/>
      <c r="AC48" s="47">
        <v>25</v>
      </c>
      <c r="AD48" s="50">
        <f t="shared" si="7"/>
        <v>-55.083274841308594</v>
      </c>
      <c r="AE48" s="50">
        <f t="shared" si="5"/>
        <v>-0.63228607177734375</v>
      </c>
      <c r="AF48" s="64">
        <f t="shared" si="6"/>
        <v>-6.3133454322814947E-2</v>
      </c>
    </row>
    <row r="49" spans="1:32" s="37" customFormat="1" ht="12.75" x14ac:dyDescent="0.2">
      <c r="L49" s="38"/>
      <c r="M49" s="35"/>
      <c r="N49" s="35"/>
      <c r="O49" s="35"/>
      <c r="P49" s="35"/>
      <c r="Q49" s="35"/>
      <c r="R49" s="35"/>
      <c r="S49" s="35"/>
      <c r="T49" s="35"/>
      <c r="U49" s="34"/>
      <c r="V49" s="38"/>
      <c r="W49" s="43">
        <v>27</v>
      </c>
      <c r="X49" s="51">
        <f t="shared" si="1"/>
        <v>28.8</v>
      </c>
      <c r="Y49" s="91">
        <f t="shared" si="2"/>
        <v>-55.083274841308594</v>
      </c>
      <c r="Z49" s="49">
        <f t="shared" si="3"/>
        <v>-209.94873046875</v>
      </c>
      <c r="AA49" s="90">
        <f t="shared" si="4"/>
        <v>-1.6765937499999994E-2</v>
      </c>
      <c r="AB49" s="40"/>
      <c r="AC49" s="47">
        <v>25.6</v>
      </c>
      <c r="AD49" s="50">
        <f t="shared" si="7"/>
        <v>-55.083274841308594</v>
      </c>
      <c r="AE49" s="50">
        <f t="shared" si="5"/>
        <v>-33.682250976562614</v>
      </c>
      <c r="AF49" s="64">
        <f t="shared" si="6"/>
        <v>-5.5030624999999979E-2</v>
      </c>
    </row>
    <row r="50" spans="1:32" s="37" customFormat="1" ht="12.75" x14ac:dyDescent="0.2">
      <c r="L50" s="38"/>
      <c r="M50" s="35"/>
      <c r="N50" s="35"/>
      <c r="O50" s="35"/>
      <c r="P50" s="35"/>
      <c r="Q50" s="35"/>
      <c r="R50" s="35"/>
      <c r="S50" s="35"/>
      <c r="T50" s="35"/>
      <c r="U50" s="34"/>
      <c r="V50" s="38"/>
      <c r="W50" s="43">
        <v>28</v>
      </c>
      <c r="X50" s="51">
        <f t="shared" si="1"/>
        <v>29.866666666666667</v>
      </c>
      <c r="Y50" s="91">
        <f t="shared" si="2"/>
        <v>-55.083274841308594</v>
      </c>
      <c r="Z50" s="49">
        <f t="shared" si="3"/>
        <v>-268.7042236328125</v>
      </c>
      <c r="AA50" s="90">
        <f t="shared" si="4"/>
        <v>-7.8971990740740721E-3</v>
      </c>
      <c r="AB50" s="40"/>
      <c r="AC50" s="47">
        <v>26.666666666666668</v>
      </c>
      <c r="AD50" s="50">
        <f t="shared" si="7"/>
        <v>-55.083274841308594</v>
      </c>
      <c r="AE50" s="50">
        <f t="shared" si="5"/>
        <v>-92.437744140625114</v>
      </c>
      <c r="AF50" s="64">
        <f t="shared" si="6"/>
        <v>-4.1001157407407389E-2</v>
      </c>
    </row>
    <row r="51" spans="1:32" s="37" customFormat="1" ht="12.75" x14ac:dyDescent="0.2">
      <c r="I51" s="38"/>
      <c r="J51" s="38"/>
      <c r="K51" s="38"/>
      <c r="L51" s="38"/>
      <c r="M51" s="35"/>
      <c r="N51" s="35"/>
      <c r="O51" s="35"/>
      <c r="P51" s="35"/>
      <c r="Q51" s="35"/>
      <c r="R51" s="35"/>
      <c r="S51" s="35"/>
      <c r="T51" s="35"/>
      <c r="U51" s="34"/>
      <c r="V51" s="38"/>
      <c r="W51" s="43">
        <v>29</v>
      </c>
      <c r="X51" s="51">
        <f t="shared" si="1"/>
        <v>30.933333333333334</v>
      </c>
      <c r="Y51" s="91">
        <f t="shared" si="2"/>
        <v>-55.083274841308594</v>
      </c>
      <c r="Z51" s="49">
        <f t="shared" si="3"/>
        <v>-327.459716796875</v>
      </c>
      <c r="AA51" s="90">
        <f t="shared" si="4"/>
        <v>-2.0857175925925921E-3</v>
      </c>
      <c r="AB51" s="40"/>
      <c r="AC51" s="47">
        <v>27.733333333333334</v>
      </c>
      <c r="AD51" s="50">
        <f t="shared" si="7"/>
        <v>-55.083274841308594</v>
      </c>
      <c r="AE51" s="50">
        <f t="shared" si="5"/>
        <v>-151.19323730468761</v>
      </c>
      <c r="AF51" s="64">
        <f t="shared" si="6"/>
        <v>-2.8023425925925917E-2</v>
      </c>
    </row>
    <row r="52" spans="1:32" s="37" customFormat="1" ht="12.75" x14ac:dyDescent="0.2">
      <c r="I52" s="53" t="s">
        <v>36</v>
      </c>
      <c r="J52" s="38"/>
      <c r="K52" s="38"/>
      <c r="L52" s="38"/>
      <c r="M52" s="35"/>
      <c r="N52" s="35"/>
      <c r="O52" s="35"/>
      <c r="P52" s="35"/>
      <c r="Q52" s="35"/>
      <c r="R52" s="35"/>
      <c r="S52" s="35"/>
      <c r="T52" s="35"/>
      <c r="U52" s="34"/>
      <c r="V52" s="38"/>
      <c r="W52" s="43">
        <v>30</v>
      </c>
      <c r="X52" s="51">
        <f t="shared" si="1"/>
        <v>32</v>
      </c>
      <c r="Y52" s="91">
        <f t="shared" si="2"/>
        <v>-55.083274841308594</v>
      </c>
      <c r="Z52" s="49">
        <f t="shared" si="3"/>
        <v>-386.2152099609375</v>
      </c>
      <c r="AA52" s="90">
        <f t="shared" si="4"/>
        <v>0</v>
      </c>
      <c r="AB52" s="40"/>
      <c r="AC52" s="47">
        <v>28.8</v>
      </c>
      <c r="AD52" s="50">
        <f t="shared" si="7"/>
        <v>-55.083274841308594</v>
      </c>
      <c r="AE52" s="50">
        <f t="shared" si="5"/>
        <v>-209.94873046875</v>
      </c>
      <c r="AF52" s="64">
        <f t="shared" si="6"/>
        <v>-1.6765937499999994E-2</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 t="shared" si="1"/>
        <v>0</v>
      </c>
      <c r="Y53" s="91">
        <f t="shared" si="2"/>
        <v>42.416725158691406</v>
      </c>
      <c r="Z53" s="49">
        <f t="shared" si="3"/>
        <v>-329.8004150390625</v>
      </c>
      <c r="AA53" s="90">
        <f t="shared" si="4"/>
        <v>0</v>
      </c>
      <c r="AB53" s="40"/>
      <c r="AC53" s="47">
        <v>29.866666666666667</v>
      </c>
      <c r="AD53" s="50">
        <f t="shared" si="7"/>
        <v>-55.083274841308594</v>
      </c>
      <c r="AE53" s="50">
        <f t="shared" si="5"/>
        <v>-268.7042236328125</v>
      </c>
      <c r="AF53" s="64">
        <f t="shared" si="6"/>
        <v>-7.8971990740740721E-3</v>
      </c>
    </row>
    <row r="54" spans="1:32" s="37" customFormat="1" ht="12.75" x14ac:dyDescent="0.2">
      <c r="I54" s="46" t="s">
        <v>33</v>
      </c>
      <c r="J54" s="52">
        <f>MIN(AF21:AF54)</f>
        <v>-0.1360896875</v>
      </c>
      <c r="K54" s="44" t="s">
        <v>32</v>
      </c>
      <c r="L54" s="38"/>
      <c r="M54" s="35"/>
      <c r="N54" s="35"/>
      <c r="O54" s="35"/>
      <c r="P54" s="35"/>
      <c r="Q54" s="35"/>
      <c r="R54" s="35"/>
      <c r="S54" s="35"/>
      <c r="T54" s="35"/>
      <c r="U54" s="34"/>
      <c r="V54" s="38"/>
      <c r="W54" s="38"/>
      <c r="X54" s="43"/>
      <c r="Y54" s="43"/>
      <c r="Z54" s="40"/>
      <c r="AA54" s="40"/>
      <c r="AB54" s="40"/>
      <c r="AC54" s="47">
        <v>30.933333333333334</v>
      </c>
      <c r="AD54" s="50">
        <f t="shared" si="7"/>
        <v>-55.083274841308594</v>
      </c>
      <c r="AE54" s="50">
        <f t="shared" si="5"/>
        <v>-327.459716796875</v>
      </c>
      <c r="AF54" s="64">
        <f t="shared" si="6"/>
        <v>-2.0857175925925921E-3</v>
      </c>
    </row>
    <row r="55" spans="1:32" s="37" customFormat="1" ht="12.75" x14ac:dyDescent="0.2">
      <c r="I55" s="44" t="s">
        <v>35</v>
      </c>
      <c r="J55" s="38"/>
      <c r="K55" s="38"/>
      <c r="L55" s="38"/>
      <c r="M55" s="35"/>
      <c r="N55" s="35"/>
      <c r="O55" s="35"/>
      <c r="P55" s="35"/>
      <c r="Q55" s="35"/>
      <c r="R55" s="35"/>
      <c r="S55" s="35"/>
      <c r="T55" s="35"/>
      <c r="U55" s="34"/>
      <c r="V55" s="38"/>
      <c r="W55" s="38"/>
      <c r="X55" s="91">
        <f>H17</f>
        <v>10</v>
      </c>
      <c r="Y55" s="91">
        <f t="shared" si="2"/>
        <v>42.416725158691406</v>
      </c>
      <c r="Z55" s="49">
        <f t="shared" si="3"/>
        <v>94.366836547851563</v>
      </c>
      <c r="AA55" s="90">
        <f t="shared" si="4"/>
        <v>-9.4205665588378909E-2</v>
      </c>
      <c r="AB55" s="40"/>
      <c r="AC55" s="47">
        <v>32</v>
      </c>
      <c r="AD55" s="50">
        <f t="shared" si="7"/>
        <v>-55.083274841308594</v>
      </c>
      <c r="AE55" s="50">
        <f>INDEX($Z$22:$Z$56,MATCH(AC55,$X$22:$X$56,0))</f>
        <v>-386.2152099609375</v>
      </c>
      <c r="AF55" s="64">
        <f t="shared" si="6"/>
        <v>0</v>
      </c>
    </row>
    <row r="56" spans="1:32" s="37" customFormat="1" ht="12.75" x14ac:dyDescent="0.2">
      <c r="I56" s="46" t="s">
        <v>34</v>
      </c>
      <c r="J56" s="105">
        <f>INDEX(AC21:AC54,MATCH(J53,AF21:AF54,0))</f>
        <v>0</v>
      </c>
      <c r="K56" s="38" t="s">
        <v>32</v>
      </c>
      <c r="L56" s="38"/>
      <c r="M56" s="35"/>
      <c r="N56" s="35"/>
      <c r="O56" s="35"/>
      <c r="P56" s="35"/>
      <c r="Q56" s="35"/>
      <c r="R56" s="35"/>
      <c r="S56" s="35"/>
      <c r="T56" s="35"/>
      <c r="U56" s="34"/>
      <c r="V56" s="38"/>
      <c r="W56" s="38"/>
      <c r="X56" s="89">
        <f>H18</f>
        <v>25</v>
      </c>
      <c r="Y56" s="91">
        <f t="shared" si="2"/>
        <v>-55.083274841308594</v>
      </c>
      <c r="Z56" s="49">
        <f t="shared" si="3"/>
        <v>-0.63228607177734375</v>
      </c>
      <c r="AA56" s="90">
        <f t="shared" si="4"/>
        <v>-6.3133454322814947E-2</v>
      </c>
    </row>
    <row r="57" spans="1:32" s="37" customFormat="1" ht="12.75" x14ac:dyDescent="0.2">
      <c r="I57" s="46" t="s">
        <v>33</v>
      </c>
      <c r="J57" s="105">
        <f>INDEX(AC21:AC54,MATCH(J54,AF21:AF54,0))</f>
        <v>16</v>
      </c>
      <c r="K57" s="44" t="s">
        <v>32</v>
      </c>
      <c r="L57" s="38"/>
      <c r="M57" s="35"/>
      <c r="N57" s="35"/>
      <c r="O57" s="35"/>
      <c r="P57" s="35"/>
      <c r="Q57" s="35"/>
      <c r="R57" s="35"/>
      <c r="S57" s="35"/>
      <c r="T57" s="35"/>
      <c r="U57" s="34"/>
      <c r="V57" s="38"/>
      <c r="W57" s="38"/>
      <c r="X57" s="38"/>
      <c r="Y57" s="38"/>
      <c r="Z57" s="49"/>
      <c r="AA57" s="90"/>
      <c r="AD57" s="40">
        <f>MAX(AD21:AD54)</f>
        <v>42.416725158691406</v>
      </c>
      <c r="AE57" s="40">
        <f>MAX(AE21:AE54)</f>
        <v>231.8671875</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-55.083274841308594</v>
      </c>
      <c r="AE58" s="40">
        <f>MIN(AE21:AE54)</f>
        <v>-329.8004150390625</v>
      </c>
      <c r="AF58" s="40">
        <f>MIN(AF21:AF54)</f>
        <v>-0.1360896875</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2016-12-28T20:58:40Z</dcterms:modified>
  <cp:category>Engineering Spreadsheets</cp:category>
</cp:coreProperties>
</file>