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4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A56" i="41" l="1"/>
  <c r="AA55" i="41"/>
  <c r="AA42" i="41"/>
  <c r="AA43" i="41"/>
  <c r="AA44" i="41"/>
  <c r="AA45" i="41"/>
  <c r="AA46" i="41"/>
  <c r="AA47" i="41"/>
  <c r="AA48" i="41"/>
  <c r="AA49" i="41"/>
  <c r="AA50" i="41"/>
  <c r="AA51" i="41"/>
  <c r="AA52" i="41"/>
  <c r="AA53" i="41"/>
  <c r="AA22" i="41"/>
  <c r="AA23" i="41"/>
  <c r="AA24" i="41"/>
  <c r="AA25" i="41"/>
  <c r="AA26" i="41"/>
  <c r="AA27" i="41"/>
  <c r="AA28" i="41"/>
  <c r="AA29" i="41"/>
  <c r="AA30" i="41"/>
  <c r="AA31" i="41"/>
  <c r="AA32" i="41"/>
  <c r="AA33" i="41"/>
  <c r="AA34" i="41"/>
  <c r="AA35" i="41"/>
  <c r="AA36" i="41"/>
  <c r="AA37" i="41"/>
  <c r="AA38" i="41"/>
  <c r="AA39" i="41"/>
  <c r="AA40" i="41"/>
  <c r="AA41" i="41"/>
  <c r="X56" i="41"/>
  <c r="X55" i="41"/>
  <c r="Z22" i="41"/>
  <c r="Z56" i="41"/>
  <c r="Z55" i="41"/>
  <c r="Z23" i="41"/>
  <c r="Z24" i="41"/>
  <c r="Z25" i="41"/>
  <c r="Z26" i="41"/>
  <c r="Z27" i="41"/>
  <c r="Z28" i="41"/>
  <c r="Z29" i="41"/>
  <c r="Z30" i="41"/>
  <c r="Z31" i="41"/>
  <c r="Z32" i="41"/>
  <c r="Z33" i="41"/>
  <c r="Z34" i="41"/>
  <c r="Z35" i="41"/>
  <c r="Z36" i="41"/>
  <c r="Z37" i="41"/>
  <c r="Z38" i="41"/>
  <c r="Z39" i="41"/>
  <c r="Z40" i="41"/>
  <c r="Z41" i="41"/>
  <c r="Z42" i="41"/>
  <c r="Z43" i="41"/>
  <c r="Z44" i="41"/>
  <c r="Z45" i="41"/>
  <c r="Z46" i="41"/>
  <c r="Z47" i="41"/>
  <c r="Z48" i="41"/>
  <c r="Z49" i="41"/>
  <c r="Z50" i="41"/>
  <c r="Z51" i="41"/>
  <c r="Z52" i="41"/>
  <c r="Z53" i="41"/>
  <c r="Y22" i="41"/>
  <c r="H20" i="41"/>
  <c r="H19" i="41"/>
  <c r="H22" i="41"/>
  <c r="B25" i="41" l="1"/>
  <c r="Y56" i="41" l="1"/>
  <c r="Y55" i="41"/>
  <c r="Y53" i="41"/>
  <c r="Y30" i="41"/>
  <c r="Y38" i="41"/>
  <c r="Y46" i="41"/>
  <c r="Y32" i="41"/>
  <c r="Y48" i="41"/>
  <c r="Y25" i="41"/>
  <c r="Y49" i="41"/>
  <c r="Y23" i="41"/>
  <c r="Y31" i="41"/>
  <c r="Y39" i="41"/>
  <c r="Y47" i="41"/>
  <c r="Y24" i="41"/>
  <c r="Y40" i="41"/>
  <c r="Y33" i="41"/>
  <c r="Y41" i="41"/>
  <c r="Y26" i="41"/>
  <c r="Y34" i="41"/>
  <c r="Y42" i="41"/>
  <c r="Y50" i="41"/>
  <c r="Y36" i="41"/>
  <c r="Y37" i="41"/>
  <c r="Y27" i="41"/>
  <c r="Y35" i="41"/>
  <c r="Y43" i="41"/>
  <c r="Y51" i="41"/>
  <c r="Y28" i="41"/>
  <c r="Y44" i="41"/>
  <c r="Y52" i="41"/>
  <c r="Y29" i="41"/>
  <c r="Y45" i="41"/>
  <c r="B27" i="41"/>
  <c r="H31" i="41"/>
  <c r="B35" i="41"/>
  <c r="D31" i="41"/>
  <c r="B31" i="41"/>
  <c r="H29" i="41" l="1"/>
  <c r="H30" i="41"/>
  <c r="X42" i="41" l="1"/>
  <c r="B30" i="41"/>
  <c r="B29" i="41"/>
  <c r="Y16" i="41" l="1"/>
  <c r="B24" i="41"/>
  <c r="X1" i="41" l="1"/>
  <c r="G1" i="41" s="1"/>
  <c r="J10" i="41" s="1"/>
  <c r="X2" i="41"/>
  <c r="X3" i="41"/>
  <c r="X4" i="41"/>
  <c r="X5" i="41"/>
  <c r="X6" i="41"/>
  <c r="X7" i="41"/>
  <c r="F8" i="41"/>
  <c r="J8" i="41"/>
  <c r="F9" i="41"/>
  <c r="J9" i="41"/>
  <c r="F10" i="41"/>
  <c r="L10" i="41"/>
  <c r="F11" i="41"/>
  <c r="B12" i="41"/>
  <c r="W18" i="41"/>
  <c r="Z18" i="41"/>
  <c r="AB18" i="41"/>
  <c r="AC18" i="41"/>
  <c r="X23" i="41"/>
  <c r="AD21" i="41" l="1"/>
  <c r="AE21" i="41"/>
  <c r="X24" i="41"/>
  <c r="X25" i="41" l="1"/>
  <c r="X26" i="41"/>
  <c r="X27" i="41"/>
  <c r="B26" i="41"/>
  <c r="AA18" i="41" l="1"/>
  <c r="X18" i="41"/>
  <c r="X28" i="41"/>
  <c r="X29" i="41" l="1"/>
  <c r="X30" i="41"/>
  <c r="X31" i="41"/>
  <c r="X32" i="41"/>
  <c r="X33" i="41"/>
  <c r="X34" i="41"/>
  <c r="X35" i="41"/>
  <c r="X36" i="41"/>
  <c r="X37" i="41"/>
  <c r="X38" i="41"/>
  <c r="X39" i="41"/>
  <c r="X40" i="41"/>
  <c r="X41" i="41"/>
  <c r="X43" i="41"/>
  <c r="X44" i="41"/>
  <c r="X45" i="41"/>
  <c r="X46" i="41"/>
  <c r="X47" i="41"/>
  <c r="X48" i="41"/>
  <c r="X49" i="41"/>
  <c r="X50" i="41"/>
  <c r="X51" i="41"/>
  <c r="X52" i="41"/>
  <c r="X53" i="41"/>
  <c r="B33" i="41"/>
  <c r="B34" i="41"/>
  <c r="AC22" i="41" l="1" a="1"/>
  <c r="Y18" i="41"/>
  <c r="AD18" i="41"/>
  <c r="C12" i="40"/>
  <c r="AC22" i="41" l="1"/>
  <c r="AF22" i="41" s="1"/>
  <c r="AC37" i="41"/>
  <c r="AF37" i="41" s="1"/>
  <c r="AC34" i="41"/>
  <c r="AF34" i="41" s="1"/>
  <c r="AC32" i="41"/>
  <c r="AF32" i="41" s="1"/>
  <c r="AC46" i="41"/>
  <c r="AC26" i="41"/>
  <c r="AF26" i="41" s="1"/>
  <c r="AC24" i="41"/>
  <c r="AF24" i="41" s="1"/>
  <c r="AC38" i="41"/>
  <c r="AF38" i="41" s="1"/>
  <c r="AC51" i="41"/>
  <c r="AF51" i="41" s="1"/>
  <c r="AC49" i="41"/>
  <c r="AF49" i="41" s="1"/>
  <c r="AC55" i="41"/>
  <c r="AF55" i="41" s="1"/>
  <c r="AC30" i="41"/>
  <c r="AE30" i="41" s="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F46" i="41" l="1"/>
  <c r="AD46" i="41"/>
  <c r="AE31" i="4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E46" i="41"/>
  <c r="AD31" i="41"/>
  <c r="AD50" i="41"/>
  <c r="AE50" i="41"/>
  <c r="AD36" i="41"/>
  <c r="AE36" i="41"/>
  <c r="AD32" i="41"/>
  <c r="AE32" i="41"/>
  <c r="AE47" i="41"/>
  <c r="AD47" i="41"/>
  <c r="AD55" i="41"/>
  <c r="AE55" i="41"/>
  <c r="AD34" i="41"/>
  <c r="AE34" i="41"/>
  <c r="AE41" i="41"/>
  <c r="AD41" i="41"/>
  <c r="AE49" i="41"/>
  <c r="AD49" i="41"/>
  <c r="AD37" i="41"/>
  <c r="AE37" i="41"/>
  <c r="AD43" i="41"/>
  <c r="AE43" i="41"/>
  <c r="AD51" i="41"/>
  <c r="AE51" i="41"/>
  <c r="AD22" i="41"/>
  <c r="AE22" i="41"/>
  <c r="AE58" i="41" l="1"/>
  <c r="J37" i="41"/>
  <c r="J40" i="41" s="1"/>
  <c r="J44" i="41"/>
  <c r="J47" i="41" s="1"/>
  <c r="AD57" i="41"/>
  <c r="AD58" i="41"/>
  <c r="J45" i="41"/>
  <c r="J48" i="41" s="1"/>
  <c r="AE57" i="41"/>
  <c r="J38" i="41"/>
  <c r="J41" i="41" s="1"/>
  <c r="AF58" i="41"/>
  <c r="AF57" i="41"/>
  <c r="J54" i="41"/>
  <c r="J57" i="41" s="1"/>
  <c r="J53" i="41"/>
  <c r="J56" i="41" s="1"/>
</calcChain>
</file>

<file path=xl/sharedStrings.xml><?xml version="1.0" encoding="utf-8"?>
<sst xmlns="http://schemas.openxmlformats.org/spreadsheetml/2006/main" count="181" uniqueCount="107">
  <si>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</si>
  <si>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</si>
  <si>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</si>
  <si>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</si>
  <si>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</si>
  <si>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</si>
  <si>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</si>
  <si>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</si>
  <si>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</si>
  <si>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</si>
  <si>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</si>
  <si>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</si>
  <si>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</si>
  <si>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</si>
  <si>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</si>
  <si>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</si>
  <si>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</si>
  <si>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</si>
  <si>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</si>
  <si>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</si>
  <si>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</si>
  <si>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</si>
  <si>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</si>
  <si>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</si>
  <si>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</si>
  <si>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</si>
  <si>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</si>
  <si>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</si>
  <si>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</si>
  <si>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</si>
  <si>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</si>
  <si>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</si>
  <si>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</si>
  <si>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</si>
  <si>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</si>
  <si>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</si>
  <si>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</si>
  <si>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</si>
  <si>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</si>
  <si>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</si>
  <si>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</si>
  <si>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</si>
  <si>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</si>
  <si>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</si>
  <si>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</si>
  <si>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</si>
  <si>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</si>
  <si>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</si>
  <si>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</si>
  <si>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</si>
  <si>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</si>
  <si>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</si>
  <si>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</si>
  <si>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</si>
  <si>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</si>
  <si>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</si>
  <si>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</si>
  <si>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</si>
  <si>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</si>
  <si>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</si>
  <si>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</si>
  <si>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</si>
  <si>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</si>
  <si>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</si>
  <si>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</si>
  <si>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</si>
  <si>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</si>
  <si>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</si>
  <si>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</si>
  <si>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</si>
  <si>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</si>
  <si>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</si>
  <si>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</si>
  <si>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</si>
  <si>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</si>
  <si>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</si>
  <si>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</si>
  <si>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</si>
  <si>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</si>
  <si>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</si>
  <si>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</si>
  <si>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</si>
  <si>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</si>
  <si>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</si>
  <si>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</si>
  <si>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</si>
  <si>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</si>
  <si>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</si>
  <si>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</si>
  <si>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</si>
  <si>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</si>
  <si>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Input:</t>
  </si>
  <si>
    <t>W =</t>
  </si>
  <si>
    <t>w =</t>
  </si>
  <si>
    <t>lb (Total Load)</t>
  </si>
  <si>
    <t>lb/in (Applied UDL)</t>
  </si>
  <si>
    <t>Max +M =</t>
  </si>
  <si>
    <t>Max -M =</t>
  </si>
  <si>
    <t>inlb at x =</t>
  </si>
  <si>
    <t>a =</t>
  </si>
  <si>
    <t>b =</t>
  </si>
  <si>
    <t>c =</t>
  </si>
  <si>
    <t>d =</t>
  </si>
  <si>
    <t>AA-SM-026-023</t>
  </si>
  <si>
    <t>SIMPLE BEAMS - SINGLE SPAN - FIXED AND SIMPLY SUPPORTED - UDL PARTIAL SPAN</t>
  </si>
  <si>
    <r>
      <t>R</t>
    </r>
    <r>
      <rPr>
        <vertAlign val="subscript"/>
        <sz val="10"/>
        <color theme="1"/>
        <rFont val="Calibri"/>
        <family val="2"/>
        <scheme val="minor"/>
      </rPr>
      <t>D</t>
    </r>
    <r>
      <rPr>
        <sz val="10"/>
        <color theme="1"/>
        <rFont val="Calibri"/>
        <family val="2"/>
        <scheme val="minor"/>
      </rPr>
      <t xml:space="preserve"> =</t>
    </r>
  </si>
  <si>
    <t>inlb at Point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</si>
</sst>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5">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2" fillId="0" borderId="0" xfId="0" applyFont="1" applyFill="1" applyBorder="1" applyAlignment="1">
      <alignment horizontal="left"/>
    </xf>
    <xf numFmtId="0" fontId="5" fillId="0" borderId="0" xfId="0" applyFont="1" applyAlignment="1">
      <alignment horizontal="right"/>
    </xf>
    <xf numFmtId="0" fontId="12" fillId="0" borderId="0" xfId="0" applyFont="1" applyBorder="1"/>
    <xf numFmtId="0" fontId="13"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5" fillId="0" borderId="0" xfId="0" applyFont="1" applyAlignment="1">
      <alignment horizontal="left"/>
    </xf>
    <xf numFmtId="0" fontId="5" fillId="0" borderId="0" xfId="0" applyFont="1" applyFill="1" applyBorder="1" applyAlignment="1">
      <alignment horizontal="center"/>
    </xf>
    <xf numFmtId="0" fontId="16" fillId="0" borderId="0" xfId="0" applyFont="1"/>
    <xf numFmtId="166" fontId="5" fillId="0" borderId="0" xfId="0" applyNumberFormat="1" applyFont="1" applyAlignment="1">
      <alignment horizontal="center"/>
    </xf>
    <xf numFmtId="165" fontId="16" fillId="0" borderId="0" xfId="0" applyNumberFormat="1" applyFont="1"/>
    <xf numFmtId="0" fontId="13" fillId="0" borderId="0" xfId="0" applyFont="1" applyAlignment="1">
      <alignment horizontal="center"/>
    </xf>
    <xf numFmtId="0" fontId="15" fillId="0" borderId="0" xfId="0" applyFont="1"/>
    <xf numFmtId="0" fontId="13" fillId="0" borderId="0" xfId="0" applyFont="1" applyFill="1"/>
    <xf numFmtId="0" fontId="17" fillId="0" borderId="0" xfId="0" applyFont="1"/>
    <xf numFmtId="0" fontId="13" fillId="0" borderId="0" xfId="1" applyFont="1"/>
    <xf numFmtId="0" fontId="15"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5" fillId="0" borderId="0" xfId="0" applyNumberFormat="1" applyFont="1"/>
    <xf numFmtId="2" fontId="5" fillId="0" borderId="0" xfId="0" applyNumberFormat="1" applyFont="1" applyAlignment="1">
      <alignment horizontal="right"/>
    </xf>
    <xf numFmtId="164"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4" fontId="5" fillId="0" borderId="0" xfId="0" applyNumberFormat="1" applyFont="1" applyBorder="1" applyAlignment="1">
      <alignment horizontal="center"/>
    </xf>
    <xf numFmtId="167" fontId="13" fillId="0" borderId="0" xfId="0" applyNumberFormat="1"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Border="1" applyAlignment="1" applyProtection="1">
      <alignment horizontal="centerContinuous"/>
      <protection locked="0"/>
    </xf>
    <xf numFmtId="0" fontId="19" fillId="0" borderId="0" xfId="0" applyFont="1"/>
    <xf numFmtId="0" fontId="19" fillId="0" borderId="0" xfId="0" applyFont="1" applyBorder="1" applyProtection="1">
      <protection locked="0"/>
    </xf>
    <xf numFmtId="0" fontId="22" fillId="0" borderId="0" xfId="0" applyFont="1" applyBorder="1" applyAlignment="1" applyProtection="1">
      <alignment horizontal="right"/>
      <protection locked="0"/>
    </xf>
    <xf numFmtId="0" fontId="20" fillId="0" borderId="0" xfId="0" applyFont="1"/>
    <xf numFmtId="0" fontId="20" fillId="0" borderId="0" xfId="0" applyFont="1" applyBorder="1" applyProtection="1">
      <protection locked="0"/>
    </xf>
    <xf numFmtId="0" fontId="21" fillId="0" borderId="0" xfId="0" applyFont="1" applyBorder="1" applyProtection="1">
      <protection locked="0"/>
    </xf>
    <xf numFmtId="165" fontId="5" fillId="0" borderId="0" xfId="0" applyNumberFormat="1" applyFont="1"/>
    <xf numFmtId="0" fontId="19" fillId="0" borderId="0" xfId="7" applyFont="1" applyAlignment="1">
      <alignment horizontal="centerContinuous"/>
    </xf>
    <xf numFmtId="0" fontId="11" fillId="0" borderId="0" xfId="6" applyBorder="1" applyAlignment="1" applyProtection="1">
      <alignment horizontal="left"/>
      <protection locked="0"/>
    </xf>
    <xf numFmtId="165" fontId="5" fillId="0" borderId="0" xfId="0" applyNumberFormat="1" applyFont="1" applyBorder="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8" fillId="0" borderId="0" xfId="6" applyFont="1" applyAlignment="1">
      <alignment horizontal="left"/>
    </xf>
    <xf numFmtId="2" fontId="16" fillId="0" borderId="0" xfId="0" applyNumberFormat="1" applyFont="1"/>
    <xf numFmtId="2" fontId="5" fillId="0" borderId="0" xfId="0" applyNumberFormat="1" applyFont="1"/>
    <xf numFmtId="2" fontId="13" fillId="0" borderId="0" xfId="0" applyNumberFormat="1" applyFont="1"/>
  </cellXfs>
  <cellStyles count="8">
    <cellStyle name="Hyperlink" xfId="6" builtinId="8"/>
    <cellStyle name="Hyperlink 2" xfId="5"/>
    <cellStyle name="Normal" xfId="0" builtinId="0" customBuiltin="1"/>
    <cellStyle name="Normal 2" xfId="1"/>
    <cellStyle name="Normal 2 2" xfId="3"/>
    <cellStyle name="Normal 2 3" xfId="7"/>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SPAN'!$AC$21:$AC$55</c:f>
              <c:numCache>
                <c:formatCode>0.00</c:formatCode>
                <c:ptCount val="35"/>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c:v>
                </c:pt>
                <c:pt idx="15">
                  <c:v>6.5</c:v>
                </c:pt>
                <c:pt idx="16">
                  <c:v>7</c:v>
                </c:pt>
                <c:pt idx="17">
                  <c:v>7.5</c:v>
                </c:pt>
                <c:pt idx="18">
                  <c:v>8</c:v>
                </c:pt>
                <c:pt idx="19">
                  <c:v>8.5</c:v>
                </c:pt>
                <c:pt idx="20">
                  <c:v>9</c:v>
                </c:pt>
                <c:pt idx="21">
                  <c:v>9.5</c:v>
                </c:pt>
                <c:pt idx="22">
                  <c:v>10</c:v>
                </c:pt>
                <c:pt idx="23">
                  <c:v>10.5</c:v>
                </c:pt>
                <c:pt idx="24">
                  <c:v>11</c:v>
                </c:pt>
                <c:pt idx="25">
                  <c:v>11.4</c:v>
                </c:pt>
                <c:pt idx="26">
                  <c:v>11.5</c:v>
                </c:pt>
                <c:pt idx="27">
                  <c:v>12</c:v>
                </c:pt>
                <c:pt idx="28">
                  <c:v>12.5</c:v>
                </c:pt>
                <c:pt idx="29">
                  <c:v>13</c:v>
                </c:pt>
                <c:pt idx="30">
                  <c:v>13.5</c:v>
                </c:pt>
                <c:pt idx="31">
                  <c:v>14</c:v>
                </c:pt>
                <c:pt idx="32">
                  <c:v>14.5</c:v>
                </c:pt>
                <c:pt idx="33">
                  <c:v>15</c:v>
                </c:pt>
                <c:pt idx="34">
                  <c:v>15</c:v>
                </c:pt>
              </c:numCache>
            </c:numRef>
          </c:xVal>
          <c:yVal>
            <c:numRef>
              <c:f>'POINT LOAD MID SPAN'!$AD$21:$AD$55</c:f>
              <c:numCache>
                <c:formatCode>0</c:formatCode>
                <c:ptCount val="35"/>
                <c:pt idx="0">
                  <c:v>14.526064800000002</c:v>
                </c:pt>
                <c:pt idx="1">
                  <c:v>14.526064800000002</c:v>
                </c:pt>
                <c:pt idx="2">
                  <c:v>14.526064800000002</c:v>
                </c:pt>
                <c:pt idx="3">
                  <c:v>14.526064800000002</c:v>
                </c:pt>
                <c:pt idx="4">
                  <c:v>14.526064800000002</c:v>
                </c:pt>
                <c:pt idx="5">
                  <c:v>14.526064800000002</c:v>
                </c:pt>
                <c:pt idx="6">
                  <c:v>14.526064800000002</c:v>
                </c:pt>
                <c:pt idx="7">
                  <c:v>14.526064800000002</c:v>
                </c:pt>
                <c:pt idx="8">
                  <c:v>14.526064800000002</c:v>
                </c:pt>
                <c:pt idx="9">
                  <c:v>11.926064799999999</c:v>
                </c:pt>
                <c:pt idx="10">
                  <c:v>8.6760648000000007</c:v>
                </c:pt>
                <c:pt idx="11">
                  <c:v>5.4260648000000007</c:v>
                </c:pt>
                <c:pt idx="12">
                  <c:v>2.1760647999999989</c:v>
                </c:pt>
                <c:pt idx="13">
                  <c:v>-1.0739351999999993</c:v>
                </c:pt>
                <c:pt idx="14">
                  <c:v>-1.0739351999999993</c:v>
                </c:pt>
                <c:pt idx="15">
                  <c:v>-4.3239351999999993</c:v>
                </c:pt>
                <c:pt idx="16">
                  <c:v>-7.5739351999999993</c:v>
                </c:pt>
                <c:pt idx="17">
                  <c:v>-10.823935199999999</c:v>
                </c:pt>
                <c:pt idx="18">
                  <c:v>-14.073935200000003</c:v>
                </c:pt>
                <c:pt idx="19">
                  <c:v>-17.323935200000001</c:v>
                </c:pt>
                <c:pt idx="20">
                  <c:v>-20.573935200000001</c:v>
                </c:pt>
                <c:pt idx="21">
                  <c:v>-20.573935200000001</c:v>
                </c:pt>
                <c:pt idx="22">
                  <c:v>-20.573935200000001</c:v>
                </c:pt>
                <c:pt idx="23">
                  <c:v>-20.573935200000001</c:v>
                </c:pt>
                <c:pt idx="24">
                  <c:v>-20.573935200000001</c:v>
                </c:pt>
                <c:pt idx="25">
                  <c:v>-20.573935200000001</c:v>
                </c:pt>
                <c:pt idx="26">
                  <c:v>-20.573935200000001</c:v>
                </c:pt>
                <c:pt idx="27">
                  <c:v>-20.573935200000001</c:v>
                </c:pt>
                <c:pt idx="28">
                  <c:v>-20.573935200000001</c:v>
                </c:pt>
                <c:pt idx="29">
                  <c:v>-20.573935200000001</c:v>
                </c:pt>
                <c:pt idx="30">
                  <c:v>-20.573935200000001</c:v>
                </c:pt>
                <c:pt idx="31">
                  <c:v>-20.573935200000001</c:v>
                </c:pt>
                <c:pt idx="32">
                  <c:v>-20.573935200000001</c:v>
                </c:pt>
                <c:pt idx="33">
                  <c:v>-20.573935200000001</c:v>
                </c:pt>
                <c:pt idx="34">
                  <c:v>-20.573935200000001</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c:v>
                </c:pt>
                <c:pt idx="15">
                  <c:v>6.5</c:v>
                </c:pt>
                <c:pt idx="16">
                  <c:v>7</c:v>
                </c:pt>
                <c:pt idx="17">
                  <c:v>7.5</c:v>
                </c:pt>
                <c:pt idx="18">
                  <c:v>8</c:v>
                </c:pt>
                <c:pt idx="19">
                  <c:v>8.5</c:v>
                </c:pt>
                <c:pt idx="20">
                  <c:v>9</c:v>
                </c:pt>
                <c:pt idx="21">
                  <c:v>9.5</c:v>
                </c:pt>
                <c:pt idx="22">
                  <c:v>10</c:v>
                </c:pt>
                <c:pt idx="23">
                  <c:v>10.5</c:v>
                </c:pt>
                <c:pt idx="24">
                  <c:v>11</c:v>
                </c:pt>
                <c:pt idx="25">
                  <c:v>11.4</c:v>
                </c:pt>
                <c:pt idx="26">
                  <c:v>11.5</c:v>
                </c:pt>
                <c:pt idx="27">
                  <c:v>12</c:v>
                </c:pt>
                <c:pt idx="28">
                  <c:v>12.5</c:v>
                </c:pt>
                <c:pt idx="29">
                  <c:v>13</c:v>
                </c:pt>
                <c:pt idx="30">
                  <c:v>13.5</c:v>
                </c:pt>
                <c:pt idx="31">
                  <c:v>14</c:v>
                </c:pt>
                <c:pt idx="32">
                  <c:v>14.5</c:v>
                </c:pt>
                <c:pt idx="33">
                  <c:v>15</c:v>
                </c:pt>
              </c:numCache>
            </c:numRef>
          </c:xVal>
          <c:yVal>
            <c:numRef>
              <c:f>'POINT LOAD MID SPAN'!$AE$21:$AE$54</c:f>
              <c:numCache>
                <c:formatCode>0</c:formatCode>
                <c:ptCount val="34"/>
                <c:pt idx="0">
                  <c:v>0</c:v>
                </c:pt>
                <c:pt idx="1">
                  <c:v>0</c:v>
                </c:pt>
                <c:pt idx="2">
                  <c:v>7.2630324000000011</c:v>
                </c:pt>
                <c:pt idx="3">
                  <c:v>14.526064800000002</c:v>
                </c:pt>
                <c:pt idx="4">
                  <c:v>21.789097200000004</c:v>
                </c:pt>
                <c:pt idx="5">
                  <c:v>29.052129600000004</c:v>
                </c:pt>
                <c:pt idx="6">
                  <c:v>36.315162000000008</c:v>
                </c:pt>
                <c:pt idx="7">
                  <c:v>43.578194400000008</c:v>
                </c:pt>
                <c:pt idx="8">
                  <c:v>50.841226800000008</c:v>
                </c:pt>
                <c:pt idx="9">
                  <c:v>57.584259200000005</c:v>
                </c:pt>
                <c:pt idx="10">
                  <c:v>62.734791600000015</c:v>
                </c:pt>
                <c:pt idx="11">
                  <c:v>66.260324000000011</c:v>
                </c:pt>
                <c:pt idx="12">
                  <c:v>68.160856400000014</c:v>
                </c:pt>
                <c:pt idx="13">
                  <c:v>68.436388800000003</c:v>
                </c:pt>
                <c:pt idx="14">
                  <c:v>68.436388800000003</c:v>
                </c:pt>
                <c:pt idx="15">
                  <c:v>67.086921200000006</c:v>
                </c:pt>
                <c:pt idx="16">
                  <c:v>64.112453600000009</c:v>
                </c:pt>
                <c:pt idx="17">
                  <c:v>59.512986000000012</c:v>
                </c:pt>
                <c:pt idx="18">
                  <c:v>53.288518400000008</c:v>
                </c:pt>
                <c:pt idx="19">
                  <c:v>45.439050800000004</c:v>
                </c:pt>
                <c:pt idx="20">
                  <c:v>35.964583200000021</c:v>
                </c:pt>
                <c:pt idx="21">
                  <c:v>25.67761560000001</c:v>
                </c:pt>
                <c:pt idx="22">
                  <c:v>15.390648000000027</c:v>
                </c:pt>
                <c:pt idx="23">
                  <c:v>5.1036804000000018</c:v>
                </c:pt>
                <c:pt idx="24">
                  <c:v>-5.1832871999999668</c:v>
                </c:pt>
                <c:pt idx="25">
                  <c:v>-13.412861279999987</c:v>
                </c:pt>
                <c:pt idx="26">
                  <c:v>-15.470254799999992</c:v>
                </c:pt>
                <c:pt idx="27">
                  <c:v>-25.757222399999989</c:v>
                </c:pt>
                <c:pt idx="28">
                  <c:v>-36.044189999999986</c:v>
                </c:pt>
                <c:pt idx="29">
                  <c:v>-46.331157599999983</c:v>
                </c:pt>
                <c:pt idx="30">
                  <c:v>-56.618125200000009</c:v>
                </c:pt>
                <c:pt idx="31">
                  <c:v>-66.905092800000006</c:v>
                </c:pt>
                <c:pt idx="32">
                  <c:v>-77.192060399999974</c:v>
                </c:pt>
                <c:pt idx="33">
                  <c:v>-87.479027999999971</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SPAN'!$AC$22:$AC$55</c:f>
              <c:numCache>
                <c:formatCode>0.00</c:formatCode>
                <c:ptCount val="34"/>
                <c:pt idx="0">
                  <c:v>0</c:v>
                </c:pt>
                <c:pt idx="1">
                  <c:v>0.5</c:v>
                </c:pt>
                <c:pt idx="2">
                  <c:v>1</c:v>
                </c:pt>
                <c:pt idx="3">
                  <c:v>1.5</c:v>
                </c:pt>
                <c:pt idx="4">
                  <c:v>2</c:v>
                </c:pt>
                <c:pt idx="5">
                  <c:v>2.5</c:v>
                </c:pt>
                <c:pt idx="6">
                  <c:v>3</c:v>
                </c:pt>
                <c:pt idx="7">
                  <c:v>3.5</c:v>
                </c:pt>
                <c:pt idx="8">
                  <c:v>4</c:v>
                </c:pt>
                <c:pt idx="9">
                  <c:v>4.5</c:v>
                </c:pt>
                <c:pt idx="10">
                  <c:v>5</c:v>
                </c:pt>
                <c:pt idx="11">
                  <c:v>5.5</c:v>
                </c:pt>
                <c:pt idx="12">
                  <c:v>6</c:v>
                </c:pt>
                <c:pt idx="13">
                  <c:v>6</c:v>
                </c:pt>
                <c:pt idx="14">
                  <c:v>6.5</c:v>
                </c:pt>
                <c:pt idx="15">
                  <c:v>7</c:v>
                </c:pt>
                <c:pt idx="16">
                  <c:v>7.5</c:v>
                </c:pt>
                <c:pt idx="17">
                  <c:v>8</c:v>
                </c:pt>
                <c:pt idx="18">
                  <c:v>8.5</c:v>
                </c:pt>
                <c:pt idx="19">
                  <c:v>9</c:v>
                </c:pt>
                <c:pt idx="20">
                  <c:v>9.5</c:v>
                </c:pt>
                <c:pt idx="21">
                  <c:v>10</c:v>
                </c:pt>
                <c:pt idx="22">
                  <c:v>10.5</c:v>
                </c:pt>
                <c:pt idx="23">
                  <c:v>11</c:v>
                </c:pt>
                <c:pt idx="24">
                  <c:v>11.4</c:v>
                </c:pt>
                <c:pt idx="25">
                  <c:v>11.5</c:v>
                </c:pt>
                <c:pt idx="26">
                  <c:v>12</c:v>
                </c:pt>
                <c:pt idx="27">
                  <c:v>12.5</c:v>
                </c:pt>
                <c:pt idx="28">
                  <c:v>13</c:v>
                </c:pt>
                <c:pt idx="29">
                  <c:v>13.5</c:v>
                </c:pt>
                <c:pt idx="30">
                  <c:v>14</c:v>
                </c:pt>
                <c:pt idx="31">
                  <c:v>14.5</c:v>
                </c:pt>
                <c:pt idx="32">
                  <c:v>15</c:v>
                </c:pt>
                <c:pt idx="33">
                  <c:v>15</c:v>
                </c:pt>
              </c:numCache>
            </c:numRef>
          </c:xVal>
          <c:yVal>
            <c:numRef>
              <c:f>'POINT LOAD MID SPAN'!$AF$22:$AF$55</c:f>
              <c:numCache>
                <c:formatCode>0.0000</c:formatCode>
                <c:ptCount val="34"/>
                <c:pt idx="0">
                  <c:v>0</c:v>
                </c:pt>
                <c:pt idx="1">
                  <c:v>-1.3128551865000009E-3</c:v>
                </c:pt>
                <c:pt idx="2">
                  <c:v>-2.6075527920000016E-3</c:v>
                </c:pt>
                <c:pt idx="3">
                  <c:v>-3.8659352355000015E-3</c:v>
                </c:pt>
                <c:pt idx="4">
                  <c:v>-5.0698449360000002E-3</c:v>
                </c:pt>
                <c:pt idx="5">
                  <c:v>-6.2011243125000013E-3</c:v>
                </c:pt>
                <c:pt idx="6">
                  <c:v>-7.2416157839999967E-3</c:v>
                </c:pt>
                <c:pt idx="7">
                  <c:v>-8.1731617695000036E-3</c:v>
                </c:pt>
                <c:pt idx="8">
                  <c:v>-8.9776740213333359E-3</c:v>
                </c:pt>
                <c:pt idx="9">
                  <c:v>-9.6385638959999975E-3</c:v>
                </c:pt>
                <c:pt idx="10">
                  <c:v>-1.0142955333333337E-2</c:v>
                </c:pt>
                <c:pt idx="11">
                  <c:v>-1.0482034502333348E-2</c:v>
                </c:pt>
                <c:pt idx="12">
                  <c:v>-1.0651050071999998E-2</c:v>
                </c:pt>
                <c:pt idx="13">
                  <c:v>-1.0651050071999998E-2</c:v>
                </c:pt>
                <c:pt idx="14">
                  <c:v>-1.064931321133333E-2</c:v>
                </c:pt>
                <c:pt idx="15">
                  <c:v>-1.0480197589333346E-2</c:v>
                </c:pt>
                <c:pt idx="16">
                  <c:v>-1.0151139375000012E-2</c:v>
                </c:pt>
                <c:pt idx="17">
                  <c:v>-9.6736372373333358E-3</c:v>
                </c:pt>
                <c:pt idx="18">
                  <c:v>-9.0632523453333391E-3</c:v>
                </c:pt>
                <c:pt idx="19">
                  <c:v>-8.3396083680000056E-3</c:v>
                </c:pt>
                <c:pt idx="20">
                  <c:v>-7.526222203499979E-3</c:v>
                </c:pt>
                <c:pt idx="21">
                  <c:v>-6.6486419999999685E-3</c:v>
                </c:pt>
                <c:pt idx="22">
                  <c:v>-5.7325851764999927E-3</c:v>
                </c:pt>
                <c:pt idx="23">
                  <c:v>-4.8037691519999728E-3</c:v>
                </c:pt>
                <c:pt idx="24">
                  <c:v>-4.0688118132479719E-3</c:v>
                </c:pt>
                <c:pt idx="25">
                  <c:v>-3.8879113454999632E-3</c:v>
                </c:pt>
                <c:pt idx="26">
                  <c:v>-3.0107291759999908E-3</c:v>
                </c:pt>
                <c:pt idx="27">
                  <c:v>-2.1979400625000028E-3</c:v>
                </c:pt>
                <c:pt idx="28">
                  <c:v>-1.4752614239999674E-3</c:v>
                </c:pt>
                <c:pt idx="29">
                  <c:v>-8.6841067949996792E-4</c:v>
                </c:pt>
                <c:pt idx="30">
                  <c:v>-4.0310524799999219E-4</c:v>
                </c:pt>
                <c:pt idx="31">
                  <c:v>-1.0506254850000763E-4</c:v>
                </c:pt>
                <c:pt idx="32">
                  <c:v>0</c:v>
                </c:pt>
                <c:pt idx="33">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171116</xdr:rowOff>
    </xdr:from>
    <xdr:to>
      <xdr:col>8</xdr:col>
      <xdr:colOff>0</xdr:colOff>
      <xdr:row>47</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47</xdr:row>
      <xdr:rowOff>0</xdr:rowOff>
    </xdr:from>
    <xdr:to>
      <xdr:col>8</xdr:col>
      <xdr:colOff>0</xdr:colOff>
      <xdr:row>59</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38997"/>
          <a:ext cx="2491147" cy="575063"/>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59</xdr:row>
      <xdr:rowOff>0</xdr:rowOff>
    </xdr:from>
    <xdr:ext cx="6695377" cy="325244"/>
    <xdr:sp macro="" textlink="">
      <xdr:nvSpPr>
        <xdr:cNvPr id="47" name="TextBox 46">
          <a:hlinkClick xmlns:r="http://schemas.openxmlformats.org/officeDocument/2006/relationships" r:id="rId7"/>
          <a:extLst>
            <a:ext uri="{FF2B5EF4-FFF2-40B4-BE49-F238E27FC236}">
              <a16:creationId xmlns:a16="http://schemas.microsoft.com/office/drawing/2014/main" id="{75077302-EB48-4956-BA3C-2306C4FEEF87}"/>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379248</xdr:colOff>
      <xdr:row>12</xdr:row>
      <xdr:rowOff>170850</xdr:rowOff>
    </xdr:from>
    <xdr:to>
      <xdr:col>4</xdr:col>
      <xdr:colOff>180826</xdr:colOff>
      <xdr:row>21</xdr:row>
      <xdr:rowOff>107470</xdr:rowOff>
    </xdr:to>
    <xdr:grpSp>
      <xdr:nvGrpSpPr>
        <xdr:cNvPr id="21" name="Group 20">
          <a:extLst>
            <a:ext uri="{FF2B5EF4-FFF2-40B4-BE49-F238E27FC236}">
              <a16:creationId xmlns:a16="http://schemas.microsoft.com/office/drawing/2014/main" id="{D6B45487-61AC-43FF-9ACA-9781AE9818A5}"/>
            </a:ext>
          </a:extLst>
        </xdr:cNvPr>
        <xdr:cNvGrpSpPr/>
      </xdr:nvGrpSpPr>
      <xdr:grpSpPr>
        <a:xfrm>
          <a:off x="379248" y="2120674"/>
          <a:ext cx="2266872" cy="1415796"/>
          <a:chOff x="379248" y="2178070"/>
          <a:chExt cx="2273432" cy="1455973"/>
        </a:xfrm>
      </xdr:grpSpPr>
      <xdr:sp macro="" textlink="">
        <xdr:nvSpPr>
          <xdr:cNvPr id="26" name="Freeform: Shape 25">
            <a:extLst>
              <a:ext uri="{FF2B5EF4-FFF2-40B4-BE49-F238E27FC236}">
                <a16:creationId xmlns:a16="http://schemas.microsoft.com/office/drawing/2014/main" id="{00000000-0008-0000-0100-00001A000000}"/>
              </a:ext>
            </a:extLst>
          </xdr:cNvPr>
          <xdr:cNvSpPr/>
        </xdr:nvSpPr>
        <xdr:spPr bwMode="auto">
          <a:xfrm>
            <a:off x="611187" y="3133623"/>
            <a:ext cx="1261804" cy="78862"/>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Lst>
            <a:ahLst/>
            <a:cxnLst>
              <a:cxn ang="0">
                <a:pos x="connsiteX0" y="connsiteY0"/>
              </a:cxn>
              <a:cxn ang="0">
                <a:pos x="connsiteX1" y="connsiteY1"/>
              </a:cxn>
            </a:cxnLst>
            <a:rect l="l" t="t" r="r" b="b"/>
            <a:pathLst>
              <a:path w="10000" h="173781">
                <a:moveTo>
                  <a:pt x="10000" y="0"/>
                </a:moveTo>
                <a:cubicBezTo>
                  <a:pt x="6667" y="3333"/>
                  <a:pt x="2306" y="382626"/>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40" name="Isosceles Triangle 39">
            <a:extLst>
              <a:ext uri="{FF2B5EF4-FFF2-40B4-BE49-F238E27FC236}">
                <a16:creationId xmlns:a16="http://schemas.microsoft.com/office/drawing/2014/main" id="{00000000-0008-0000-0100-000028000000}"/>
              </a:ext>
            </a:extLst>
          </xdr:cNvPr>
          <xdr:cNvSpPr/>
        </xdr:nvSpPr>
        <xdr:spPr bwMode="auto">
          <a:xfrm>
            <a:off x="559246" y="3145554"/>
            <a:ext cx="123011" cy="104637"/>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611549" y="3283773"/>
            <a:ext cx="0" cy="334921"/>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569939" y="3358508"/>
            <a:ext cx="305294" cy="2577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632225" y="3154871"/>
            <a:ext cx="251750" cy="262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379248" y="3024843"/>
            <a:ext cx="259905" cy="2642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612796" y="2322725"/>
            <a:ext cx="0" cy="72509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612796" y="2368199"/>
            <a:ext cx="1252972"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92619" y="2410409"/>
            <a:ext cx="242609" cy="247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1958955" y="3132001"/>
            <a:ext cx="587177"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406080" y="2903755"/>
            <a:ext cx="246600" cy="2477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869381" y="2328587"/>
            <a:ext cx="0" cy="61874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131642" y="2178070"/>
            <a:ext cx="234403" cy="2467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609837" y="3131370"/>
            <a:ext cx="1264002" cy="631"/>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36" name="TextBox 35">
            <a:extLst>
              <a:ext uri="{FF2B5EF4-FFF2-40B4-BE49-F238E27FC236}">
                <a16:creationId xmlns:a16="http://schemas.microsoft.com/office/drawing/2014/main" id="{2FD503BE-061A-4AC3-A020-398F533AC562}"/>
              </a:ext>
            </a:extLst>
          </xdr:cNvPr>
          <xdr:cNvSpPr txBox="1"/>
        </xdr:nvSpPr>
        <xdr:spPr>
          <a:xfrm>
            <a:off x="1823241" y="2809251"/>
            <a:ext cx="259269" cy="2447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D</a:t>
            </a:r>
            <a:endParaRPr lang="en-CA" sz="1000" baseline="-25000"/>
          </a:p>
        </xdr:txBody>
      </xdr:sp>
      <xdr:sp macro="" textlink="">
        <xdr:nvSpPr>
          <xdr:cNvPr id="45" name="TextBox 44">
            <a:extLst>
              <a:ext uri="{FF2B5EF4-FFF2-40B4-BE49-F238E27FC236}">
                <a16:creationId xmlns:a16="http://schemas.microsoft.com/office/drawing/2014/main" id="{950C14B2-557F-4B1B-ABE6-BC51910EA2D1}"/>
              </a:ext>
            </a:extLst>
          </xdr:cNvPr>
          <xdr:cNvSpPr txBox="1"/>
        </xdr:nvSpPr>
        <xdr:spPr>
          <a:xfrm>
            <a:off x="1620861" y="3099467"/>
            <a:ext cx="246229" cy="2649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D</a:t>
            </a:r>
            <a:endParaRPr lang="en-CA" sz="1000" baseline="-25000"/>
          </a:p>
        </xdr:txBody>
      </xdr:sp>
      <xdr:sp macro="" textlink="">
        <xdr:nvSpPr>
          <xdr:cNvPr id="83" name="Line 49">
            <a:extLst>
              <a:ext uri="{FF2B5EF4-FFF2-40B4-BE49-F238E27FC236}">
                <a16:creationId xmlns:a16="http://schemas.microsoft.com/office/drawing/2014/main" id="{FFDF40CA-97AB-439F-8579-AF1A7EB4FDC4}"/>
              </a:ext>
            </a:extLst>
          </xdr:cNvPr>
          <xdr:cNvSpPr>
            <a:spLocks noChangeShapeType="1"/>
          </xdr:cNvSpPr>
        </xdr:nvSpPr>
        <xdr:spPr bwMode="auto">
          <a:xfrm flipH="1">
            <a:off x="1878652" y="3009479"/>
            <a:ext cx="0" cy="231346"/>
          </a:xfrm>
          <a:prstGeom prst="line">
            <a:avLst/>
          </a:prstGeom>
          <a:noFill/>
          <a:ln w="22225">
            <a:solidFill>
              <a:srgbClr val="000000"/>
            </a:solidFill>
            <a:round/>
            <a:headEnd/>
            <a:tailEnd/>
          </a:ln>
        </xdr:spPr>
      </xdr:sp>
      <xdr:sp macro="" textlink="">
        <xdr:nvSpPr>
          <xdr:cNvPr id="84" name="Line 50">
            <a:extLst>
              <a:ext uri="{FF2B5EF4-FFF2-40B4-BE49-F238E27FC236}">
                <a16:creationId xmlns:a16="http://schemas.microsoft.com/office/drawing/2014/main" id="{A6BB6C65-35DD-491B-9EA3-12DD7865BAE5}"/>
              </a:ext>
            </a:extLst>
          </xdr:cNvPr>
          <xdr:cNvSpPr>
            <a:spLocks noChangeShapeType="1"/>
          </xdr:cNvSpPr>
        </xdr:nvSpPr>
        <xdr:spPr bwMode="auto">
          <a:xfrm>
            <a:off x="1878652" y="3019087"/>
            <a:ext cx="46185" cy="28160"/>
          </a:xfrm>
          <a:prstGeom prst="line">
            <a:avLst/>
          </a:prstGeom>
          <a:noFill/>
          <a:ln w="9525">
            <a:solidFill>
              <a:srgbClr val="000000"/>
            </a:solidFill>
            <a:round/>
            <a:headEnd/>
            <a:tailEnd/>
          </a:ln>
        </xdr:spPr>
      </xdr:sp>
      <xdr:sp macro="" textlink="">
        <xdr:nvSpPr>
          <xdr:cNvPr id="85" name="Line 51">
            <a:extLst>
              <a:ext uri="{FF2B5EF4-FFF2-40B4-BE49-F238E27FC236}">
                <a16:creationId xmlns:a16="http://schemas.microsoft.com/office/drawing/2014/main" id="{7EC22043-B25C-41CD-8413-D7FAF7FB7AE6}"/>
              </a:ext>
            </a:extLst>
          </xdr:cNvPr>
          <xdr:cNvSpPr>
            <a:spLocks noChangeShapeType="1"/>
          </xdr:cNvSpPr>
        </xdr:nvSpPr>
        <xdr:spPr bwMode="auto">
          <a:xfrm>
            <a:off x="1878652" y="3056854"/>
            <a:ext cx="46185" cy="48038"/>
          </a:xfrm>
          <a:prstGeom prst="line">
            <a:avLst/>
          </a:prstGeom>
          <a:noFill/>
          <a:ln w="9525">
            <a:solidFill>
              <a:srgbClr val="000000"/>
            </a:solidFill>
            <a:round/>
            <a:headEnd/>
            <a:tailEnd/>
          </a:ln>
        </xdr:spPr>
      </xdr:sp>
      <xdr:sp macro="" textlink="">
        <xdr:nvSpPr>
          <xdr:cNvPr id="86" name="Line 52">
            <a:extLst>
              <a:ext uri="{FF2B5EF4-FFF2-40B4-BE49-F238E27FC236}">
                <a16:creationId xmlns:a16="http://schemas.microsoft.com/office/drawing/2014/main" id="{05F171C1-BA6C-4AA4-A6C2-39503B28A52E}"/>
              </a:ext>
            </a:extLst>
          </xdr:cNvPr>
          <xdr:cNvSpPr>
            <a:spLocks noChangeShapeType="1"/>
          </xdr:cNvSpPr>
        </xdr:nvSpPr>
        <xdr:spPr bwMode="auto">
          <a:xfrm>
            <a:off x="1878652" y="3114499"/>
            <a:ext cx="46185" cy="40523"/>
          </a:xfrm>
          <a:prstGeom prst="line">
            <a:avLst/>
          </a:prstGeom>
          <a:noFill/>
          <a:ln w="9525">
            <a:solidFill>
              <a:srgbClr val="000000"/>
            </a:solidFill>
            <a:round/>
            <a:headEnd/>
            <a:tailEnd/>
          </a:ln>
        </xdr:spPr>
      </xdr:sp>
      <xdr:sp macro="" textlink="">
        <xdr:nvSpPr>
          <xdr:cNvPr id="87" name="Line 53">
            <a:extLst>
              <a:ext uri="{FF2B5EF4-FFF2-40B4-BE49-F238E27FC236}">
                <a16:creationId xmlns:a16="http://schemas.microsoft.com/office/drawing/2014/main" id="{9E99B748-CF55-49A9-BC56-6BD988EEEA2C}"/>
              </a:ext>
            </a:extLst>
          </xdr:cNvPr>
          <xdr:cNvSpPr>
            <a:spLocks noChangeShapeType="1"/>
          </xdr:cNvSpPr>
        </xdr:nvSpPr>
        <xdr:spPr bwMode="auto">
          <a:xfrm>
            <a:off x="1878652" y="3174237"/>
            <a:ext cx="46185" cy="37766"/>
          </a:xfrm>
          <a:prstGeom prst="line">
            <a:avLst/>
          </a:prstGeom>
          <a:noFill/>
          <a:ln w="9525">
            <a:solidFill>
              <a:srgbClr val="000000"/>
            </a:solidFill>
            <a:round/>
            <a:headEnd/>
            <a:tailEnd/>
          </a:ln>
        </xdr:spPr>
      </xdr:sp>
      <xdr:sp macro="" textlink="">
        <xdr:nvSpPr>
          <xdr:cNvPr id="88" name="Line 54">
            <a:extLst>
              <a:ext uri="{FF2B5EF4-FFF2-40B4-BE49-F238E27FC236}">
                <a16:creationId xmlns:a16="http://schemas.microsoft.com/office/drawing/2014/main" id="{E30BAB93-7B37-4CB4-BE2F-F24F858D9C53}"/>
              </a:ext>
            </a:extLst>
          </xdr:cNvPr>
          <xdr:cNvSpPr>
            <a:spLocks noChangeShapeType="1"/>
          </xdr:cNvSpPr>
        </xdr:nvSpPr>
        <xdr:spPr bwMode="auto">
          <a:xfrm>
            <a:off x="1878652" y="3221610"/>
            <a:ext cx="46185" cy="38430"/>
          </a:xfrm>
          <a:prstGeom prst="line">
            <a:avLst/>
          </a:prstGeom>
          <a:noFill/>
          <a:ln w="9525">
            <a:solidFill>
              <a:srgbClr val="000000"/>
            </a:solidFill>
            <a:round/>
            <a:headEnd/>
            <a:tailEnd/>
          </a:ln>
        </xdr:spPr>
      </xdr:sp>
      <xdr:cxnSp macro="">
        <xdr:nvCxnSpPr>
          <xdr:cNvPr id="56" name="Straight Arrow Connector 55">
            <a:extLst>
              <a:ext uri="{FF2B5EF4-FFF2-40B4-BE49-F238E27FC236}">
                <a16:creationId xmlns:a16="http://schemas.microsoft.com/office/drawing/2014/main" id="{0464B9F1-D04F-45BB-8639-3C76DF73908D}"/>
              </a:ext>
            </a:extLst>
          </xdr:cNvPr>
          <xdr:cNvCxnSpPr/>
        </xdr:nvCxnSpPr>
        <xdr:spPr bwMode="auto">
          <a:xfrm flipV="1">
            <a:off x="1880720" y="3275609"/>
            <a:ext cx="0" cy="329731"/>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57" name="TextBox 56">
            <a:extLst>
              <a:ext uri="{FF2B5EF4-FFF2-40B4-BE49-F238E27FC236}">
                <a16:creationId xmlns:a16="http://schemas.microsoft.com/office/drawing/2014/main" id="{342C9424-5CE0-478C-B723-A16199F4FB24}"/>
              </a:ext>
            </a:extLst>
          </xdr:cNvPr>
          <xdr:cNvSpPr txBox="1"/>
        </xdr:nvSpPr>
        <xdr:spPr>
          <a:xfrm>
            <a:off x="1847828" y="3350509"/>
            <a:ext cx="305190" cy="25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D</a:t>
            </a:r>
          </a:p>
        </xdr:txBody>
      </xdr:sp>
      <xdr:sp macro="" textlink="">
        <xdr:nvSpPr>
          <xdr:cNvPr id="59" name="Arc 58">
            <a:extLst>
              <a:ext uri="{FF2B5EF4-FFF2-40B4-BE49-F238E27FC236}">
                <a16:creationId xmlns:a16="http://schemas.microsoft.com/office/drawing/2014/main" id="{420589C3-FCA3-4337-AFA0-341F6280E7F3}"/>
              </a:ext>
            </a:extLst>
          </xdr:cNvPr>
          <xdr:cNvSpPr/>
        </xdr:nvSpPr>
        <xdr:spPr bwMode="auto">
          <a:xfrm>
            <a:off x="1757612" y="2957384"/>
            <a:ext cx="323964" cy="350198"/>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60" name="TextBox 59">
            <a:extLst>
              <a:ext uri="{FF2B5EF4-FFF2-40B4-BE49-F238E27FC236}">
                <a16:creationId xmlns:a16="http://schemas.microsoft.com/office/drawing/2014/main" id="{5779912F-9B2F-450A-ACA1-A5E0FAC240B5}"/>
              </a:ext>
            </a:extLst>
          </xdr:cNvPr>
          <xdr:cNvSpPr txBox="1"/>
        </xdr:nvSpPr>
        <xdr:spPr>
          <a:xfrm>
            <a:off x="2002263" y="3133299"/>
            <a:ext cx="348116" cy="2534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D</a:t>
            </a:r>
          </a:p>
        </xdr:txBody>
      </xdr:sp>
      <xdr:sp macro="" textlink="">
        <xdr:nvSpPr>
          <xdr:cNvPr id="54" name="TextBox 53">
            <a:extLst>
              <a:ext uri="{FF2B5EF4-FFF2-40B4-BE49-F238E27FC236}">
                <a16:creationId xmlns:a16="http://schemas.microsoft.com/office/drawing/2014/main" id="{7025D39B-1FBD-4BEB-8584-81A9E3B0C814}"/>
              </a:ext>
            </a:extLst>
          </xdr:cNvPr>
          <xdr:cNvSpPr txBox="1"/>
        </xdr:nvSpPr>
        <xdr:spPr>
          <a:xfrm>
            <a:off x="580034" y="2808226"/>
            <a:ext cx="535676" cy="247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W=wc</a:t>
            </a:r>
            <a:endParaRPr lang="en-CA" sz="1000" baseline="-25000"/>
          </a:p>
        </xdr:txBody>
      </xdr:sp>
      <xdr:cxnSp macro="">
        <xdr:nvCxnSpPr>
          <xdr:cNvPr id="69" name="Straight Arrow Connector 68">
            <a:extLst>
              <a:ext uri="{FF2B5EF4-FFF2-40B4-BE49-F238E27FC236}">
                <a16:creationId xmlns:a16="http://schemas.microsoft.com/office/drawing/2014/main" id="{1AAC287B-3ED4-4BCA-8302-D2D776C2A134}"/>
              </a:ext>
            </a:extLst>
          </xdr:cNvPr>
          <xdr:cNvCxnSpPr/>
        </xdr:nvCxnSpPr>
        <xdr:spPr bwMode="auto">
          <a:xfrm>
            <a:off x="1031733" y="2800492"/>
            <a:ext cx="0" cy="336579"/>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70" name="Straight Arrow Connector 69">
            <a:extLst>
              <a:ext uri="{FF2B5EF4-FFF2-40B4-BE49-F238E27FC236}">
                <a16:creationId xmlns:a16="http://schemas.microsoft.com/office/drawing/2014/main" id="{709F838D-0AE0-4603-92DE-4628E7E8929E}"/>
              </a:ext>
            </a:extLst>
          </xdr:cNvPr>
          <xdr:cNvCxnSpPr/>
        </xdr:nvCxnSpPr>
        <xdr:spPr bwMode="auto">
          <a:xfrm>
            <a:off x="1171168" y="2800492"/>
            <a:ext cx="0" cy="336579"/>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71" name="Straight Arrow Connector 70">
            <a:extLst>
              <a:ext uri="{FF2B5EF4-FFF2-40B4-BE49-F238E27FC236}">
                <a16:creationId xmlns:a16="http://schemas.microsoft.com/office/drawing/2014/main" id="{C251D855-6F16-435C-BF4A-287164DFD35E}"/>
              </a:ext>
            </a:extLst>
          </xdr:cNvPr>
          <xdr:cNvCxnSpPr/>
        </xdr:nvCxnSpPr>
        <xdr:spPr bwMode="auto">
          <a:xfrm>
            <a:off x="1308683" y="2800492"/>
            <a:ext cx="0" cy="336579"/>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74" name="Straight Arrow Connector 73">
            <a:extLst>
              <a:ext uri="{FF2B5EF4-FFF2-40B4-BE49-F238E27FC236}">
                <a16:creationId xmlns:a16="http://schemas.microsoft.com/office/drawing/2014/main" id="{65E4918F-FB69-4808-8399-6CC785057525}"/>
              </a:ext>
            </a:extLst>
          </xdr:cNvPr>
          <xdr:cNvCxnSpPr/>
        </xdr:nvCxnSpPr>
        <xdr:spPr bwMode="auto">
          <a:xfrm>
            <a:off x="1448117" y="2800492"/>
            <a:ext cx="0" cy="336579"/>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78" name="Straight Connector 77">
            <a:extLst>
              <a:ext uri="{FF2B5EF4-FFF2-40B4-BE49-F238E27FC236}">
                <a16:creationId xmlns:a16="http://schemas.microsoft.com/office/drawing/2014/main" id="{5171AEBC-97F4-461F-9298-44C7AE2C3C80}"/>
              </a:ext>
            </a:extLst>
          </xdr:cNvPr>
          <xdr:cNvCxnSpPr/>
        </xdr:nvCxnSpPr>
        <xdr:spPr bwMode="auto">
          <a:xfrm>
            <a:off x="1030702" y="2798944"/>
            <a:ext cx="41867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8" name="Straight Connector 57">
            <a:extLst>
              <a:ext uri="{FF2B5EF4-FFF2-40B4-BE49-F238E27FC236}">
                <a16:creationId xmlns:a16="http://schemas.microsoft.com/office/drawing/2014/main" id="{A52691B7-5410-4186-8B24-3849CBF79D2E}"/>
              </a:ext>
            </a:extLst>
          </xdr:cNvPr>
          <xdr:cNvCxnSpPr/>
        </xdr:nvCxnSpPr>
        <xdr:spPr bwMode="auto">
          <a:xfrm>
            <a:off x="1028965" y="2518587"/>
            <a:ext cx="0" cy="22643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79" name="Straight Connector 78">
            <a:extLst>
              <a:ext uri="{FF2B5EF4-FFF2-40B4-BE49-F238E27FC236}">
                <a16:creationId xmlns:a16="http://schemas.microsoft.com/office/drawing/2014/main" id="{35DCB69F-D8B0-4623-9A30-CFB8395282FC}"/>
              </a:ext>
            </a:extLst>
          </xdr:cNvPr>
          <xdr:cNvCxnSpPr/>
        </xdr:nvCxnSpPr>
        <xdr:spPr bwMode="auto">
          <a:xfrm>
            <a:off x="1453498" y="2518587"/>
            <a:ext cx="0" cy="22643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80" name="Straight Arrow Connector 79">
            <a:extLst>
              <a:ext uri="{FF2B5EF4-FFF2-40B4-BE49-F238E27FC236}">
                <a16:creationId xmlns:a16="http://schemas.microsoft.com/office/drawing/2014/main" id="{E2C60FC3-E6DA-46FC-9A4C-5B57E6D8D60D}"/>
              </a:ext>
            </a:extLst>
          </xdr:cNvPr>
          <xdr:cNvCxnSpPr/>
        </xdr:nvCxnSpPr>
        <xdr:spPr bwMode="auto">
          <a:xfrm>
            <a:off x="612796" y="2574809"/>
            <a:ext cx="417906" cy="0"/>
          </a:xfrm>
          <a:prstGeom prst="straightConnector1">
            <a:avLst/>
          </a:prstGeom>
          <a:solidFill>
            <a:srgbClr val="FFFFFF"/>
          </a:solidFill>
          <a:ln w="9525" cap="flat" cmpd="sng" algn="ctr">
            <a:solidFill>
              <a:srgbClr val="000000"/>
            </a:solidFill>
            <a:prstDash val="solid"/>
            <a:round/>
            <a:headEnd type="arrow"/>
            <a:tailEnd type="arrow"/>
          </a:ln>
          <a:effectLst/>
        </xdr:spPr>
      </xdr:cxnSp>
      <xdr:cxnSp macro="">
        <xdr:nvCxnSpPr>
          <xdr:cNvPr id="81" name="Straight Arrow Connector 80">
            <a:extLst>
              <a:ext uri="{FF2B5EF4-FFF2-40B4-BE49-F238E27FC236}">
                <a16:creationId xmlns:a16="http://schemas.microsoft.com/office/drawing/2014/main" id="{02B60F54-B809-4E8A-B151-A803F7035CEA}"/>
              </a:ext>
            </a:extLst>
          </xdr:cNvPr>
          <xdr:cNvCxnSpPr/>
        </xdr:nvCxnSpPr>
        <xdr:spPr bwMode="auto">
          <a:xfrm>
            <a:off x="1450567" y="2574809"/>
            <a:ext cx="415547" cy="0"/>
          </a:xfrm>
          <a:prstGeom prst="straightConnector1">
            <a:avLst/>
          </a:prstGeom>
          <a:solidFill>
            <a:srgbClr val="FFFFFF"/>
          </a:solidFill>
          <a:ln w="9525" cap="flat" cmpd="sng" algn="ctr">
            <a:solidFill>
              <a:srgbClr val="000000"/>
            </a:solidFill>
            <a:prstDash val="solid"/>
            <a:round/>
            <a:headEnd type="arrow"/>
            <a:tailEnd type="arrow"/>
          </a:ln>
          <a:effectLst/>
        </xdr:spPr>
      </xdr:cxnSp>
      <xdr:cxnSp macro="">
        <xdr:nvCxnSpPr>
          <xdr:cNvPr id="82" name="Straight Arrow Connector 81">
            <a:extLst>
              <a:ext uri="{FF2B5EF4-FFF2-40B4-BE49-F238E27FC236}">
                <a16:creationId xmlns:a16="http://schemas.microsoft.com/office/drawing/2014/main" id="{2F9168A6-36C5-430A-A0FB-C1B06A5804D8}"/>
              </a:ext>
            </a:extLst>
          </xdr:cNvPr>
          <xdr:cNvCxnSpPr/>
        </xdr:nvCxnSpPr>
        <xdr:spPr bwMode="auto">
          <a:xfrm>
            <a:off x="1026035" y="2574809"/>
            <a:ext cx="429199"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89" name="TextBox 88">
            <a:extLst>
              <a:ext uri="{FF2B5EF4-FFF2-40B4-BE49-F238E27FC236}">
                <a16:creationId xmlns:a16="http://schemas.microsoft.com/office/drawing/2014/main" id="{B4D32441-159B-4A8D-AD6F-0CE7A12A5A69}"/>
              </a:ext>
            </a:extLst>
          </xdr:cNvPr>
          <xdr:cNvSpPr txBox="1"/>
        </xdr:nvSpPr>
        <xdr:spPr>
          <a:xfrm>
            <a:off x="705128" y="2377002"/>
            <a:ext cx="225928" cy="249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d</a:t>
            </a:r>
            <a:endParaRPr lang="en-CA" sz="1000" baseline="-25000"/>
          </a:p>
        </xdr:txBody>
      </xdr:sp>
      <xdr:sp macro="" textlink="">
        <xdr:nvSpPr>
          <xdr:cNvPr id="90" name="TextBox 89">
            <a:extLst>
              <a:ext uri="{FF2B5EF4-FFF2-40B4-BE49-F238E27FC236}">
                <a16:creationId xmlns:a16="http://schemas.microsoft.com/office/drawing/2014/main" id="{0A7A35D4-894D-474C-8AA8-FDCC1E75E333}"/>
              </a:ext>
            </a:extLst>
          </xdr:cNvPr>
          <xdr:cNvSpPr txBox="1"/>
        </xdr:nvSpPr>
        <xdr:spPr>
          <a:xfrm>
            <a:off x="1124228" y="2377002"/>
            <a:ext cx="225499" cy="249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sp macro="" textlink="">
        <xdr:nvSpPr>
          <xdr:cNvPr id="91" name="TextBox 90">
            <a:extLst>
              <a:ext uri="{FF2B5EF4-FFF2-40B4-BE49-F238E27FC236}">
                <a16:creationId xmlns:a16="http://schemas.microsoft.com/office/drawing/2014/main" id="{0057054E-549A-426E-89DB-3A4031794749}"/>
              </a:ext>
            </a:extLst>
          </xdr:cNvPr>
          <xdr:cNvSpPr txBox="1"/>
        </xdr:nvSpPr>
        <xdr:spPr>
          <a:xfrm>
            <a:off x="1539969" y="2377002"/>
            <a:ext cx="225928" cy="249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92" name="Straight Connector 91">
            <a:extLst>
              <a:ext uri="{FF2B5EF4-FFF2-40B4-BE49-F238E27FC236}">
                <a16:creationId xmlns:a16="http://schemas.microsoft.com/office/drawing/2014/main" id="{B422DC9D-F756-4FA8-8042-ED34F4E910D9}"/>
              </a:ext>
            </a:extLst>
          </xdr:cNvPr>
          <xdr:cNvCxnSpPr/>
        </xdr:nvCxnSpPr>
        <xdr:spPr bwMode="auto">
          <a:xfrm>
            <a:off x="1028965" y="3261835"/>
            <a:ext cx="0" cy="22709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93" name="Straight Arrow Connector 92">
            <a:extLst>
              <a:ext uri="{FF2B5EF4-FFF2-40B4-BE49-F238E27FC236}">
                <a16:creationId xmlns:a16="http://schemas.microsoft.com/office/drawing/2014/main" id="{C6CAB8F1-8A67-4273-9144-71589428C81F}"/>
              </a:ext>
            </a:extLst>
          </xdr:cNvPr>
          <xdr:cNvCxnSpPr/>
        </xdr:nvCxnSpPr>
        <xdr:spPr bwMode="auto">
          <a:xfrm>
            <a:off x="1040697" y="3434866"/>
            <a:ext cx="825071"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94" name="TextBox 93">
            <a:extLst>
              <a:ext uri="{FF2B5EF4-FFF2-40B4-BE49-F238E27FC236}">
                <a16:creationId xmlns:a16="http://schemas.microsoft.com/office/drawing/2014/main" id="{FEB261EF-CF55-4F96-94EB-476AA0C9723D}"/>
              </a:ext>
            </a:extLst>
          </xdr:cNvPr>
          <xdr:cNvSpPr txBox="1"/>
        </xdr:nvSpPr>
        <xdr:spPr>
          <a:xfrm>
            <a:off x="1344182" y="3384925"/>
            <a:ext cx="226661" cy="249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95" name="TextBox 94">
            <a:extLst>
              <a:ext uri="{FF2B5EF4-FFF2-40B4-BE49-F238E27FC236}">
                <a16:creationId xmlns:a16="http://schemas.microsoft.com/office/drawing/2014/main" id="{AF0FE4CE-89D8-42C6-A210-51E173CABE81}"/>
              </a:ext>
            </a:extLst>
          </xdr:cNvPr>
          <xdr:cNvSpPr txBox="1"/>
        </xdr:nvSpPr>
        <xdr:spPr>
          <a:xfrm>
            <a:off x="1340021" y="3125203"/>
            <a:ext cx="259269" cy="2447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sp macro="" textlink="">
        <xdr:nvSpPr>
          <xdr:cNvPr id="96" name="TextBox 95">
            <a:extLst>
              <a:ext uri="{FF2B5EF4-FFF2-40B4-BE49-F238E27FC236}">
                <a16:creationId xmlns:a16="http://schemas.microsoft.com/office/drawing/2014/main" id="{73B6EF4A-A48A-499C-87AD-2736CA50E38E}"/>
              </a:ext>
            </a:extLst>
          </xdr:cNvPr>
          <xdr:cNvSpPr txBox="1"/>
        </xdr:nvSpPr>
        <xdr:spPr>
          <a:xfrm>
            <a:off x="963668" y="3167020"/>
            <a:ext cx="259269" cy="2447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08" t="s">
        <v>18</v>
      </c>
      <c r="C16" s="108"/>
      <c r="D16" s="108"/>
      <c r="E16" s="108"/>
      <c r="F16" s="108"/>
      <c r="G16" s="108"/>
      <c r="H16" s="108"/>
      <c r="I16" s="108"/>
      <c r="J16" s="108"/>
      <c r="M16" s="26"/>
      <c r="N16" s="26"/>
      <c r="O16" s="26"/>
      <c r="P16" s="26"/>
      <c r="Q16" s="26"/>
      <c r="R16" s="27"/>
      <c r="S16" s="27"/>
      <c r="T16" s="23"/>
      <c r="U16" s="23"/>
      <c r="V16" s="23"/>
      <c r="W16" s="23"/>
      <c r="X16" s="23"/>
      <c r="Y16" s="23"/>
    </row>
    <row r="17" spans="1:25" s="5" customFormat="1" ht="12.75" x14ac:dyDescent="0.2">
      <c r="B17" s="108"/>
      <c r="C17" s="108"/>
      <c r="D17" s="108"/>
      <c r="E17" s="108"/>
      <c r="F17" s="108"/>
      <c r="G17" s="108"/>
      <c r="H17" s="108"/>
      <c r="I17" s="108"/>
      <c r="J17" s="108"/>
      <c r="M17" s="26"/>
      <c r="N17" s="26"/>
      <c r="O17" s="26"/>
      <c r="P17" s="26"/>
      <c r="Q17" s="26"/>
      <c r="R17" s="27"/>
      <c r="S17" s="27"/>
      <c r="T17" s="23"/>
      <c r="U17" s="23"/>
      <c r="V17" s="23"/>
      <c r="W17" s="23"/>
      <c r="X17" s="23"/>
      <c r="Y17" s="23"/>
    </row>
    <row r="18" spans="1:25" s="5" customFormat="1" ht="12.75" x14ac:dyDescent="0.2">
      <c r="B18" s="108"/>
      <c r="C18" s="108"/>
      <c r="D18" s="108"/>
      <c r="E18" s="108"/>
      <c r="F18" s="108"/>
      <c r="G18" s="108"/>
      <c r="H18" s="108"/>
      <c r="I18" s="108"/>
      <c r="J18" s="108"/>
      <c r="M18" s="26"/>
      <c r="N18" s="26"/>
      <c r="O18" s="26"/>
      <c r="P18" s="26"/>
      <c r="Q18" s="26"/>
      <c r="R18" s="27"/>
      <c r="S18" s="27"/>
      <c r="T18" s="23"/>
      <c r="U18" s="23"/>
      <c r="V18" s="23"/>
      <c r="W18" s="23"/>
      <c r="X18" s="23"/>
      <c r="Y18" s="23"/>
    </row>
    <row r="19" spans="1:25" s="5" customFormat="1" ht="12.75" x14ac:dyDescent="0.2">
      <c r="B19" s="108"/>
      <c r="C19" s="108"/>
      <c r="D19" s="108"/>
      <c r="E19" s="108"/>
      <c r="F19" s="108"/>
      <c r="G19" s="108"/>
      <c r="H19" s="108"/>
      <c r="I19" s="108"/>
      <c r="J19" s="108"/>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08" t="s">
        <v>19</v>
      </c>
      <c r="C22" s="108"/>
      <c r="D22" s="108"/>
      <c r="E22" s="108"/>
      <c r="F22" s="108"/>
      <c r="G22" s="108"/>
      <c r="H22" s="108"/>
      <c r="I22" s="108"/>
      <c r="J22" s="108"/>
      <c r="K22" s="19"/>
      <c r="M22" s="26"/>
      <c r="N22" s="26"/>
      <c r="O22" s="26"/>
      <c r="P22" s="26"/>
      <c r="Q22" s="26"/>
      <c r="R22" s="27"/>
      <c r="S22" s="27"/>
      <c r="T22" s="23"/>
      <c r="U22" s="23"/>
      <c r="V22" s="23"/>
      <c r="W22" s="23"/>
      <c r="X22" s="23"/>
      <c r="Y22" s="23"/>
    </row>
    <row r="23" spans="1:25" s="5" customFormat="1" ht="12.75" x14ac:dyDescent="0.2">
      <c r="A23" s="19"/>
      <c r="B23" s="108"/>
      <c r="C23" s="108"/>
      <c r="D23" s="108"/>
      <c r="E23" s="108"/>
      <c r="F23" s="108"/>
      <c r="G23" s="108"/>
      <c r="H23" s="108"/>
      <c r="I23" s="108"/>
      <c r="J23" s="108"/>
      <c r="K23" s="19"/>
      <c r="M23" s="26"/>
      <c r="N23" s="26"/>
      <c r="O23" s="26"/>
      <c r="P23" s="26"/>
      <c r="Q23" s="26"/>
      <c r="R23" s="27"/>
      <c r="S23" s="30"/>
      <c r="T23" s="23"/>
      <c r="U23" s="23"/>
      <c r="V23" s="23"/>
      <c r="W23" s="23"/>
      <c r="X23" s="23"/>
      <c r="Y23" s="23"/>
    </row>
    <row r="24" spans="1:25" s="5" customFormat="1" ht="12.75" x14ac:dyDescent="0.2">
      <c r="A24" s="19"/>
      <c r="B24" s="108"/>
      <c r="C24" s="108"/>
      <c r="D24" s="108"/>
      <c r="E24" s="108"/>
      <c r="F24" s="108"/>
      <c r="G24" s="108"/>
      <c r="H24" s="108"/>
      <c r="I24" s="108"/>
      <c r="J24" s="108"/>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08" t="s">
        <v>21</v>
      </c>
      <c r="C26" s="108"/>
      <c r="D26" s="108"/>
      <c r="E26" s="108"/>
      <c r="F26" s="108"/>
      <c r="G26" s="108"/>
      <c r="H26" s="108"/>
      <c r="I26" s="108"/>
      <c r="J26" s="108"/>
      <c r="K26" s="19"/>
      <c r="M26" s="26"/>
      <c r="N26" s="26"/>
      <c r="O26" s="26"/>
      <c r="P26" s="26"/>
      <c r="Q26" s="26"/>
      <c r="R26" s="27"/>
      <c r="S26" s="27"/>
      <c r="T26" s="23"/>
      <c r="U26" s="23"/>
      <c r="V26" s="23"/>
      <c r="W26" s="23"/>
      <c r="X26" s="23"/>
      <c r="Y26" s="23"/>
    </row>
    <row r="27" spans="1:25" s="5" customFormat="1" ht="12.75" x14ac:dyDescent="0.2">
      <c r="A27" s="19"/>
      <c r="B27" s="108"/>
      <c r="C27" s="108"/>
      <c r="D27" s="108"/>
      <c r="E27" s="108"/>
      <c r="F27" s="108"/>
      <c r="G27" s="108"/>
      <c r="H27" s="108"/>
      <c r="I27" s="108"/>
      <c r="J27" s="108"/>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08" t="s">
        <v>22</v>
      </c>
      <c r="C29" s="108"/>
      <c r="D29" s="108"/>
      <c r="E29" s="108"/>
      <c r="F29" s="108"/>
      <c r="G29" s="108"/>
      <c r="H29" s="108"/>
      <c r="I29" s="108"/>
      <c r="J29" s="108"/>
      <c r="K29" s="19"/>
      <c r="M29" s="26"/>
      <c r="N29" s="26"/>
      <c r="O29" s="26"/>
      <c r="P29" s="26"/>
      <c r="Q29" s="26"/>
      <c r="R29" s="27"/>
      <c r="S29" s="27"/>
      <c r="T29" s="23"/>
      <c r="U29" s="23"/>
      <c r="V29" s="23"/>
      <c r="W29" s="23"/>
      <c r="X29" s="23"/>
      <c r="Y29" s="23"/>
    </row>
    <row r="30" spans="1:25" s="5" customFormat="1" ht="12.75" customHeight="1" x14ac:dyDescent="0.2">
      <c r="A30" s="19"/>
      <c r="B30" s="108"/>
      <c r="C30" s="108"/>
      <c r="D30" s="108"/>
      <c r="E30" s="108"/>
      <c r="F30" s="108"/>
      <c r="G30" s="108"/>
      <c r="H30" s="108"/>
      <c r="I30" s="108"/>
      <c r="J30" s="108"/>
      <c r="K30" s="19"/>
      <c r="M30" s="26"/>
      <c r="N30" s="26"/>
      <c r="O30" s="26"/>
      <c r="P30" s="26"/>
      <c r="Q30" s="26"/>
      <c r="R30" s="27"/>
      <c r="S30" s="27"/>
      <c r="T30" s="23"/>
      <c r="U30" s="23"/>
      <c r="V30" s="23"/>
      <c r="W30" s="23"/>
      <c r="X30" s="23"/>
      <c r="Y30" s="23"/>
    </row>
    <row r="31" spans="1:25" s="5" customFormat="1" ht="12.75" customHeight="1" x14ac:dyDescent="0.2">
      <c r="A31" s="19"/>
      <c r="B31" s="108"/>
      <c r="C31" s="108"/>
      <c r="D31" s="108"/>
      <c r="E31" s="108"/>
      <c r="F31" s="108"/>
      <c r="G31" s="108"/>
      <c r="H31" s="108"/>
      <c r="I31" s="108"/>
      <c r="J31" s="108"/>
      <c r="K31" s="19"/>
      <c r="M31" s="26"/>
      <c r="N31" s="26"/>
      <c r="O31" s="26"/>
      <c r="P31" s="26"/>
      <c r="Q31" s="26"/>
      <c r="R31" s="27"/>
      <c r="S31" s="27"/>
      <c r="T31" s="23"/>
      <c r="U31" s="23"/>
      <c r="V31" s="23"/>
      <c r="W31" s="23"/>
      <c r="X31" s="23"/>
      <c r="Y31" s="23"/>
    </row>
    <row r="32" spans="1:25" s="5" customFormat="1" ht="12.75" customHeight="1" x14ac:dyDescent="0.2">
      <c r="A32" s="19"/>
      <c r="B32" s="108"/>
      <c r="C32" s="108"/>
      <c r="D32" s="108"/>
      <c r="E32" s="108"/>
      <c r="F32" s="108"/>
      <c r="G32" s="108"/>
      <c r="H32" s="108"/>
      <c r="I32" s="108"/>
      <c r="J32" s="108"/>
      <c r="K32" s="19"/>
      <c r="M32" s="26"/>
      <c r="N32" s="26"/>
      <c r="O32" s="26"/>
      <c r="P32" s="26"/>
      <c r="Q32" s="26"/>
      <c r="R32" s="27"/>
      <c r="S32" s="27"/>
      <c r="T32" s="23"/>
      <c r="U32" s="23"/>
      <c r="V32" s="23"/>
      <c r="W32" s="23"/>
      <c r="X32" s="23"/>
      <c r="Y32" s="23"/>
    </row>
    <row r="33" spans="1:25" s="5" customFormat="1" ht="12.75" customHeight="1" x14ac:dyDescent="0.2">
      <c r="A33" s="19"/>
      <c r="B33" s="108"/>
      <c r="C33" s="108"/>
      <c r="D33" s="108"/>
      <c r="E33" s="108"/>
      <c r="F33" s="108"/>
      <c r="G33" s="108"/>
      <c r="H33" s="108"/>
      <c r="I33" s="108"/>
      <c r="J33" s="108"/>
      <c r="K33" s="19"/>
      <c r="M33" s="26"/>
      <c r="N33" s="26"/>
      <c r="O33" s="26"/>
      <c r="P33" s="26"/>
      <c r="Q33" s="26"/>
      <c r="R33" s="27"/>
      <c r="S33" s="30"/>
      <c r="T33" s="23"/>
      <c r="U33" s="23"/>
      <c r="V33" s="23"/>
      <c r="W33" s="23"/>
      <c r="X33" s="23"/>
      <c r="Y33" s="23"/>
    </row>
    <row r="34" spans="1:25" s="5" customFormat="1" ht="12.75" x14ac:dyDescent="0.2">
      <c r="A34" s="19"/>
      <c r="B34" s="32"/>
      <c r="C34" s="32"/>
      <c r="D34" s="110" t="s">
        <v>14</v>
      </c>
      <c r="E34" s="110"/>
      <c r="F34" s="110"/>
      <c r="G34" s="110"/>
      <c r="H34" s="110"/>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08" t="s">
        <v>23</v>
      </c>
      <c r="C38" s="108"/>
      <c r="D38" s="108"/>
      <c r="E38" s="108"/>
      <c r="F38" s="108"/>
      <c r="G38" s="108"/>
      <c r="H38" s="108"/>
      <c r="I38" s="108"/>
      <c r="J38" s="108"/>
      <c r="K38" s="19"/>
      <c r="M38" s="26"/>
      <c r="N38" s="26"/>
      <c r="O38" s="26"/>
      <c r="P38" s="26"/>
      <c r="Q38" s="26"/>
      <c r="R38" s="27"/>
      <c r="S38" s="27"/>
      <c r="T38" s="23"/>
      <c r="U38" s="23"/>
      <c r="V38" s="23"/>
      <c r="W38" s="23"/>
      <c r="X38" s="23"/>
      <c r="Y38" s="23"/>
    </row>
    <row r="39" spans="1:25" s="5" customFormat="1" ht="12.75" x14ac:dyDescent="0.2">
      <c r="A39" s="19"/>
      <c r="B39" s="108"/>
      <c r="C39" s="108"/>
      <c r="D39" s="108"/>
      <c r="E39" s="108"/>
      <c r="F39" s="108"/>
      <c r="G39" s="108"/>
      <c r="H39" s="108"/>
      <c r="I39" s="108"/>
      <c r="J39" s="108"/>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08" t="s">
        <v>24</v>
      </c>
      <c r="C41" s="108"/>
      <c r="D41" s="108"/>
      <c r="E41" s="108"/>
      <c r="F41" s="108"/>
      <c r="G41" s="108"/>
      <c r="H41" s="108"/>
      <c r="I41" s="108"/>
      <c r="J41" s="108"/>
      <c r="K41" s="19"/>
      <c r="M41" s="26"/>
      <c r="N41" s="26"/>
      <c r="O41" s="26"/>
      <c r="P41" s="26"/>
      <c r="Q41" s="26"/>
      <c r="R41" s="27"/>
      <c r="S41" s="27"/>
      <c r="T41" s="23"/>
      <c r="U41" s="23"/>
      <c r="V41" s="23"/>
      <c r="W41" s="23"/>
      <c r="X41" s="23"/>
      <c r="Y41" s="23"/>
    </row>
    <row r="42" spans="1:25" s="5" customFormat="1" ht="12.75" x14ac:dyDescent="0.2">
      <c r="A42" s="19"/>
      <c r="B42" s="108"/>
      <c r="C42" s="108"/>
      <c r="D42" s="108"/>
      <c r="E42" s="108"/>
      <c r="F42" s="108"/>
      <c r="G42" s="108"/>
      <c r="H42" s="108"/>
      <c r="I42" s="108"/>
      <c r="J42" s="108"/>
      <c r="K42" s="19"/>
      <c r="M42" s="26"/>
      <c r="N42" s="26"/>
      <c r="O42" s="26"/>
      <c r="P42" s="26"/>
      <c r="Q42" s="26"/>
      <c r="R42" s="27"/>
      <c r="S42" s="27"/>
      <c r="T42" s="23"/>
      <c r="U42" s="23"/>
      <c r="V42" s="23"/>
      <c r="W42" s="23"/>
      <c r="X42" s="23"/>
      <c r="Y42" s="23"/>
    </row>
    <row r="43" spans="1:25" s="5" customFormat="1" ht="12.75" x14ac:dyDescent="0.2">
      <c r="A43" s="19"/>
      <c r="B43" s="108"/>
      <c r="C43" s="108"/>
      <c r="D43" s="108"/>
      <c r="E43" s="108"/>
      <c r="F43" s="108"/>
      <c r="G43" s="108"/>
      <c r="H43" s="108"/>
      <c r="I43" s="108"/>
      <c r="J43" s="108"/>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08" t="s">
        <v>17</v>
      </c>
      <c r="C45" s="108"/>
      <c r="D45" s="108"/>
      <c r="E45" s="108"/>
      <c r="F45" s="108"/>
      <c r="G45" s="108"/>
      <c r="H45" s="108"/>
      <c r="I45" s="108"/>
      <c r="J45" s="108"/>
      <c r="K45" s="19"/>
      <c r="M45" s="26"/>
      <c r="N45" s="26"/>
      <c r="O45" s="26"/>
      <c r="P45" s="26"/>
      <c r="Q45" s="26"/>
      <c r="R45" s="27"/>
      <c r="S45" s="27"/>
      <c r="T45" s="23"/>
      <c r="U45" s="23"/>
      <c r="V45" s="23"/>
      <c r="W45" s="23"/>
      <c r="X45" s="23"/>
      <c r="Y45" s="23"/>
    </row>
    <row r="46" spans="1:25" s="5" customFormat="1" ht="12.75" x14ac:dyDescent="0.2">
      <c r="A46" s="19"/>
      <c r="B46" s="108"/>
      <c r="C46" s="108"/>
      <c r="D46" s="108"/>
      <c r="E46" s="108"/>
      <c r="F46" s="108"/>
      <c r="G46" s="108"/>
      <c r="H46" s="108"/>
      <c r="I46" s="108"/>
      <c r="J46" s="108"/>
      <c r="K46" s="19"/>
      <c r="M46" s="26"/>
      <c r="N46" s="26"/>
      <c r="O46" s="26"/>
      <c r="P46" s="26"/>
      <c r="Q46" s="26"/>
      <c r="R46" s="27"/>
      <c r="S46" s="27"/>
      <c r="T46" s="23"/>
      <c r="U46" s="23"/>
      <c r="V46" s="23"/>
      <c r="W46" s="23"/>
      <c r="X46" s="23"/>
      <c r="Y46" s="23"/>
    </row>
    <row r="47" spans="1:25" s="5" customFormat="1" ht="12.75" x14ac:dyDescent="0.2">
      <c r="A47" s="19"/>
      <c r="B47" s="108"/>
      <c r="C47" s="108"/>
      <c r="D47" s="108"/>
      <c r="E47" s="108"/>
      <c r="F47" s="108"/>
      <c r="G47" s="108"/>
      <c r="H47" s="108"/>
      <c r="I47" s="108"/>
      <c r="J47" s="108"/>
      <c r="K47" s="19"/>
      <c r="M47" s="26"/>
      <c r="N47" s="26"/>
      <c r="O47" s="26"/>
      <c r="P47" s="26"/>
      <c r="Q47" s="26"/>
      <c r="R47" s="27"/>
      <c r="S47" s="27"/>
      <c r="T47" s="23"/>
      <c r="U47" s="23"/>
      <c r="V47" s="23"/>
      <c r="W47" s="23"/>
      <c r="X47" s="23"/>
      <c r="Y47" s="23"/>
    </row>
    <row r="48" spans="1:25" s="5" customFormat="1" ht="12.75" customHeight="1" x14ac:dyDescent="0.2">
      <c r="A48" s="19"/>
      <c r="B48" s="108"/>
      <c r="C48" s="108"/>
      <c r="D48" s="108"/>
      <c r="E48" s="108"/>
      <c r="F48" s="108"/>
      <c r="G48" s="108"/>
      <c r="H48" s="108"/>
      <c r="I48" s="108"/>
      <c r="J48" s="108"/>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9" t="s">
        <v>28</v>
      </c>
      <c r="C54" s="109"/>
      <c r="D54" s="109"/>
      <c r="E54" s="109"/>
      <c r="F54" s="109"/>
      <c r="G54" s="109"/>
      <c r="H54" s="109"/>
      <c r="I54" s="109"/>
      <c r="J54" s="109"/>
      <c r="K54" s="19"/>
      <c r="M54" s="26"/>
      <c r="N54" s="26"/>
      <c r="O54" s="26"/>
      <c r="P54" s="26"/>
      <c r="Q54" s="26"/>
      <c r="R54" s="27"/>
      <c r="S54" s="27"/>
      <c r="T54" s="23"/>
      <c r="U54" s="23"/>
      <c r="V54" s="23"/>
      <c r="W54" s="23"/>
      <c r="X54" s="23"/>
      <c r="Y54" s="23"/>
    </row>
    <row r="55" spans="1:25" s="5" customFormat="1" ht="12.75" x14ac:dyDescent="0.2">
      <c r="A55" s="19"/>
      <c r="B55" s="109"/>
      <c r="C55" s="109"/>
      <c r="D55" s="109"/>
      <c r="E55" s="109"/>
      <c r="F55" s="109"/>
      <c r="G55" s="109"/>
      <c r="H55" s="109"/>
      <c r="I55" s="109"/>
      <c r="J55" s="109"/>
      <c r="K55" s="19"/>
      <c r="M55" s="26"/>
      <c r="N55" s="26"/>
      <c r="O55" s="26"/>
      <c r="P55" s="26"/>
      <c r="Q55" s="26"/>
      <c r="R55" s="27"/>
      <c r="S55" s="27"/>
      <c r="T55" s="23"/>
      <c r="U55" s="23"/>
      <c r="V55" s="23"/>
      <c r="W55" s="23"/>
      <c r="X55" s="23"/>
      <c r="Y55" s="23"/>
    </row>
    <row r="56" spans="1:25" s="5" customFormat="1" ht="12.75" x14ac:dyDescent="0.2">
      <c r="A56" s="19"/>
      <c r="B56" s="109"/>
      <c r="C56" s="109"/>
      <c r="D56" s="109"/>
      <c r="E56" s="109"/>
      <c r="F56" s="109"/>
      <c r="G56" s="109"/>
      <c r="H56" s="109"/>
      <c r="I56" s="109"/>
      <c r="J56" s="109"/>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topLeftCell="A8" zoomScale="85" zoomScaleNormal="100" zoomScaleSheetLayoutView="85" workbookViewId="0">
      <selection activeCell="P51" sqref="P51"/>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87" t="s">
        <v>90</v>
      </c>
      <c r="N1" s="87" t="s">
        <v>84</v>
      </c>
      <c r="O1" s="87" t="s">
        <v>89</v>
      </c>
      <c r="P1" s="87" t="s">
        <v>89</v>
      </c>
      <c r="Q1" s="87" t="s">
        <v>89</v>
      </c>
      <c r="R1" s="87" t="s">
        <v>88</v>
      </c>
      <c r="S1" s="86" t="s">
        <v>87</v>
      </c>
      <c r="T1" s="85" t="s">
        <v>86</v>
      </c>
      <c r="W1" s="6" t="s">
        <v>85</v>
      </c>
      <c r="X1" s="7">
        <f>SUM(M:M)</f>
        <v>1</v>
      </c>
    </row>
    <row r="2" spans="1:39" s="5" customFormat="1" ht="12.75" x14ac:dyDescent="0.2">
      <c r="A2" s="1"/>
      <c r="B2" s="2" t="s">
        <v>2</v>
      </c>
      <c r="C2" s="3" t="s">
        <v>7</v>
      </c>
      <c r="D2" s="1"/>
      <c r="E2" s="1"/>
      <c r="F2" s="2" t="s">
        <v>5</v>
      </c>
      <c r="G2" s="3" t="s">
        <v>103</v>
      </c>
      <c r="H2" s="1"/>
      <c r="I2" s="1"/>
      <c r="J2" s="1"/>
      <c r="K2" s="1"/>
      <c r="M2" s="75" t="s">
        <v>83</v>
      </c>
      <c r="N2" s="75" t="s">
        <v>83</v>
      </c>
      <c r="O2" s="75" t="s">
        <v>84</v>
      </c>
      <c r="P2" s="75" t="s">
        <v>84</v>
      </c>
      <c r="Q2" s="75" t="s">
        <v>84</v>
      </c>
      <c r="R2" s="75" t="s">
        <v>83</v>
      </c>
      <c r="S2" s="84" t="s">
        <v>83</v>
      </c>
      <c r="T2" s="80"/>
      <c r="W2" s="6" t="s">
        <v>82</v>
      </c>
      <c r="X2" s="7">
        <f>SUM(N:N)</f>
        <v>0</v>
      </c>
    </row>
    <row r="3" spans="1:39" s="5" customFormat="1" ht="12.75" x14ac:dyDescent="0.2">
      <c r="A3" s="1"/>
      <c r="B3" s="2" t="s">
        <v>3</v>
      </c>
      <c r="C3" s="8" t="s">
        <v>81</v>
      </c>
      <c r="D3" s="1"/>
      <c r="E3" s="1"/>
      <c r="F3" s="2" t="s">
        <v>4</v>
      </c>
      <c r="G3" s="3" t="s">
        <v>80</v>
      </c>
      <c r="H3" s="1"/>
      <c r="I3" s="1"/>
      <c r="J3" s="1"/>
      <c r="K3" s="1"/>
      <c r="M3" s="75"/>
      <c r="N3" s="75"/>
      <c r="O3" s="75"/>
      <c r="P3" s="75"/>
      <c r="Q3" s="75"/>
      <c r="R3" s="75"/>
      <c r="S3" s="84"/>
      <c r="T3" s="80"/>
      <c r="W3" s="6" t="s">
        <v>78</v>
      </c>
      <c r="X3" s="7">
        <f>SUM(O:O)</f>
        <v>0</v>
      </c>
    </row>
    <row r="4" spans="1:39" s="5" customFormat="1" ht="12.75" x14ac:dyDescent="0.2">
      <c r="A4" s="1"/>
      <c r="B4" s="2" t="s">
        <v>9</v>
      </c>
      <c r="C4" s="4"/>
      <c r="D4" s="1"/>
      <c r="E4" s="1"/>
      <c r="F4" s="2" t="s">
        <v>10</v>
      </c>
      <c r="G4" s="3" t="s">
        <v>104</v>
      </c>
      <c r="H4" s="1"/>
      <c r="I4" s="1"/>
      <c r="J4" s="1"/>
      <c r="K4" s="1"/>
      <c r="M4" s="75"/>
      <c r="N4" s="75"/>
      <c r="O4" s="75"/>
      <c r="P4" s="75"/>
      <c r="Q4" s="83"/>
      <c r="R4" s="82"/>
      <c r="S4" s="81"/>
      <c r="T4" s="80"/>
      <c r="W4" s="6" t="s">
        <v>78</v>
      </c>
      <c r="X4" s="7">
        <f>SUM(P:P)</f>
        <v>0</v>
      </c>
    </row>
    <row r="5" spans="1:39" s="5" customFormat="1" ht="12.75" x14ac:dyDescent="0.2">
      <c r="A5" s="1"/>
      <c r="B5" s="2" t="s">
        <v>11</v>
      </c>
      <c r="C5" s="4" t="s">
        <v>79</v>
      </c>
      <c r="D5" s="1"/>
      <c r="E5" s="2"/>
      <c r="F5" s="1"/>
      <c r="G5" s="1"/>
      <c r="H5" s="1"/>
      <c r="I5" s="1"/>
      <c r="J5" s="1"/>
      <c r="K5" s="1"/>
      <c r="M5" s="75"/>
      <c r="N5" s="75"/>
      <c r="O5" s="75"/>
      <c r="P5" s="75"/>
      <c r="Q5" s="83"/>
      <c r="R5" s="82"/>
      <c r="S5" s="81"/>
      <c r="T5" s="80"/>
      <c r="W5" s="6" t="s">
        <v>78</v>
      </c>
      <c r="X5" s="7">
        <f>SUM(Q:Q)</f>
        <v>0</v>
      </c>
    </row>
    <row r="6" spans="1:39" s="5" customFormat="1" ht="12.75" x14ac:dyDescent="0.2">
      <c r="A6" s="1"/>
      <c r="B6" s="1" t="s">
        <v>6</v>
      </c>
      <c r="C6" s="9"/>
      <c r="D6" s="1"/>
      <c r="E6" s="1"/>
      <c r="F6" s="1"/>
      <c r="G6" s="1"/>
      <c r="H6" s="1"/>
      <c r="I6" s="1"/>
      <c r="J6" s="1"/>
      <c r="K6" s="1"/>
      <c r="M6" s="75"/>
      <c r="N6" s="75"/>
      <c r="O6" s="75"/>
      <c r="P6" s="75"/>
      <c r="Q6" s="83"/>
      <c r="R6" s="82"/>
      <c r="S6" s="81"/>
      <c r="T6" s="80"/>
      <c r="W6" s="6" t="s">
        <v>77</v>
      </c>
      <c r="X6" s="7">
        <f>SUM(R:R)</f>
        <v>0</v>
      </c>
      <c r="Y6" s="57"/>
      <c r="Z6" s="37"/>
      <c r="AA6" s="57"/>
      <c r="AB6" s="57"/>
      <c r="AC6" s="69"/>
    </row>
    <row r="7" spans="1:39" s="5" customFormat="1" ht="12.75" x14ac:dyDescent="0.2">
      <c r="A7" s="1"/>
      <c r="B7" s="1"/>
      <c r="C7" s="1"/>
      <c r="D7" s="1"/>
      <c r="E7" s="1"/>
      <c r="F7" s="1"/>
      <c r="G7" s="1"/>
      <c r="H7" s="1"/>
      <c r="I7" s="1"/>
      <c r="J7" s="1"/>
      <c r="K7" s="1"/>
      <c r="M7" s="75"/>
      <c r="N7" s="75"/>
      <c r="O7" s="75"/>
      <c r="P7" s="75"/>
      <c r="Q7" s="83"/>
      <c r="R7" s="82"/>
      <c r="S7" s="81"/>
      <c r="T7" s="80"/>
      <c r="W7" s="6" t="s">
        <v>76</v>
      </c>
      <c r="X7" s="7">
        <f>SUM(S:S)</f>
        <v>0</v>
      </c>
      <c r="Y7" s="69"/>
      <c r="Z7" s="59"/>
      <c r="AA7" s="79"/>
      <c r="AB7" s="78"/>
      <c r="AC7" s="57"/>
    </row>
    <row r="8" spans="1:39" s="5" customFormat="1" ht="12.75" x14ac:dyDescent="0.2">
      <c r="A8" s="16"/>
      <c r="E8" s="6" t="s">
        <v>1</v>
      </c>
      <c r="F8" s="7" t="str">
        <f>$C$1</f>
        <v>R. Abbott</v>
      </c>
      <c r="H8" s="10"/>
      <c r="I8" s="6" t="s">
        <v>75</v>
      </c>
      <c r="J8" s="11" t="str">
        <f>$G$2</f>
        <v>AA-SM-026-023</v>
      </c>
      <c r="K8" s="12"/>
      <c r="L8" s="13"/>
      <c r="M8" s="75"/>
      <c r="N8" s="75"/>
      <c r="O8" s="75"/>
      <c r="P8" s="75"/>
      <c r="Q8" s="75"/>
      <c r="R8" s="75"/>
      <c r="S8" s="75"/>
      <c r="T8" s="75"/>
      <c r="Y8" s="57"/>
      <c r="Z8" s="67"/>
      <c r="AA8" s="37"/>
      <c r="AB8" s="77"/>
      <c r="AC8" s="57"/>
    </row>
    <row r="9" spans="1:39" s="5" customFormat="1" ht="12.75" x14ac:dyDescent="0.2">
      <c r="E9" s="6" t="s">
        <v>2</v>
      </c>
      <c r="F9" s="10" t="str">
        <f>$C$2</f>
        <v xml:space="preserve"> </v>
      </c>
      <c r="H9" s="10"/>
      <c r="I9" s="6" t="s">
        <v>74</v>
      </c>
      <c r="J9" s="12" t="str">
        <f>$G$3</f>
        <v>IR</v>
      </c>
      <c r="K9" s="12"/>
      <c r="L9" s="13"/>
      <c r="M9" s="75">
        <v>1</v>
      </c>
      <c r="N9" s="75"/>
      <c r="O9" s="75"/>
      <c r="P9" s="75"/>
      <c r="Q9" s="75"/>
      <c r="R9" s="75"/>
      <c r="S9" s="75"/>
      <c r="T9" s="75"/>
      <c r="Y9" s="57"/>
      <c r="Z9" s="76"/>
      <c r="AA9" s="57"/>
      <c r="AB9" s="57"/>
      <c r="AC9" s="57"/>
    </row>
    <row r="10" spans="1:39" s="5" customFormat="1" ht="12.75" x14ac:dyDescent="0.2">
      <c r="E10" s="6" t="s">
        <v>3</v>
      </c>
      <c r="F10" s="10" t="str">
        <f>$C$3</f>
        <v>18/09/2016</v>
      </c>
      <c r="H10" s="10"/>
      <c r="I10" s="6" t="s">
        <v>73</v>
      </c>
      <c r="J10" s="7" t="str">
        <f>L10&amp;" of "&amp;$G$1</f>
        <v>1 of 1</v>
      </c>
      <c r="K10" s="10"/>
      <c r="L10" s="13">
        <f>SUM($M$1:M9)</f>
        <v>1</v>
      </c>
      <c r="M10" s="75"/>
      <c r="N10" s="75"/>
      <c r="O10" s="75"/>
      <c r="P10" s="75"/>
      <c r="Q10" s="75"/>
      <c r="R10" s="75"/>
      <c r="S10" s="75"/>
      <c r="T10" s="75"/>
      <c r="Y10" s="57"/>
      <c r="Z10" s="57"/>
      <c r="AA10" s="57"/>
      <c r="AB10" s="57"/>
      <c r="AC10" s="57"/>
    </row>
    <row r="11" spans="1:39" s="5" customFormat="1" ht="14.25" x14ac:dyDescent="0.25">
      <c r="E11" s="6" t="s">
        <v>72</v>
      </c>
      <c r="F11" s="10" t="str">
        <f>$C$5</f>
        <v>STANDARD SPREADSHEET METHOD</v>
      </c>
      <c r="I11" s="14"/>
      <c r="J11" s="7"/>
      <c r="M11" s="75"/>
      <c r="N11" s="75"/>
      <c r="O11" s="75"/>
      <c r="P11" s="75"/>
      <c r="Q11" s="75"/>
      <c r="R11" s="75"/>
      <c r="S11" s="75"/>
      <c r="T11" s="75"/>
      <c r="W11" s="59" t="s">
        <v>71</v>
      </c>
      <c r="X11" s="57">
        <v>0</v>
      </c>
      <c r="Y11" s="57" t="s">
        <v>39</v>
      </c>
      <c r="Z11" s="57"/>
      <c r="AA11" s="57"/>
      <c r="AB11" s="57"/>
      <c r="AC11" s="57"/>
    </row>
    <row r="12" spans="1:39" s="37" customFormat="1" x14ac:dyDescent="0.25">
      <c r="A12" s="39"/>
      <c r="B12" s="15" t="str">
        <f>$G$4</f>
        <v>SIMPLE BEAMS - SINGLE SPAN - FIXED AND SIMPLY SUPPORTED - UDL PARTIAL SPAN</v>
      </c>
      <c r="C12" s="39"/>
      <c r="D12" s="39"/>
      <c r="E12" s="39"/>
      <c r="F12" s="5"/>
      <c r="G12" s="5"/>
      <c r="H12" s="5"/>
      <c r="I12" s="14"/>
      <c r="J12" s="7"/>
      <c r="K12" s="5"/>
      <c r="L12" s="5"/>
      <c r="M12" s="75"/>
      <c r="N12" s="75"/>
      <c r="O12" s="74"/>
      <c r="P12" s="74"/>
      <c r="Q12" s="74"/>
      <c r="R12" s="74"/>
      <c r="S12" s="74"/>
      <c r="T12" s="74"/>
      <c r="U12" s="38"/>
      <c r="W12" s="59" t="s">
        <v>70</v>
      </c>
      <c r="X12" s="57">
        <v>0</v>
      </c>
      <c r="Y12" s="57" t="s">
        <v>42</v>
      </c>
      <c r="Z12" s="57"/>
      <c r="AA12" s="57"/>
      <c r="AB12" s="57"/>
      <c r="AC12" s="73"/>
      <c r="AL12" s="40"/>
      <c r="AM12" s="40"/>
    </row>
    <row r="13" spans="1:39" s="36" customFormat="1" ht="14.25" x14ac:dyDescent="0.25">
      <c r="A13" s="71"/>
      <c r="B13" s="111" t="s">
        <v>69</v>
      </c>
      <c r="C13" s="111"/>
      <c r="D13" s="111"/>
      <c r="E13" s="71" t="s">
        <v>68</v>
      </c>
      <c r="F13" s="72"/>
      <c r="G13" s="72"/>
      <c r="H13" s="72"/>
      <c r="I13" s="71"/>
      <c r="J13" s="71"/>
      <c r="K13" s="71"/>
      <c r="M13" s="35"/>
      <c r="N13" s="35"/>
      <c r="O13" s="35"/>
      <c r="P13" s="35"/>
      <c r="Q13" s="35"/>
      <c r="R13" s="35"/>
      <c r="S13" s="35"/>
      <c r="T13" s="35"/>
      <c r="U13" s="34"/>
      <c r="W13" s="59" t="s">
        <v>67</v>
      </c>
      <c r="X13" s="59">
        <v>0</v>
      </c>
      <c r="Y13" s="57" t="s">
        <v>32</v>
      </c>
      <c r="Z13" s="37"/>
      <c r="AA13" s="37"/>
      <c r="AB13" s="37"/>
      <c r="AC13" s="37"/>
    </row>
    <row r="14" spans="1:39" s="37" customFormat="1" ht="14.25" x14ac:dyDescent="0.25">
      <c r="A14" s="57"/>
      <c r="B14" s="70"/>
      <c r="C14" s="57"/>
      <c r="D14" s="57"/>
      <c r="E14" s="69"/>
      <c r="F14" s="68" t="s">
        <v>91</v>
      </c>
      <c r="G14" s="59" t="s">
        <v>65</v>
      </c>
      <c r="H14" s="64">
        <v>10000000</v>
      </c>
      <c r="I14" s="57" t="s">
        <v>64</v>
      </c>
      <c r="J14" s="56"/>
      <c r="K14" s="56"/>
      <c r="L14" s="38"/>
      <c r="M14" s="35"/>
      <c r="N14" s="35"/>
      <c r="O14" s="35"/>
      <c r="P14" s="35"/>
      <c r="Q14" s="35"/>
      <c r="R14" s="35"/>
      <c r="S14" s="35"/>
      <c r="T14" s="35"/>
      <c r="U14" s="34"/>
      <c r="V14" s="38"/>
      <c r="W14" s="59" t="s">
        <v>66</v>
      </c>
      <c r="X14" s="57">
        <v>0</v>
      </c>
      <c r="Y14" s="57" t="s">
        <v>37</v>
      </c>
    </row>
    <row r="15" spans="1:39" s="37" customFormat="1" ht="12.75" x14ac:dyDescent="0.2">
      <c r="G15" s="59" t="s">
        <v>55</v>
      </c>
      <c r="H15" s="66">
        <v>0.01</v>
      </c>
      <c r="I15" s="57" t="s">
        <v>54</v>
      </c>
      <c r="J15" s="56"/>
      <c r="K15" s="56"/>
      <c r="L15" s="38"/>
      <c r="M15" s="35"/>
      <c r="N15" s="35"/>
      <c r="O15" s="35"/>
      <c r="P15" s="35"/>
      <c r="Q15" s="35"/>
      <c r="R15" s="35"/>
      <c r="S15" s="35"/>
      <c r="T15" s="35"/>
      <c r="U15" s="34"/>
      <c r="V15" s="38"/>
    </row>
    <row r="16" spans="1:39" s="37" customFormat="1" ht="12.75" x14ac:dyDescent="0.2">
      <c r="G16" s="59" t="s">
        <v>53</v>
      </c>
      <c r="H16" s="112">
        <v>15</v>
      </c>
      <c r="I16" s="57" t="s">
        <v>52</v>
      </c>
      <c r="J16" s="56"/>
      <c r="K16" s="56"/>
      <c r="L16" s="38"/>
      <c r="M16" s="35"/>
      <c r="N16" s="35"/>
      <c r="O16" s="35"/>
      <c r="P16" s="35"/>
      <c r="Q16" s="35"/>
      <c r="R16" s="35"/>
      <c r="S16" s="35"/>
      <c r="T16" s="35"/>
      <c r="U16" s="34"/>
      <c r="V16" s="38"/>
      <c r="Y16" s="88">
        <f>H22</f>
        <v>35.1</v>
      </c>
    </row>
    <row r="17" spans="1:32" s="37" customFormat="1" ht="14.25" x14ac:dyDescent="0.25">
      <c r="G17" s="59" t="s">
        <v>99</v>
      </c>
      <c r="H17" s="112">
        <v>6</v>
      </c>
      <c r="I17" s="57" t="s">
        <v>32</v>
      </c>
      <c r="J17" s="56"/>
      <c r="L17" s="38"/>
      <c r="M17" s="35"/>
      <c r="N17" s="35"/>
      <c r="O17" s="35"/>
      <c r="P17" s="35"/>
      <c r="Q17" s="35"/>
      <c r="R17" s="35"/>
      <c r="S17" s="35"/>
      <c r="T17" s="35"/>
      <c r="U17" s="34"/>
      <c r="V17" s="38"/>
      <c r="W17" s="67" t="s">
        <v>63</v>
      </c>
      <c r="X17" s="67" t="s">
        <v>62</v>
      </c>
      <c r="Y17" s="67" t="s">
        <v>61</v>
      </c>
      <c r="Z17" s="67" t="s">
        <v>60</v>
      </c>
      <c r="AA17" s="67" t="s">
        <v>59</v>
      </c>
      <c r="AB17" s="67" t="s">
        <v>58</v>
      </c>
      <c r="AC17" s="67" t="s">
        <v>57</v>
      </c>
      <c r="AD17" s="67" t="s">
        <v>56</v>
      </c>
    </row>
    <row r="18" spans="1:32" s="37" customFormat="1" ht="12.75" x14ac:dyDescent="0.2">
      <c r="G18" s="59" t="s">
        <v>100</v>
      </c>
      <c r="H18" s="112">
        <v>11.4</v>
      </c>
      <c r="I18" s="57" t="s">
        <v>32</v>
      </c>
      <c r="J18" s="56"/>
      <c r="L18" s="38"/>
      <c r="M18" s="35"/>
      <c r="N18" s="35"/>
      <c r="O18" s="35"/>
      <c r="P18" s="35"/>
      <c r="Q18" s="35"/>
      <c r="R18" s="35"/>
      <c r="S18" s="35"/>
      <c r="T18" s="35"/>
      <c r="U18" s="34"/>
      <c r="V18" s="38"/>
      <c r="W18" s="43">
        <f>X11</f>
        <v>0</v>
      </c>
      <c r="X18" s="43">
        <f>B27</f>
        <v>20.573935200000001</v>
      </c>
      <c r="Y18" s="43">
        <f>B35</f>
        <v>-2.6317629000000013E-3</v>
      </c>
      <c r="Z18" s="40">
        <f>X12</f>
        <v>0</v>
      </c>
      <c r="AA18" s="65" t="e">
        <f>#REF!</f>
        <v>#REF!</v>
      </c>
      <c r="AB18" s="40">
        <f>X13</f>
        <v>0</v>
      </c>
      <c r="AC18" s="40">
        <f>X14</f>
        <v>0</v>
      </c>
      <c r="AD18" s="40">
        <f>B31</f>
        <v>68.525107016446086</v>
      </c>
    </row>
    <row r="19" spans="1:32" s="37" customFormat="1" ht="12.75" x14ac:dyDescent="0.2">
      <c r="G19" s="59" t="s">
        <v>101</v>
      </c>
      <c r="H19" s="113">
        <f>H18-H17</f>
        <v>5.4</v>
      </c>
      <c r="I19" s="57" t="s">
        <v>32</v>
      </c>
      <c r="K19" s="56"/>
      <c r="L19" s="38"/>
      <c r="M19" s="35"/>
      <c r="N19" s="35"/>
      <c r="O19" s="35"/>
      <c r="P19" s="35"/>
      <c r="Q19" s="35"/>
      <c r="R19" s="35"/>
      <c r="S19" s="35"/>
      <c r="T19" s="35"/>
      <c r="U19" s="34"/>
      <c r="V19" s="38"/>
      <c r="W19" s="38"/>
      <c r="X19" s="38"/>
      <c r="Y19" s="38"/>
      <c r="Z19" s="41"/>
      <c r="AA19" s="41"/>
      <c r="AB19" s="41"/>
      <c r="AC19" s="43" t="s">
        <v>51</v>
      </c>
      <c r="AD19" s="43" t="s">
        <v>50</v>
      </c>
      <c r="AE19" s="49" t="s">
        <v>49</v>
      </c>
      <c r="AF19" s="48" t="s">
        <v>48</v>
      </c>
    </row>
    <row r="20" spans="1:32" s="37" customFormat="1" ht="12.75" x14ac:dyDescent="0.2">
      <c r="G20" s="59" t="s">
        <v>102</v>
      </c>
      <c r="H20" s="113">
        <f>H16-H18</f>
        <v>3.5999999999999996</v>
      </c>
      <c r="I20" s="57" t="s">
        <v>32</v>
      </c>
      <c r="J20" s="56"/>
      <c r="K20" s="56"/>
      <c r="L20" s="38"/>
      <c r="M20" s="35"/>
      <c r="N20" s="35"/>
      <c r="O20" s="35"/>
      <c r="P20" s="35"/>
      <c r="Q20" s="35"/>
      <c r="R20" s="35"/>
      <c r="S20" s="35"/>
      <c r="T20" s="35"/>
      <c r="U20" s="34"/>
      <c r="V20" s="38"/>
      <c r="W20" s="38"/>
      <c r="X20" s="43" t="s">
        <v>51</v>
      </c>
      <c r="Y20" s="43" t="s">
        <v>50</v>
      </c>
      <c r="Z20" s="49" t="s">
        <v>49</v>
      </c>
      <c r="AA20" s="48" t="s">
        <v>48</v>
      </c>
      <c r="AB20" s="48"/>
      <c r="AC20" s="40" t="s">
        <v>45</v>
      </c>
      <c r="AD20" s="40" t="s">
        <v>47</v>
      </c>
      <c r="AE20" s="40" t="s">
        <v>46</v>
      </c>
      <c r="AF20" s="63" t="s">
        <v>45</v>
      </c>
    </row>
    <row r="21" spans="1:32" s="37" customFormat="1" ht="12.75" x14ac:dyDescent="0.2">
      <c r="G21" s="59" t="s">
        <v>93</v>
      </c>
      <c r="H21" s="112">
        <v>6.5</v>
      </c>
      <c r="I21" s="57" t="s">
        <v>95</v>
      </c>
      <c r="K21" s="56"/>
      <c r="L21" s="38"/>
      <c r="M21" s="35"/>
      <c r="N21" s="35"/>
      <c r="O21" s="35"/>
      <c r="P21" s="35"/>
      <c r="Q21" s="35"/>
      <c r="R21" s="35"/>
      <c r="S21" s="35"/>
      <c r="T21" s="35"/>
      <c r="U21" s="34"/>
      <c r="V21" s="38"/>
      <c r="W21" s="38"/>
      <c r="X21" s="40" t="s">
        <v>45</v>
      </c>
      <c r="Y21" s="40" t="s">
        <v>47</v>
      </c>
      <c r="Z21" s="40" t="s">
        <v>46</v>
      </c>
      <c r="AA21" s="63" t="s">
        <v>45</v>
      </c>
      <c r="AB21" s="48"/>
      <c r="AC21" s="40">
        <v>0</v>
      </c>
      <c r="AD21" s="50">
        <f t="shared" ref="AD21:AD31" si="0">INDEX($Y$22:$Y$56,MATCH(AC21,$X$22:$X$56,0))</f>
        <v>14.526064800000002</v>
      </c>
      <c r="AE21" s="50">
        <f>INDEX($Z$22:$Z$56,MATCH(AC21,$X$22:$X$56,0))</f>
        <v>0</v>
      </c>
    </row>
    <row r="22" spans="1:32" s="37" customFormat="1" ht="12.75" x14ac:dyDescent="0.2">
      <c r="G22" s="59" t="s">
        <v>92</v>
      </c>
      <c r="H22" s="114">
        <f>H21*(H18-H17)</f>
        <v>35.1</v>
      </c>
      <c r="I22" s="57" t="s">
        <v>94</v>
      </c>
      <c r="L22" s="38"/>
      <c r="M22" s="35"/>
      <c r="N22" s="35"/>
      <c r="O22" s="35"/>
      <c r="P22" s="35"/>
      <c r="Q22" s="35"/>
      <c r="R22" s="35"/>
      <c r="S22" s="35"/>
      <c r="T22" s="35"/>
      <c r="U22" s="34"/>
      <c r="V22" s="38"/>
      <c r="W22" s="40">
        <v>0</v>
      </c>
      <c r="X22" s="40">
        <v>0</v>
      </c>
      <c r="Y22" s="93">
        <f>IF(X22&gt;($H$16-$H$17),$B$25-$H$22,IF(X22&gt;($H$16-$H$18),$B$25-$H$22*((X22-$H$20)/$H$19),$B$25))</f>
        <v>14.526064800000002</v>
      </c>
      <c r="Z22" s="49">
        <f>IF(X22&gt;($H$16-$H$17),$B$25*X22-$H$22*(X22-$H$20-$H$19/2),IF(X22&gt;($H$16-$H$18),$B$25*X22-($H$22*(X22-$H$20)^2)/(2*$H$19),$B$25*X22))</f>
        <v>0</v>
      </c>
      <c r="AA22" s="92">
        <f t="shared" ref="AA22:AA40" si="1">IF(X22&gt;($H$16-$H$17),(1/($H$14*$H$15))*($B$25*((X22^3/6)-($H$16^2*X22/2)+($H$16^3/3))+$H$22*((1/6)*($H$17+($H$19/2))^3-(1/2)*($H$17+$H$19/2)^2*$H$16-(1/6)*(X22-$H$20-$H$19/2)^3+(1/2)*($H$17+$H$19/2)^2*X22)),IF(X22&gt;($H$16-$H$18),(1/($H$14*$H$15))*($B$25*((X22^3/6)-($H$16^2*X22/2))+$H$22*X22*(($H$17^2/2)+($H$17*$H$19/2)+($H$19^2/6))-$H$22*(X22-$H$20)^4/(24*$H$19)),(1/($H$14*$H$15))*($B$25*((X22^3/6)-($H$16^2*X22/2))+$H$22*X22*(($H$17^2/2)+($H$17*$H$19/2)+($H$19^2/6)))))</f>
        <v>0</v>
      </c>
      <c r="AB22" s="48"/>
      <c r="AC22" s="47">
        <f t="array" ref="AC22:AC55">IF(ISERROR(SMALL(X22:X56,ROW()-ROW(X21))),"",SMALL(X22:X56,ROW()-ROW(X21)))</f>
        <v>0</v>
      </c>
      <c r="AD22" s="50">
        <f t="shared" si="0"/>
        <v>14.526064800000002</v>
      </c>
      <c r="AE22" s="50">
        <f>INDEX($Z$22:$Z$56,MATCH(AC22,$X$22:$X$56,0))</f>
        <v>0</v>
      </c>
      <c r="AF22" s="65">
        <f>INDEX($AA$22:$AA$56,MATCH(AC22,$X$22:$X$56,0))</f>
        <v>0</v>
      </c>
    </row>
    <row r="23" spans="1:32" s="37" customFormat="1" ht="12.75" x14ac:dyDescent="0.2">
      <c r="B23" s="62" t="s">
        <v>44</v>
      </c>
      <c r="C23" s="61"/>
      <c r="D23" s="60"/>
      <c r="L23" s="38"/>
      <c r="M23" s="35"/>
      <c r="N23" s="35"/>
      <c r="O23" s="35"/>
      <c r="P23" s="35"/>
      <c r="Q23" s="35"/>
      <c r="R23" s="35"/>
      <c r="S23" s="35"/>
      <c r="T23" s="35"/>
      <c r="U23" s="34"/>
      <c r="V23" s="38"/>
      <c r="W23" s="43">
        <v>1</v>
      </c>
      <c r="X23" s="51">
        <f>H16/MAX(W22:W55)*W23</f>
        <v>0.5</v>
      </c>
      <c r="Y23" s="93">
        <f t="shared" ref="Y23:Y56" si="2">IF(X23&gt;($H$16-$H$17),$B$25-$H$22,IF(X23&gt;($H$16-$H$18),$B$25-$H$22*((X23-$H$20)/$H$19),$B$25))</f>
        <v>14.526064800000002</v>
      </c>
      <c r="Z23" s="49">
        <f t="shared" ref="Z23:Z56" si="3">IF(X23&gt;($H$16-$H$17),$B$25*X23-$H$22*(X23-$H$20-$H$19/2),IF(X23&gt;($H$16-$H$18),$B$25*X23-($H$22*(X23-$H$20)^2)/(2*$H$19),$B$25*X23))</f>
        <v>7.2630324000000011</v>
      </c>
      <c r="AA23" s="92">
        <f t="shared" si="1"/>
        <v>-1.3128551865000009E-3</v>
      </c>
      <c r="AB23" s="48"/>
      <c r="AC23" s="47">
        <v>0.5</v>
      </c>
      <c r="AD23" s="50">
        <f t="shared" si="0"/>
        <v>14.526064800000002</v>
      </c>
      <c r="AE23" s="50">
        <f t="shared" ref="AE23:AE54" si="4">INDEX($Z$22:$Z$56,MATCH(AC23,$X$22:$X$56,0))</f>
        <v>7.2630324000000011</v>
      </c>
      <c r="AF23" s="65">
        <f t="shared" ref="AF23:AF55" si="5">INDEX($AA$22:$AA$56,MATCH(AC23,$X$22:$X$56,0))</f>
        <v>-1.3128551865000009E-3</v>
      </c>
    </row>
    <row r="24" spans="1:32" s="37" customFormat="1" ht="14.25" x14ac:dyDescent="0.25">
      <c r="A24" s="59" t="s">
        <v>71</v>
      </c>
      <c r="B24" s="37" t="str">
        <f ca="1">[1]!xlv(B25)</f>
        <v>W / (8 × L³) × (4 × L × (a² + a × b + b²) - a³ - a × b² - a² × b - b³)</v>
      </c>
      <c r="L24" s="38"/>
      <c r="M24" s="35"/>
      <c r="N24" s="35"/>
      <c r="O24" s="35"/>
      <c r="P24" s="35"/>
      <c r="Q24" s="35"/>
      <c r="R24" s="35"/>
      <c r="S24" s="35"/>
      <c r="T24" s="35"/>
      <c r="U24" s="34"/>
      <c r="V24" s="38"/>
      <c r="W24" s="43">
        <v>2</v>
      </c>
      <c r="X24" s="51">
        <f>H16/MAX(W22:W55)*W24</f>
        <v>1</v>
      </c>
      <c r="Y24" s="93">
        <f t="shared" si="2"/>
        <v>14.526064800000002</v>
      </c>
      <c r="Z24" s="49">
        <f t="shared" si="3"/>
        <v>14.526064800000002</v>
      </c>
      <c r="AA24" s="92">
        <f t="shared" si="1"/>
        <v>-2.6075527920000016E-3</v>
      </c>
      <c r="AB24" s="48"/>
      <c r="AC24" s="47">
        <v>1</v>
      </c>
      <c r="AD24" s="50">
        <f t="shared" si="0"/>
        <v>14.526064800000002</v>
      </c>
      <c r="AE24" s="50">
        <f t="shared" si="4"/>
        <v>14.526064800000002</v>
      </c>
      <c r="AF24" s="65">
        <f t="shared" si="5"/>
        <v>-2.6075527920000016E-3</v>
      </c>
    </row>
    <row r="25" spans="1:32" s="37" customFormat="1" ht="14.25" x14ac:dyDescent="0.25">
      <c r="A25" s="59" t="s">
        <v>71</v>
      </c>
      <c r="B25" s="58">
        <f>H22/(8*H16^3)*(4*H16*(H17^2+H17*H18+H18^2)-H17^3-H17*H18^2-H17^2*H18-H18^3)</f>
        <v>14.526064800000002</v>
      </c>
      <c r="C25" s="57" t="s">
        <v>39</v>
      </c>
      <c r="L25" s="38"/>
      <c r="M25" s="35"/>
      <c r="N25" s="35"/>
      <c r="O25" s="35"/>
      <c r="P25" s="35"/>
      <c r="Q25" s="35"/>
      <c r="R25" s="35"/>
      <c r="S25" s="35"/>
      <c r="T25" s="35"/>
      <c r="U25" s="34"/>
      <c r="V25" s="38"/>
      <c r="W25" s="43">
        <v>3</v>
      </c>
      <c r="X25" s="51">
        <f>H16/MAX(W22:W55)*W25</f>
        <v>1.5</v>
      </c>
      <c r="Y25" s="93">
        <f t="shared" si="2"/>
        <v>14.526064800000002</v>
      </c>
      <c r="Z25" s="49">
        <f t="shared" si="3"/>
        <v>21.789097200000004</v>
      </c>
      <c r="AA25" s="92">
        <f t="shared" si="1"/>
        <v>-3.8659352355000015E-3</v>
      </c>
      <c r="AB25" s="48"/>
      <c r="AC25" s="47">
        <v>1.5</v>
      </c>
      <c r="AD25" s="50">
        <f t="shared" si="0"/>
        <v>14.526064800000002</v>
      </c>
      <c r="AE25" s="50">
        <f t="shared" si="4"/>
        <v>21.789097200000004</v>
      </c>
      <c r="AF25" s="65">
        <f t="shared" si="5"/>
        <v>-3.8659352355000015E-3</v>
      </c>
    </row>
    <row r="26" spans="1:32" s="37" customFormat="1" ht="14.25" x14ac:dyDescent="0.25">
      <c r="A26" s="59" t="s">
        <v>105</v>
      </c>
      <c r="B26" s="37" t="str">
        <f ca="1">[1]!xlv(B27)</f>
        <v>W - RA</v>
      </c>
      <c r="L26" s="38"/>
      <c r="M26" s="35"/>
      <c r="N26" s="35"/>
      <c r="O26" s="35"/>
      <c r="P26" s="35"/>
      <c r="Q26" s="35"/>
      <c r="R26" s="35"/>
      <c r="S26" s="35"/>
      <c r="T26" s="35"/>
      <c r="U26" s="34"/>
      <c r="V26" s="38"/>
      <c r="W26" s="43">
        <v>4</v>
      </c>
      <c r="X26" s="51">
        <f>H16/MAX(W22:W55)*W26</f>
        <v>2</v>
      </c>
      <c r="Y26" s="93">
        <f t="shared" si="2"/>
        <v>14.526064800000002</v>
      </c>
      <c r="Z26" s="49">
        <f t="shared" si="3"/>
        <v>29.052129600000004</v>
      </c>
      <c r="AA26" s="92">
        <f t="shared" si="1"/>
        <v>-5.0698449360000002E-3</v>
      </c>
      <c r="AB26" s="48"/>
      <c r="AC26" s="47">
        <v>2</v>
      </c>
      <c r="AD26" s="50">
        <f t="shared" si="0"/>
        <v>14.526064800000002</v>
      </c>
      <c r="AE26" s="50">
        <f t="shared" si="4"/>
        <v>29.052129600000004</v>
      </c>
      <c r="AF26" s="65">
        <f t="shared" si="5"/>
        <v>-5.0698449360000002E-3</v>
      </c>
    </row>
    <row r="27" spans="1:32" s="37" customFormat="1" ht="12.75" x14ac:dyDescent="0.2">
      <c r="A27" s="59" t="s">
        <v>41</v>
      </c>
      <c r="B27" s="58">
        <f>H22-B25</f>
        <v>20.573935200000001</v>
      </c>
      <c r="C27" s="57" t="s">
        <v>39</v>
      </c>
      <c r="L27" s="38"/>
      <c r="M27" s="35"/>
      <c r="N27" s="35"/>
      <c r="O27" s="35"/>
      <c r="P27" s="35"/>
      <c r="Q27" s="35"/>
      <c r="R27" s="35"/>
      <c r="S27" s="35"/>
      <c r="T27" s="35"/>
      <c r="U27" s="34"/>
      <c r="V27" s="38"/>
      <c r="W27" s="43">
        <v>5</v>
      </c>
      <c r="X27" s="51">
        <f>H16/MAX(W22:W55)*W27</f>
        <v>2.5</v>
      </c>
      <c r="Y27" s="93">
        <f t="shared" si="2"/>
        <v>14.526064800000002</v>
      </c>
      <c r="Z27" s="49">
        <f t="shared" si="3"/>
        <v>36.315162000000008</v>
      </c>
      <c r="AA27" s="92">
        <f t="shared" si="1"/>
        <v>-6.2011243125000013E-3</v>
      </c>
      <c r="AB27" s="48"/>
      <c r="AC27" s="47">
        <v>2.5</v>
      </c>
      <c r="AD27" s="50">
        <f t="shared" si="0"/>
        <v>14.526064800000002</v>
      </c>
      <c r="AE27" s="50">
        <f t="shared" si="4"/>
        <v>36.315162000000008</v>
      </c>
      <c r="AF27" s="65">
        <f t="shared" si="5"/>
        <v>-6.2011243125000013E-3</v>
      </c>
    </row>
    <row r="28" spans="1:32" s="37" customFormat="1" ht="12.75" x14ac:dyDescent="0.2">
      <c r="L28" s="38"/>
      <c r="M28" s="35"/>
      <c r="N28" s="35"/>
      <c r="O28" s="35"/>
      <c r="P28" s="35"/>
      <c r="Q28" s="35"/>
      <c r="R28" s="35"/>
      <c r="S28" s="35"/>
      <c r="T28" s="35"/>
      <c r="U28" s="34"/>
      <c r="V28" s="38"/>
      <c r="W28" s="43">
        <v>6</v>
      </c>
      <c r="X28" s="51">
        <f>H16/MAX(W22:W55)*W28</f>
        <v>3</v>
      </c>
      <c r="Y28" s="93">
        <f t="shared" si="2"/>
        <v>14.526064800000002</v>
      </c>
      <c r="Z28" s="49">
        <f t="shared" si="3"/>
        <v>43.578194400000008</v>
      </c>
      <c r="AA28" s="92">
        <f t="shared" si="1"/>
        <v>-7.2416157839999967E-3</v>
      </c>
      <c r="AB28" s="48"/>
      <c r="AC28" s="47">
        <v>3</v>
      </c>
      <c r="AD28" s="50">
        <f t="shared" si="0"/>
        <v>14.526064800000002</v>
      </c>
      <c r="AE28" s="50">
        <f t="shared" si="4"/>
        <v>43.578194400000008</v>
      </c>
      <c r="AF28" s="65">
        <f t="shared" si="5"/>
        <v>-7.2416157839999967E-3</v>
      </c>
    </row>
    <row r="29" spans="1:32" s="37" customFormat="1" ht="12.75" x14ac:dyDescent="0.2">
      <c r="A29" s="59" t="s">
        <v>96</v>
      </c>
      <c r="B29" s="57" t="str">
        <f ca="1">[1]!xlv(B31)</f>
        <v>RA × (d + (RA × c) / (2 × W))</v>
      </c>
      <c r="G29" s="59" t="s">
        <v>97</v>
      </c>
      <c r="H29" s="57" t="str">
        <f ca="1">[1]!xlv(H31)</f>
        <v xml:space="preserve"> - RA × L + (W / 2) × (a + b)</v>
      </c>
      <c r="L29" s="38"/>
      <c r="M29" s="35"/>
      <c r="N29" s="35"/>
      <c r="O29" s="35"/>
      <c r="P29" s="35"/>
      <c r="Q29" s="35"/>
      <c r="R29" s="35"/>
      <c r="S29" s="35"/>
      <c r="T29" s="35"/>
      <c r="U29" s="34"/>
      <c r="V29" s="38"/>
      <c r="W29" s="43">
        <v>7</v>
      </c>
      <c r="X29" s="51">
        <f>H16/MAX(W22:W55)*W29</f>
        <v>3.5</v>
      </c>
      <c r="Y29" s="93">
        <f t="shared" si="2"/>
        <v>14.526064800000002</v>
      </c>
      <c r="Z29" s="49">
        <f t="shared" si="3"/>
        <v>50.841226800000008</v>
      </c>
      <c r="AA29" s="92">
        <f t="shared" si="1"/>
        <v>-8.1731617695000036E-3</v>
      </c>
      <c r="AB29" s="48"/>
      <c r="AC29" s="47">
        <v>3.5</v>
      </c>
      <c r="AD29" s="50">
        <f t="shared" si="0"/>
        <v>14.526064800000002</v>
      </c>
      <c r="AE29" s="50">
        <f t="shared" si="4"/>
        <v>50.841226800000008</v>
      </c>
      <c r="AF29" s="65">
        <f t="shared" si="5"/>
        <v>-8.1731617695000036E-3</v>
      </c>
    </row>
    <row r="30" spans="1:32" s="37" customFormat="1" ht="12.75" x14ac:dyDescent="0.2">
      <c r="A30" s="59" t="s">
        <v>41</v>
      </c>
      <c r="B30" s="37" t="str">
        <f>[1]!xln(B31)</f>
        <v>14.5 × (3.6 + (14.5 × 5.4) / (2 × 35.1))</v>
      </c>
      <c r="G30" s="59" t="s">
        <v>41</v>
      </c>
      <c r="H30" s="37" t="str">
        <f>[1]!xln(H31)</f>
        <v xml:space="preserve"> - 14.5 × 15 + (35.1 / 2) × (6 + 11.4)</v>
      </c>
      <c r="L30" s="38"/>
      <c r="M30" s="35"/>
      <c r="N30" s="35"/>
      <c r="O30" s="35"/>
      <c r="P30" s="35"/>
      <c r="Q30" s="35"/>
      <c r="R30" s="35"/>
      <c r="S30" s="35"/>
      <c r="T30" s="35"/>
      <c r="U30" s="34"/>
      <c r="V30" s="38"/>
      <c r="W30" s="43">
        <v>8</v>
      </c>
      <c r="X30" s="51">
        <f>H16/MAX(W22:W55)*W30</f>
        <v>4</v>
      </c>
      <c r="Y30" s="93">
        <f t="shared" si="2"/>
        <v>11.926064799999999</v>
      </c>
      <c r="Z30" s="49">
        <f t="shared" si="3"/>
        <v>57.584259200000005</v>
      </c>
      <c r="AA30" s="92">
        <f t="shared" si="1"/>
        <v>-8.9776740213333359E-3</v>
      </c>
      <c r="AB30" s="48"/>
      <c r="AC30" s="47">
        <v>4</v>
      </c>
      <c r="AD30" s="50">
        <f t="shared" si="0"/>
        <v>11.926064799999999</v>
      </c>
      <c r="AE30" s="50">
        <f t="shared" si="4"/>
        <v>57.584259200000005</v>
      </c>
      <c r="AF30" s="65">
        <f t="shared" si="5"/>
        <v>-8.9776740213333359E-3</v>
      </c>
    </row>
    <row r="31" spans="1:32" s="37" customFormat="1" ht="12.75" x14ac:dyDescent="0.2">
      <c r="A31" s="59" t="s">
        <v>41</v>
      </c>
      <c r="B31" s="58">
        <f>B25*(H20+(B25*H19)/(2*H22))</f>
        <v>68.525107016446086</v>
      </c>
      <c r="C31" s="57" t="s">
        <v>98</v>
      </c>
      <c r="D31" s="104">
        <f>(H20+(B25*H19)/(2*H22))</f>
        <v>4.7173895999999997</v>
      </c>
      <c r="E31" s="37" t="s">
        <v>32</v>
      </c>
      <c r="G31" s="59" t="s">
        <v>41</v>
      </c>
      <c r="H31" s="58">
        <f>-B25*H16+(H22/2)*(H17+H18)</f>
        <v>87.479027999999971</v>
      </c>
      <c r="I31" s="57" t="s">
        <v>106</v>
      </c>
      <c r="L31" s="38"/>
      <c r="M31" s="35"/>
      <c r="N31" s="35"/>
      <c r="O31" s="35"/>
      <c r="P31" s="35"/>
      <c r="Q31" s="35"/>
      <c r="R31" s="35"/>
      <c r="S31" s="35"/>
      <c r="T31" s="35"/>
      <c r="U31" s="34"/>
      <c r="V31" s="38"/>
      <c r="W31" s="43">
        <v>9</v>
      </c>
      <c r="X31" s="51">
        <f>H16/MAX(W22:W55)*W31</f>
        <v>4.5</v>
      </c>
      <c r="Y31" s="93">
        <f t="shared" si="2"/>
        <v>8.6760648000000007</v>
      </c>
      <c r="Z31" s="49">
        <f t="shared" si="3"/>
        <v>62.734791600000015</v>
      </c>
      <c r="AA31" s="92">
        <f t="shared" si="1"/>
        <v>-9.6385638959999975E-3</v>
      </c>
      <c r="AB31" s="48"/>
      <c r="AC31" s="47">
        <v>4.5</v>
      </c>
      <c r="AD31" s="50">
        <f t="shared" si="0"/>
        <v>8.6760648000000007</v>
      </c>
      <c r="AE31" s="50">
        <f t="shared" si="4"/>
        <v>62.734791600000015</v>
      </c>
      <c r="AF31" s="65">
        <f t="shared" si="5"/>
        <v>-9.6385638959999975E-3</v>
      </c>
    </row>
    <row r="32" spans="1:32" s="37" customFormat="1" ht="12.75" x14ac:dyDescent="0.2">
      <c r="L32" s="38"/>
      <c r="M32" s="35"/>
      <c r="N32" s="35"/>
      <c r="O32" s="35"/>
      <c r="P32" s="35"/>
      <c r="Q32" s="35"/>
      <c r="R32" s="35"/>
      <c r="S32" s="35"/>
      <c r="T32" s="35"/>
      <c r="U32" s="34"/>
      <c r="V32" s="38"/>
      <c r="W32" s="43">
        <v>10</v>
      </c>
      <c r="X32" s="51">
        <f>H16/MAX(W22:W55)*W32</f>
        <v>5</v>
      </c>
      <c r="Y32" s="93">
        <f t="shared" si="2"/>
        <v>5.4260648000000007</v>
      </c>
      <c r="Z32" s="49">
        <f t="shared" si="3"/>
        <v>66.260324000000011</v>
      </c>
      <c r="AA32" s="92">
        <f t="shared" si="1"/>
        <v>-1.0142955333333337E-2</v>
      </c>
      <c r="AB32" s="48"/>
      <c r="AC32" s="47">
        <v>5</v>
      </c>
      <c r="AD32" s="50">
        <f>INDEX($Y$22:$Y$56,MATCH(AC32,$X$22:$X$56,0))</f>
        <v>5.4260648000000007</v>
      </c>
      <c r="AE32" s="50">
        <f t="shared" si="4"/>
        <v>66.260324000000011</v>
      </c>
      <c r="AF32" s="65">
        <f t="shared" si="5"/>
        <v>-1.0142955333333337E-2</v>
      </c>
    </row>
    <row r="33" spans="1:32" s="37" customFormat="1" ht="14.25" x14ac:dyDescent="0.25">
      <c r="A33" s="59" t="s">
        <v>43</v>
      </c>
      <c r="B33" s="57" t="str">
        <f ca="1">[1]!xlv(B35)</f>
        <v xml:space="preserve"> - 1 / (E × I) × ((RA × L²) / 2 - W × ((a² / 2) + (a × c) / 2 + c² / 6))</v>
      </c>
      <c r="C33" s="57"/>
      <c r="F33" s="59"/>
      <c r="G33" s="57"/>
      <c r="H33" s="57"/>
      <c r="L33" s="38"/>
      <c r="M33" s="35"/>
      <c r="N33" s="35"/>
      <c r="O33" s="35"/>
      <c r="P33" s="35"/>
      <c r="Q33" s="35"/>
      <c r="R33" s="35"/>
      <c r="S33" s="35"/>
      <c r="T33" s="35"/>
      <c r="U33" s="34"/>
      <c r="V33" s="38"/>
      <c r="W33" s="43">
        <v>11</v>
      </c>
      <c r="X33" s="51">
        <f>H16/MAX(W22:W55)*W33</f>
        <v>5.5</v>
      </c>
      <c r="Y33" s="93">
        <f t="shared" si="2"/>
        <v>2.1760647999999989</v>
      </c>
      <c r="Z33" s="49">
        <f t="shared" si="3"/>
        <v>68.160856400000014</v>
      </c>
      <c r="AA33" s="92">
        <f t="shared" si="1"/>
        <v>-1.0482034502333348E-2</v>
      </c>
      <c r="AB33" s="48"/>
      <c r="AC33" s="47">
        <v>5.5</v>
      </c>
      <c r="AD33" s="50">
        <f t="shared" ref="AD33:AD55" si="6">INDEX($Y$22:$Y$56,MATCH(AC33,$X$22:$X$56,0))</f>
        <v>2.1760647999999989</v>
      </c>
      <c r="AE33" s="50">
        <f t="shared" si="4"/>
        <v>68.160856400000014</v>
      </c>
      <c r="AF33" s="65">
        <f t="shared" si="5"/>
        <v>-1.0482034502333348E-2</v>
      </c>
    </row>
    <row r="34" spans="1:32" s="37" customFormat="1" ht="12.75" x14ac:dyDescent="0.2">
      <c r="A34" s="59" t="s">
        <v>41</v>
      </c>
      <c r="B34" s="37" t="str">
        <f>[1]!xln(B35)</f>
        <v xml:space="preserve"> - 1 / ((1E+07) × 0.01) × ((14.5 × 15²) / 2 - 35.1 × ((6² / 2) + (6 × 5.4) / 2 + 5.4² / 6))</v>
      </c>
      <c r="C34" s="57"/>
      <c r="F34" s="59"/>
      <c r="H34" s="57"/>
      <c r="L34" s="38"/>
      <c r="M34" s="35"/>
      <c r="N34" s="35"/>
      <c r="O34" s="35"/>
      <c r="P34" s="35"/>
      <c r="Q34" s="35"/>
      <c r="R34" s="35"/>
      <c r="S34" s="35"/>
      <c r="T34" s="35"/>
      <c r="U34" s="34"/>
      <c r="V34" s="38"/>
      <c r="W34" s="43">
        <v>12</v>
      </c>
      <c r="X34" s="51">
        <f>H16/MAX(W22:W55)*W34</f>
        <v>6</v>
      </c>
      <c r="Y34" s="93">
        <f t="shared" si="2"/>
        <v>-1.0739351999999993</v>
      </c>
      <c r="Z34" s="49">
        <f t="shared" si="3"/>
        <v>68.436388800000003</v>
      </c>
      <c r="AA34" s="92">
        <f t="shared" si="1"/>
        <v>-1.0651050071999998E-2</v>
      </c>
      <c r="AB34" s="48"/>
      <c r="AC34" s="47">
        <v>6</v>
      </c>
      <c r="AD34" s="50">
        <f t="shared" si="6"/>
        <v>-1.0739351999999993</v>
      </c>
      <c r="AE34" s="50">
        <f t="shared" si="4"/>
        <v>68.436388800000003</v>
      </c>
      <c r="AF34" s="65">
        <f t="shared" si="5"/>
        <v>-1.0651050071999998E-2</v>
      </c>
    </row>
    <row r="35" spans="1:32" s="37" customFormat="1" ht="12.75" x14ac:dyDescent="0.2">
      <c r="A35" s="59" t="s">
        <v>41</v>
      </c>
      <c r="B35" s="94">
        <f>-1/(H14*H15)*((B25*H16^2)/2-H22*((H17^2/2)+(H17*H19)/2+H19^2/6))</f>
        <v>-2.6317629000000013E-3</v>
      </c>
      <c r="C35" s="57" t="s">
        <v>42</v>
      </c>
      <c r="D35" s="104"/>
      <c r="F35" s="59"/>
      <c r="G35" s="94"/>
      <c r="H35" s="57"/>
      <c r="L35" s="38"/>
      <c r="M35" s="35"/>
      <c r="N35" s="35"/>
      <c r="O35" s="35"/>
      <c r="P35" s="35"/>
      <c r="Q35" s="35"/>
      <c r="R35" s="35"/>
      <c r="S35" s="35"/>
      <c r="T35" s="35"/>
      <c r="U35" s="34"/>
      <c r="V35" s="38"/>
      <c r="W35" s="43">
        <v>13</v>
      </c>
      <c r="X35" s="51">
        <f>H16/MAX(W22:W55)*W35</f>
        <v>6.5</v>
      </c>
      <c r="Y35" s="93">
        <f t="shared" si="2"/>
        <v>-4.3239351999999993</v>
      </c>
      <c r="Z35" s="49">
        <f t="shared" si="3"/>
        <v>67.086921200000006</v>
      </c>
      <c r="AA35" s="92">
        <f t="shared" si="1"/>
        <v>-1.064931321133333E-2</v>
      </c>
      <c r="AB35" s="48"/>
      <c r="AC35" s="47">
        <v>6</v>
      </c>
      <c r="AD35" s="50">
        <f t="shared" si="6"/>
        <v>-1.0739351999999993</v>
      </c>
      <c r="AE35" s="50">
        <f t="shared" si="4"/>
        <v>68.436388800000003</v>
      </c>
      <c r="AF35" s="65">
        <f t="shared" si="5"/>
        <v>-1.0651050071999998E-2</v>
      </c>
    </row>
    <row r="36" spans="1:32" s="37" customFormat="1" ht="12.75" x14ac:dyDescent="0.2">
      <c r="I36" s="55" t="s">
        <v>40</v>
      </c>
      <c r="J36" s="38"/>
      <c r="K36" s="38"/>
      <c r="L36" s="38"/>
      <c r="M36" s="35"/>
      <c r="N36" s="35"/>
      <c r="O36" s="35"/>
      <c r="P36" s="35"/>
      <c r="Q36" s="35"/>
      <c r="R36" s="35"/>
      <c r="S36" s="35"/>
      <c r="T36" s="35"/>
      <c r="U36" s="34"/>
      <c r="V36" s="38"/>
      <c r="W36" s="43">
        <v>14</v>
      </c>
      <c r="X36" s="51">
        <f>H16/MAX(W22:W55)*W36</f>
        <v>7</v>
      </c>
      <c r="Y36" s="93">
        <f t="shared" si="2"/>
        <v>-7.5739351999999993</v>
      </c>
      <c r="Z36" s="49">
        <f t="shared" si="3"/>
        <v>64.112453600000009</v>
      </c>
      <c r="AA36" s="92">
        <f t="shared" si="1"/>
        <v>-1.0480197589333346E-2</v>
      </c>
      <c r="AB36" s="48"/>
      <c r="AC36" s="47">
        <v>6.5</v>
      </c>
      <c r="AD36" s="50">
        <f t="shared" si="6"/>
        <v>-4.3239351999999993</v>
      </c>
      <c r="AE36" s="50">
        <f t="shared" si="4"/>
        <v>67.086921200000006</v>
      </c>
      <c r="AF36" s="65">
        <f t="shared" si="5"/>
        <v>-1.064931321133333E-2</v>
      </c>
    </row>
    <row r="37" spans="1:32" s="37" customFormat="1" ht="12.75" x14ac:dyDescent="0.2">
      <c r="I37" s="46" t="s">
        <v>34</v>
      </c>
      <c r="J37" s="89">
        <f>MAX(AD21:AD54)</f>
        <v>14.526064800000002</v>
      </c>
      <c r="K37" s="38" t="s">
        <v>39</v>
      </c>
      <c r="L37" s="38"/>
      <c r="M37" s="35"/>
      <c r="N37" s="35"/>
      <c r="O37" s="35"/>
      <c r="P37" s="35"/>
      <c r="Q37" s="35"/>
      <c r="R37" s="35"/>
      <c r="S37" s="35"/>
      <c r="T37" s="35"/>
      <c r="U37" s="34"/>
      <c r="V37" s="38"/>
      <c r="W37" s="43">
        <v>15</v>
      </c>
      <c r="X37" s="51">
        <f>H16/MAX(W22:W55)*W37</f>
        <v>7.5</v>
      </c>
      <c r="Y37" s="93">
        <f t="shared" si="2"/>
        <v>-10.823935199999999</v>
      </c>
      <c r="Z37" s="49">
        <f t="shared" si="3"/>
        <v>59.512986000000012</v>
      </c>
      <c r="AA37" s="92">
        <f t="shared" si="1"/>
        <v>-1.0151139375000012E-2</v>
      </c>
      <c r="AB37" s="48"/>
      <c r="AC37" s="47">
        <v>7</v>
      </c>
      <c r="AD37" s="50">
        <f t="shared" si="6"/>
        <v>-7.5739351999999993</v>
      </c>
      <c r="AE37" s="50">
        <f t="shared" si="4"/>
        <v>64.112453600000009</v>
      </c>
      <c r="AF37" s="65">
        <f t="shared" si="5"/>
        <v>-1.0480197589333346E-2</v>
      </c>
    </row>
    <row r="38" spans="1:32" s="37" customFormat="1" ht="12.75" x14ac:dyDescent="0.2">
      <c r="I38" s="46" t="s">
        <v>33</v>
      </c>
      <c r="J38" s="89">
        <f>MIN(AD21:AD54)</f>
        <v>-20.573935200000001</v>
      </c>
      <c r="K38" s="38" t="s">
        <v>39</v>
      </c>
      <c r="L38" s="38"/>
      <c r="M38" s="35"/>
      <c r="N38" s="35"/>
      <c r="O38" s="35"/>
      <c r="P38" s="35"/>
      <c r="Q38" s="35"/>
      <c r="R38" s="35"/>
      <c r="S38" s="35"/>
      <c r="T38" s="35"/>
      <c r="U38" s="34"/>
      <c r="V38" s="38"/>
      <c r="W38" s="43">
        <v>16</v>
      </c>
      <c r="X38" s="51">
        <f>H16/MAX(W22:W55)*W38</f>
        <v>8</v>
      </c>
      <c r="Y38" s="93">
        <f t="shared" si="2"/>
        <v>-14.073935200000003</v>
      </c>
      <c r="Z38" s="49">
        <f t="shared" si="3"/>
        <v>53.288518400000008</v>
      </c>
      <c r="AA38" s="92">
        <f t="shared" si="1"/>
        <v>-9.6736372373333358E-3</v>
      </c>
      <c r="AB38" s="48"/>
      <c r="AC38" s="47">
        <v>7.5</v>
      </c>
      <c r="AD38" s="50">
        <f t="shared" si="6"/>
        <v>-10.823935199999999</v>
      </c>
      <c r="AE38" s="50">
        <f t="shared" si="4"/>
        <v>59.512986000000012</v>
      </c>
      <c r="AF38" s="65">
        <f t="shared" si="5"/>
        <v>-1.0151139375000012E-2</v>
      </c>
    </row>
    <row r="39" spans="1:32" s="37" customFormat="1" ht="12.75" x14ac:dyDescent="0.2">
      <c r="I39" s="44" t="s">
        <v>35</v>
      </c>
      <c r="J39" s="38"/>
      <c r="K39" s="38"/>
      <c r="L39" s="38"/>
      <c r="M39" s="35"/>
      <c r="N39" s="35"/>
      <c r="O39" s="35"/>
      <c r="P39" s="35"/>
      <c r="Q39" s="35"/>
      <c r="R39" s="35"/>
      <c r="S39" s="35"/>
      <c r="T39" s="35"/>
      <c r="U39" s="34"/>
      <c r="V39" s="38"/>
      <c r="W39" s="43">
        <v>17</v>
      </c>
      <c r="X39" s="51">
        <f>H16/MAX(W22:W55)*W39</f>
        <v>8.5</v>
      </c>
      <c r="Y39" s="93">
        <f t="shared" si="2"/>
        <v>-17.323935200000001</v>
      </c>
      <c r="Z39" s="49">
        <f t="shared" si="3"/>
        <v>45.439050800000004</v>
      </c>
      <c r="AA39" s="92">
        <f t="shared" si="1"/>
        <v>-9.0632523453333391E-3</v>
      </c>
      <c r="AB39" s="48"/>
      <c r="AC39" s="47">
        <v>8</v>
      </c>
      <c r="AD39" s="50">
        <f t="shared" si="6"/>
        <v>-14.073935200000003</v>
      </c>
      <c r="AE39" s="50">
        <f t="shared" si="4"/>
        <v>53.288518400000008</v>
      </c>
      <c r="AF39" s="65">
        <f t="shared" si="5"/>
        <v>-9.6736372373333358E-3</v>
      </c>
    </row>
    <row r="40" spans="1:32" s="37" customFormat="1" ht="12.75" x14ac:dyDescent="0.2">
      <c r="I40" s="46" t="s">
        <v>34</v>
      </c>
      <c r="J40" s="45">
        <f>INDEX(AC21:AC54,MATCH(J37,AD21:AD54,0))</f>
        <v>0</v>
      </c>
      <c r="K40" s="38" t="s">
        <v>32</v>
      </c>
      <c r="L40" s="38"/>
      <c r="M40" s="35"/>
      <c r="N40" s="35"/>
      <c r="O40" s="35"/>
      <c r="P40" s="35"/>
      <c r="Q40" s="35"/>
      <c r="R40" s="35"/>
      <c r="S40" s="35"/>
      <c r="T40" s="35"/>
      <c r="U40" s="34"/>
      <c r="V40" s="38"/>
      <c r="W40" s="43">
        <v>18</v>
      </c>
      <c r="X40" s="51">
        <f>H16/MAX(W22:W55)*W40</f>
        <v>9</v>
      </c>
      <c r="Y40" s="93">
        <f t="shared" si="2"/>
        <v>-20.573935200000001</v>
      </c>
      <c r="Z40" s="49">
        <f t="shared" si="3"/>
        <v>35.964583200000021</v>
      </c>
      <c r="AA40" s="92">
        <f t="shared" si="1"/>
        <v>-8.3396083680000056E-3</v>
      </c>
      <c r="AB40" s="48"/>
      <c r="AC40" s="47">
        <v>8.5</v>
      </c>
      <c r="AD40" s="50">
        <f t="shared" si="6"/>
        <v>-17.323935200000001</v>
      </c>
      <c r="AE40" s="50">
        <f t="shared" si="4"/>
        <v>45.439050800000004</v>
      </c>
      <c r="AF40" s="65">
        <f t="shared" si="5"/>
        <v>-9.0632523453333391E-3</v>
      </c>
    </row>
    <row r="41" spans="1:32" s="37" customFormat="1" ht="12.75" x14ac:dyDescent="0.2">
      <c r="I41" s="46" t="s">
        <v>33</v>
      </c>
      <c r="J41" s="45">
        <f>INDEX(AC21:AC54,MATCH(J38,AD21:AD54,0))</f>
        <v>9</v>
      </c>
      <c r="K41" s="44" t="s">
        <v>32</v>
      </c>
      <c r="L41" s="38"/>
      <c r="M41" s="35"/>
      <c r="N41" s="35"/>
      <c r="O41" s="35"/>
      <c r="P41" s="35"/>
      <c r="Q41" s="35"/>
      <c r="R41" s="35"/>
      <c r="S41" s="35"/>
      <c r="T41" s="35"/>
      <c r="U41" s="34"/>
      <c r="V41" s="38"/>
      <c r="W41" s="43">
        <v>19</v>
      </c>
      <c r="X41" s="51">
        <f>H16/MAX(W22:W55)*W41</f>
        <v>9.5</v>
      </c>
      <c r="Y41" s="93">
        <f t="shared" si="2"/>
        <v>-20.573935200000001</v>
      </c>
      <c r="Z41" s="49">
        <f t="shared" si="3"/>
        <v>25.67761560000001</v>
      </c>
      <c r="AA41" s="92">
        <f>IF(X41&gt;($H$16-$H$17),(1/($H$14*$H$15))*($B$25*((X41^3/6)-($H$16^2*X41/2)+($H$16^3/3))+$H$22*((1/6)*($H$17+($H$19/2))^3-(1/2)*($H$17+$H$19/2)^2*$H$16-(1/6)*(X41-$H$20-$H$19/2)^3+(1/2)*($H$17+$H$19/2)^2*X41)),IF(X41&gt;($H$16-$H$18),(1/($H$14*$H$15))*($B$25*((X41^3/6)-($H$16^2*X41/2))+$H$22*X41*(($H$17^2/2)+($H$17*$H$19/2)+($H$19^2/6))-$H$22*(X41-$H$20)^4/(24*$H$19)),(1/($H$14*$H$15))*($B$25*((X41^3/6)-($H$16^2*X41/2))+$H$22*X41*(($H$17^2/2)+($H$17*$H$19/2)+($H$19^2/6)))))</f>
        <v>-7.526222203499979E-3</v>
      </c>
      <c r="AB41" s="40"/>
      <c r="AC41" s="47">
        <v>9</v>
      </c>
      <c r="AD41" s="50">
        <f t="shared" si="6"/>
        <v>-20.573935200000001</v>
      </c>
      <c r="AE41" s="50">
        <f t="shared" si="4"/>
        <v>35.964583200000021</v>
      </c>
      <c r="AF41" s="65">
        <f t="shared" si="5"/>
        <v>-8.3396083680000056E-3</v>
      </c>
    </row>
    <row r="42" spans="1:32" s="37" customFormat="1" ht="12.75" x14ac:dyDescent="0.2">
      <c r="L42" s="38"/>
      <c r="M42" s="35"/>
      <c r="N42" s="35"/>
      <c r="O42" s="35"/>
      <c r="P42" s="35"/>
      <c r="Q42" s="35"/>
      <c r="R42" s="35"/>
      <c r="S42" s="35"/>
      <c r="T42" s="35"/>
      <c r="U42" s="34"/>
      <c r="V42" s="38"/>
      <c r="W42" s="43">
        <v>20</v>
      </c>
      <c r="X42" s="51">
        <f>H16/MAX(W22:W55)*W42</f>
        <v>10</v>
      </c>
      <c r="Y42" s="93">
        <f t="shared" si="2"/>
        <v>-20.573935200000001</v>
      </c>
      <c r="Z42" s="49">
        <f t="shared" si="3"/>
        <v>15.390648000000027</v>
      </c>
      <c r="AA42" s="92">
        <f t="shared" ref="AA42:AA56" si="7">IF(X42&gt;($H$16-$H$17),(1/($H$14*$H$15))*($B$25*((X42^3/6)-($H$16^2*X42/2)+($H$16^3/3))+$H$22*((1/6)*($H$17+($H$19/2))^3-(1/2)*($H$17+$H$19/2)^2*$H$16-(1/6)*(X42-$H$20-$H$19/2)^3+(1/2)*($H$17+$H$19/2)^2*X42)),IF(X42&gt;($H$16-$H$18),(1/($H$14*$H$15))*($B$25*((X42^3/6)-($H$16^2*X42/2))+$H$22*X42*(($H$17^2/2)+($H$17*$H$19/2)+($H$19^2/6))-$H$22*(X42-$H$20)^4/(24*$H$19)),(1/($H$14*$H$15))*($B$25*((X42^3/6)-($H$16^2*X42/2))+$H$22*X42*(($H$17^2/2)+($H$17*$H$19/2)+($H$19^2/6)))))</f>
        <v>-6.6486419999999685E-3</v>
      </c>
      <c r="AB42" s="40"/>
      <c r="AC42" s="47">
        <v>9.5</v>
      </c>
      <c r="AD42" s="50">
        <f t="shared" si="6"/>
        <v>-20.573935200000001</v>
      </c>
      <c r="AE42" s="50">
        <f t="shared" si="4"/>
        <v>25.67761560000001</v>
      </c>
      <c r="AF42" s="65">
        <f t="shared" si="5"/>
        <v>-7.526222203499979E-3</v>
      </c>
    </row>
    <row r="43" spans="1:32" s="37" customFormat="1" ht="12.75" x14ac:dyDescent="0.2">
      <c r="I43" s="53" t="s">
        <v>38</v>
      </c>
      <c r="J43" s="38"/>
      <c r="K43" s="38"/>
      <c r="L43" s="38"/>
      <c r="M43" s="35"/>
      <c r="N43" s="35"/>
      <c r="O43" s="35"/>
      <c r="P43" s="35"/>
      <c r="Q43" s="35"/>
      <c r="R43" s="35"/>
      <c r="S43" s="35"/>
      <c r="T43" s="35"/>
      <c r="U43" s="34"/>
      <c r="V43" s="38"/>
      <c r="W43" s="43">
        <v>21</v>
      </c>
      <c r="X43" s="51">
        <f>H16/MAX(W22:W55)*W43</f>
        <v>10.5</v>
      </c>
      <c r="Y43" s="93">
        <f t="shared" si="2"/>
        <v>-20.573935200000001</v>
      </c>
      <c r="Z43" s="49">
        <f t="shared" si="3"/>
        <v>5.1036804000000018</v>
      </c>
      <c r="AA43" s="92">
        <f t="shared" si="7"/>
        <v>-5.7325851764999927E-3</v>
      </c>
      <c r="AB43" s="40"/>
      <c r="AC43" s="47">
        <v>10</v>
      </c>
      <c r="AD43" s="50">
        <f t="shared" si="6"/>
        <v>-20.573935200000001</v>
      </c>
      <c r="AE43" s="50">
        <f t="shared" si="4"/>
        <v>15.390648000000027</v>
      </c>
      <c r="AF43" s="65">
        <f t="shared" si="5"/>
        <v>-6.6486419999999685E-3</v>
      </c>
    </row>
    <row r="44" spans="1:32" s="37" customFormat="1" ht="12.75" x14ac:dyDescent="0.2">
      <c r="I44" s="46" t="s">
        <v>34</v>
      </c>
      <c r="J44" s="90">
        <f>MAX(AE21:AE54)</f>
        <v>68.436388800000003</v>
      </c>
      <c r="K44" s="38" t="s">
        <v>37</v>
      </c>
      <c r="L44" s="38"/>
      <c r="M44" s="35"/>
      <c r="N44" s="35"/>
      <c r="O44" s="35"/>
      <c r="P44" s="35"/>
      <c r="Q44" s="35"/>
      <c r="R44" s="35"/>
      <c r="S44" s="35"/>
      <c r="T44" s="35"/>
      <c r="U44" s="34"/>
      <c r="V44" s="38"/>
      <c r="W44" s="43">
        <v>22</v>
      </c>
      <c r="X44" s="51">
        <f>H16/MAX(W22:W55)*W44</f>
        <v>11</v>
      </c>
      <c r="Y44" s="93">
        <f t="shared" si="2"/>
        <v>-20.573935200000001</v>
      </c>
      <c r="Z44" s="49">
        <f t="shared" si="3"/>
        <v>-5.1832871999999668</v>
      </c>
      <c r="AA44" s="92">
        <f t="shared" si="7"/>
        <v>-4.8037691519999728E-3</v>
      </c>
      <c r="AB44" s="40"/>
      <c r="AC44" s="47">
        <v>10.5</v>
      </c>
      <c r="AD44" s="50">
        <f t="shared" si="6"/>
        <v>-20.573935200000001</v>
      </c>
      <c r="AE44" s="50">
        <f t="shared" si="4"/>
        <v>5.1036804000000018</v>
      </c>
      <c r="AF44" s="65">
        <f t="shared" si="5"/>
        <v>-5.7325851764999927E-3</v>
      </c>
    </row>
    <row r="45" spans="1:32" s="37" customFormat="1" ht="12.75" x14ac:dyDescent="0.2">
      <c r="I45" s="46" t="s">
        <v>33</v>
      </c>
      <c r="J45" s="54">
        <f>MIN(AE21:AE54)</f>
        <v>-87.479027999999971</v>
      </c>
      <c r="K45" s="38" t="s">
        <v>37</v>
      </c>
      <c r="L45" s="38"/>
      <c r="M45" s="35"/>
      <c r="N45" s="35"/>
      <c r="O45" s="35"/>
      <c r="P45" s="35"/>
      <c r="Q45" s="35"/>
      <c r="R45" s="35"/>
      <c r="S45" s="35"/>
      <c r="T45" s="35"/>
      <c r="U45" s="34"/>
      <c r="V45" s="38"/>
      <c r="W45" s="43">
        <v>23</v>
      </c>
      <c r="X45" s="51">
        <f>H16/MAX(W22:W55)*W45</f>
        <v>11.5</v>
      </c>
      <c r="Y45" s="93">
        <f t="shared" si="2"/>
        <v>-20.573935200000001</v>
      </c>
      <c r="Z45" s="49">
        <f t="shared" si="3"/>
        <v>-15.470254799999992</v>
      </c>
      <c r="AA45" s="92">
        <f t="shared" si="7"/>
        <v>-3.8879113454999632E-3</v>
      </c>
      <c r="AB45" s="40"/>
      <c r="AC45" s="47">
        <v>11</v>
      </c>
      <c r="AD45" s="50">
        <f t="shared" si="6"/>
        <v>-20.573935200000001</v>
      </c>
      <c r="AE45" s="50">
        <f t="shared" si="4"/>
        <v>-5.1832871999999668</v>
      </c>
      <c r="AF45" s="65">
        <f t="shared" si="5"/>
        <v>-4.8037691519999728E-3</v>
      </c>
    </row>
    <row r="46" spans="1:32" s="37" customFormat="1" ht="12.75" x14ac:dyDescent="0.2">
      <c r="I46" s="44" t="s">
        <v>35</v>
      </c>
      <c r="J46" s="38"/>
      <c r="K46" s="38"/>
      <c r="L46" s="38"/>
      <c r="M46" s="35"/>
      <c r="N46" s="35"/>
      <c r="O46" s="35"/>
      <c r="P46" s="35"/>
      <c r="Q46" s="35"/>
      <c r="R46" s="35"/>
      <c r="S46" s="35"/>
      <c r="T46" s="35"/>
      <c r="U46" s="34"/>
      <c r="V46" s="38"/>
      <c r="W46" s="43">
        <v>24</v>
      </c>
      <c r="X46" s="51">
        <f>H16/MAX(W22:W55)*W46</f>
        <v>12</v>
      </c>
      <c r="Y46" s="93">
        <f t="shared" si="2"/>
        <v>-20.573935200000001</v>
      </c>
      <c r="Z46" s="49">
        <f t="shared" si="3"/>
        <v>-25.757222399999989</v>
      </c>
      <c r="AA46" s="92">
        <f t="shared" si="7"/>
        <v>-3.0107291759999908E-3</v>
      </c>
      <c r="AB46" s="40"/>
      <c r="AC46" s="47">
        <v>11.4</v>
      </c>
      <c r="AD46" s="50">
        <f>INDEX($Y$22:$Y$56,MATCH(AC46,$X$22:$X$56,0))</f>
        <v>-20.573935200000001</v>
      </c>
      <c r="AE46" s="50">
        <f t="shared" si="4"/>
        <v>-13.412861279999987</v>
      </c>
      <c r="AF46" s="65">
        <f t="shared" si="5"/>
        <v>-4.0688118132479719E-3</v>
      </c>
    </row>
    <row r="47" spans="1:32" s="37" customFormat="1" ht="12.75" x14ac:dyDescent="0.2">
      <c r="I47" s="46" t="s">
        <v>34</v>
      </c>
      <c r="J47" s="45">
        <f>INDEX(AC21:AC54,MATCH(J44,AE21:AE54,0))</f>
        <v>6</v>
      </c>
      <c r="K47" s="38" t="s">
        <v>32</v>
      </c>
      <c r="L47" s="38"/>
      <c r="M47" s="35"/>
      <c r="N47" s="35"/>
      <c r="O47" s="35"/>
      <c r="P47" s="35"/>
      <c r="Q47" s="35"/>
      <c r="R47" s="35"/>
      <c r="S47" s="35"/>
      <c r="T47" s="35"/>
      <c r="U47" s="34"/>
      <c r="V47" s="38"/>
      <c r="W47" s="43">
        <v>25</v>
      </c>
      <c r="X47" s="51">
        <f>H16/MAX(W22:W55)*W47</f>
        <v>12.5</v>
      </c>
      <c r="Y47" s="93">
        <f t="shared" si="2"/>
        <v>-20.573935200000001</v>
      </c>
      <c r="Z47" s="49">
        <f t="shared" si="3"/>
        <v>-36.044189999999986</v>
      </c>
      <c r="AA47" s="92">
        <f t="shared" si="7"/>
        <v>-2.1979400625000028E-3</v>
      </c>
      <c r="AB47" s="40"/>
      <c r="AC47" s="47">
        <v>11.5</v>
      </c>
      <c r="AD47" s="50">
        <f t="shared" si="6"/>
        <v>-20.573935200000001</v>
      </c>
      <c r="AE47" s="50">
        <f t="shared" si="4"/>
        <v>-15.470254799999992</v>
      </c>
      <c r="AF47" s="65">
        <f t="shared" si="5"/>
        <v>-3.8879113454999632E-3</v>
      </c>
    </row>
    <row r="48" spans="1:32" s="37" customFormat="1" ht="12.75" x14ac:dyDescent="0.2">
      <c r="I48" s="46" t="s">
        <v>33</v>
      </c>
      <c r="J48" s="45">
        <f>INDEX(AC21:AC54,MATCH(J45,AE21:AE54,0))</f>
        <v>15</v>
      </c>
      <c r="K48" s="44" t="s">
        <v>32</v>
      </c>
      <c r="L48" s="38"/>
      <c r="M48" s="35"/>
      <c r="N48" s="35"/>
      <c r="O48" s="35"/>
      <c r="P48" s="35"/>
      <c r="Q48" s="35"/>
      <c r="R48" s="35"/>
      <c r="S48" s="35"/>
      <c r="T48" s="35"/>
      <c r="U48" s="34"/>
      <c r="V48" s="38"/>
      <c r="W48" s="43">
        <v>26</v>
      </c>
      <c r="X48" s="51">
        <f>H16/MAX(W22:W55)*W48</f>
        <v>13</v>
      </c>
      <c r="Y48" s="93">
        <f t="shared" si="2"/>
        <v>-20.573935200000001</v>
      </c>
      <c r="Z48" s="49">
        <f t="shared" si="3"/>
        <v>-46.331157599999983</v>
      </c>
      <c r="AA48" s="92">
        <f t="shared" si="7"/>
        <v>-1.4752614239999674E-3</v>
      </c>
      <c r="AB48" s="40"/>
      <c r="AC48" s="47">
        <v>12</v>
      </c>
      <c r="AD48" s="50">
        <f t="shared" si="6"/>
        <v>-20.573935200000001</v>
      </c>
      <c r="AE48" s="50">
        <f t="shared" si="4"/>
        <v>-25.757222399999989</v>
      </c>
      <c r="AF48" s="65">
        <f t="shared" si="5"/>
        <v>-3.0107291759999908E-3</v>
      </c>
    </row>
    <row r="49" spans="1:32" s="37" customFormat="1" ht="12.75" x14ac:dyDescent="0.2">
      <c r="L49" s="38"/>
      <c r="M49" s="35"/>
      <c r="N49" s="35"/>
      <c r="O49" s="35"/>
      <c r="P49" s="35"/>
      <c r="Q49" s="35"/>
      <c r="R49" s="35"/>
      <c r="S49" s="35"/>
      <c r="T49" s="35"/>
      <c r="U49" s="34"/>
      <c r="V49" s="38"/>
      <c r="W49" s="43">
        <v>27</v>
      </c>
      <c r="X49" s="51">
        <f>H16/MAX(W22:W55)*W49</f>
        <v>13.5</v>
      </c>
      <c r="Y49" s="93">
        <f t="shared" si="2"/>
        <v>-20.573935200000001</v>
      </c>
      <c r="Z49" s="49">
        <f t="shared" si="3"/>
        <v>-56.618125200000009</v>
      </c>
      <c r="AA49" s="92">
        <f t="shared" si="7"/>
        <v>-8.6841067949996792E-4</v>
      </c>
      <c r="AB49" s="40"/>
      <c r="AC49" s="47">
        <v>12.5</v>
      </c>
      <c r="AD49" s="50">
        <f t="shared" si="6"/>
        <v>-20.573935200000001</v>
      </c>
      <c r="AE49" s="50">
        <f t="shared" si="4"/>
        <v>-36.044189999999986</v>
      </c>
      <c r="AF49" s="65">
        <f t="shared" si="5"/>
        <v>-2.1979400625000028E-3</v>
      </c>
    </row>
    <row r="50" spans="1:32" s="37" customFormat="1" ht="12.75" x14ac:dyDescent="0.2">
      <c r="L50" s="38"/>
      <c r="M50" s="35"/>
      <c r="N50" s="35"/>
      <c r="O50" s="35"/>
      <c r="P50" s="35"/>
      <c r="Q50" s="35"/>
      <c r="R50" s="35"/>
      <c r="S50" s="35"/>
      <c r="T50" s="35"/>
      <c r="U50" s="34"/>
      <c r="V50" s="38"/>
      <c r="W50" s="43">
        <v>28</v>
      </c>
      <c r="X50" s="51">
        <f>H16/MAX(W22:W55)*W50</f>
        <v>14</v>
      </c>
      <c r="Y50" s="93">
        <f t="shared" si="2"/>
        <v>-20.573935200000001</v>
      </c>
      <c r="Z50" s="49">
        <f t="shared" si="3"/>
        <v>-66.905092800000006</v>
      </c>
      <c r="AA50" s="92">
        <f t="shared" si="7"/>
        <v>-4.0310524799999219E-4</v>
      </c>
      <c r="AB50" s="40"/>
      <c r="AC50" s="47">
        <v>13</v>
      </c>
      <c r="AD50" s="50">
        <f t="shared" si="6"/>
        <v>-20.573935200000001</v>
      </c>
      <c r="AE50" s="50">
        <f t="shared" si="4"/>
        <v>-46.331157599999983</v>
      </c>
      <c r="AF50" s="65">
        <f t="shared" si="5"/>
        <v>-1.4752614239999674E-3</v>
      </c>
    </row>
    <row r="51" spans="1:32" s="37" customFormat="1" ht="12.75" x14ac:dyDescent="0.2">
      <c r="I51" s="38"/>
      <c r="J51" s="38"/>
      <c r="K51" s="38"/>
      <c r="L51" s="38"/>
      <c r="M51" s="35"/>
      <c r="N51" s="35"/>
      <c r="O51" s="35"/>
      <c r="P51" s="35"/>
      <c r="Q51" s="35"/>
      <c r="R51" s="35"/>
      <c r="S51" s="35"/>
      <c r="T51" s="35"/>
      <c r="U51" s="34"/>
      <c r="V51" s="38"/>
      <c r="W51" s="43">
        <v>29</v>
      </c>
      <c r="X51" s="51">
        <f>H16/MAX(W22:W55)*W51</f>
        <v>14.5</v>
      </c>
      <c r="Y51" s="93">
        <f t="shared" si="2"/>
        <v>-20.573935200000001</v>
      </c>
      <c r="Z51" s="49">
        <f t="shared" si="3"/>
        <v>-77.192060399999974</v>
      </c>
      <c r="AA51" s="92">
        <f t="shared" si="7"/>
        <v>-1.0506254850000763E-4</v>
      </c>
      <c r="AB51" s="40"/>
      <c r="AC51" s="47">
        <v>13.5</v>
      </c>
      <c r="AD51" s="50">
        <f t="shared" si="6"/>
        <v>-20.573935200000001</v>
      </c>
      <c r="AE51" s="50">
        <f t="shared" si="4"/>
        <v>-56.618125200000009</v>
      </c>
      <c r="AF51" s="65">
        <f t="shared" si="5"/>
        <v>-8.6841067949996792E-4</v>
      </c>
    </row>
    <row r="52" spans="1:32" s="37" customFormat="1" ht="12.75" x14ac:dyDescent="0.2">
      <c r="I52" s="53" t="s">
        <v>36</v>
      </c>
      <c r="J52" s="38"/>
      <c r="K52" s="38"/>
      <c r="L52" s="38"/>
      <c r="M52" s="35"/>
      <c r="N52" s="35"/>
      <c r="O52" s="35"/>
      <c r="P52" s="35"/>
      <c r="Q52" s="35"/>
      <c r="R52" s="35"/>
      <c r="S52" s="35"/>
      <c r="T52" s="35"/>
      <c r="U52" s="34"/>
      <c r="V52" s="38"/>
      <c r="W52" s="43">
        <v>30</v>
      </c>
      <c r="X52" s="51">
        <f>H16/MAX(W22:W55)*W52</f>
        <v>15</v>
      </c>
      <c r="Y52" s="93">
        <f t="shared" si="2"/>
        <v>-20.573935200000001</v>
      </c>
      <c r="Z52" s="49">
        <f t="shared" si="3"/>
        <v>-87.479027999999971</v>
      </c>
      <c r="AA52" s="92">
        <f t="shared" si="7"/>
        <v>0</v>
      </c>
      <c r="AB52" s="40"/>
      <c r="AC52" s="47">
        <v>14</v>
      </c>
      <c r="AD52" s="50">
        <f t="shared" si="6"/>
        <v>-20.573935200000001</v>
      </c>
      <c r="AE52" s="50">
        <f t="shared" si="4"/>
        <v>-66.905092800000006</v>
      </c>
      <c r="AF52" s="65">
        <f t="shared" si="5"/>
        <v>-4.0310524799999219E-4</v>
      </c>
    </row>
    <row r="53" spans="1:32" s="37" customFormat="1" ht="12.75" x14ac:dyDescent="0.2">
      <c r="I53" s="46" t="s">
        <v>34</v>
      </c>
      <c r="J53" s="52">
        <f>MAX(AF21:AF54)</f>
        <v>0</v>
      </c>
      <c r="K53" s="38" t="s">
        <v>32</v>
      </c>
      <c r="L53" s="38"/>
      <c r="M53" s="35"/>
      <c r="N53" s="35"/>
      <c r="O53" s="35"/>
      <c r="P53" s="35"/>
      <c r="Q53" s="35"/>
      <c r="R53" s="35"/>
      <c r="S53" s="35"/>
      <c r="T53" s="35"/>
      <c r="U53" s="34"/>
      <c r="V53" s="38"/>
      <c r="W53" s="38"/>
      <c r="X53" s="51">
        <f>H16</f>
        <v>15</v>
      </c>
      <c r="Y53" s="93">
        <f t="shared" si="2"/>
        <v>-20.573935200000001</v>
      </c>
      <c r="Z53" s="49">
        <f t="shared" si="3"/>
        <v>-87.479027999999971</v>
      </c>
      <c r="AA53" s="92">
        <f t="shared" si="7"/>
        <v>0</v>
      </c>
      <c r="AB53" s="40"/>
      <c r="AC53" s="47">
        <v>14.5</v>
      </c>
      <c r="AD53" s="50">
        <f t="shared" si="6"/>
        <v>-20.573935200000001</v>
      </c>
      <c r="AE53" s="50">
        <f t="shared" si="4"/>
        <v>-77.192060399999974</v>
      </c>
      <c r="AF53" s="65">
        <f t="shared" si="5"/>
        <v>-1.0506254850000763E-4</v>
      </c>
    </row>
    <row r="54" spans="1:32" s="37" customFormat="1" ht="12.75" x14ac:dyDescent="0.2">
      <c r="I54" s="46" t="s">
        <v>33</v>
      </c>
      <c r="J54" s="52">
        <f>MIN(AF21:AF54)</f>
        <v>-1.0651050071999998E-2</v>
      </c>
      <c r="K54" s="44" t="s">
        <v>32</v>
      </c>
      <c r="L54" s="38"/>
      <c r="M54" s="35"/>
      <c r="N54" s="35"/>
      <c r="O54" s="35"/>
      <c r="P54" s="35"/>
      <c r="Q54" s="35"/>
      <c r="R54" s="35"/>
      <c r="S54" s="35"/>
      <c r="T54" s="35"/>
      <c r="U54" s="34"/>
      <c r="V54" s="38"/>
      <c r="W54" s="38"/>
      <c r="X54" s="43"/>
      <c r="Y54" s="43"/>
      <c r="Z54" s="40"/>
      <c r="AA54" s="40"/>
      <c r="AB54" s="40"/>
      <c r="AC54" s="47">
        <v>15</v>
      </c>
      <c r="AD54" s="50">
        <f t="shared" si="6"/>
        <v>-20.573935200000001</v>
      </c>
      <c r="AE54" s="50">
        <f t="shared" si="4"/>
        <v>-87.479027999999971</v>
      </c>
      <c r="AF54" s="65">
        <f t="shared" si="5"/>
        <v>0</v>
      </c>
    </row>
    <row r="55" spans="1:32" s="37" customFormat="1" ht="12.75" x14ac:dyDescent="0.2">
      <c r="I55" s="44" t="s">
        <v>35</v>
      </c>
      <c r="J55" s="38"/>
      <c r="K55" s="38"/>
      <c r="L55" s="38"/>
      <c r="M55" s="35"/>
      <c r="N55" s="35"/>
      <c r="O55" s="35"/>
      <c r="P55" s="35"/>
      <c r="Q55" s="35"/>
      <c r="R55" s="35"/>
      <c r="S55" s="35"/>
      <c r="T55" s="35"/>
      <c r="U55" s="34"/>
      <c r="V55" s="38"/>
      <c r="W55" s="38"/>
      <c r="X55" s="93">
        <f>H17</f>
        <v>6</v>
      </c>
      <c r="Y55" s="93">
        <f t="shared" si="2"/>
        <v>-1.0739351999999993</v>
      </c>
      <c r="Z55" s="49">
        <f t="shared" si="3"/>
        <v>68.436388800000003</v>
      </c>
      <c r="AA55" s="92">
        <f t="shared" si="7"/>
        <v>-1.0651050071999998E-2</v>
      </c>
      <c r="AB55" s="40"/>
      <c r="AC55" s="47">
        <v>15</v>
      </c>
      <c r="AD55" s="50">
        <f t="shared" si="6"/>
        <v>-20.573935200000001</v>
      </c>
      <c r="AE55" s="50">
        <f>INDEX($Z$22:$Z$56,MATCH(AC55,$X$22:$X$56,0))</f>
        <v>-87.479027999999971</v>
      </c>
      <c r="AF55" s="65">
        <f t="shared" si="5"/>
        <v>0</v>
      </c>
    </row>
    <row r="56" spans="1:32" s="37" customFormat="1" ht="12.75" x14ac:dyDescent="0.2">
      <c r="I56" s="46" t="s">
        <v>34</v>
      </c>
      <c r="J56" s="107">
        <f>INDEX(AC21:AC54,MATCH(J53,AF21:AF54,0))</f>
        <v>0</v>
      </c>
      <c r="K56" s="38" t="s">
        <v>32</v>
      </c>
      <c r="L56" s="38"/>
      <c r="M56" s="35"/>
      <c r="N56" s="35"/>
      <c r="O56" s="35"/>
      <c r="P56" s="35"/>
      <c r="Q56" s="35"/>
      <c r="R56" s="35"/>
      <c r="S56" s="35"/>
      <c r="T56" s="35"/>
      <c r="U56" s="34"/>
      <c r="V56" s="38"/>
      <c r="W56" s="38"/>
      <c r="X56" s="91">
        <f>H18</f>
        <v>11.4</v>
      </c>
      <c r="Y56" s="93">
        <f t="shared" si="2"/>
        <v>-20.573935200000001</v>
      </c>
      <c r="Z56" s="49">
        <f t="shared" si="3"/>
        <v>-13.412861279999987</v>
      </c>
      <c r="AA56" s="92">
        <f t="shared" si="7"/>
        <v>-4.0688118132479719E-3</v>
      </c>
    </row>
    <row r="57" spans="1:32" s="37" customFormat="1" ht="12.75" x14ac:dyDescent="0.2">
      <c r="I57" s="46" t="s">
        <v>33</v>
      </c>
      <c r="J57" s="107">
        <f>INDEX(AC21:AC54,MATCH(J54,AF21:AF54,0))</f>
        <v>6</v>
      </c>
      <c r="K57" s="44" t="s">
        <v>32</v>
      </c>
      <c r="L57" s="38"/>
      <c r="M57" s="35"/>
      <c r="N57" s="35"/>
      <c r="O57" s="35"/>
      <c r="P57" s="35"/>
      <c r="Q57" s="35"/>
      <c r="R57" s="35"/>
      <c r="S57" s="35"/>
      <c r="T57" s="35"/>
      <c r="U57" s="34"/>
      <c r="V57" s="38"/>
      <c r="W57" s="38"/>
      <c r="X57" s="38"/>
      <c r="Y57" s="38"/>
      <c r="Z57" s="49"/>
      <c r="AD57" s="40">
        <f>MAX(AD21:AD54)</f>
        <v>14.526064800000002</v>
      </c>
      <c r="AE57" s="40">
        <f>MAX(AE21:AE54)</f>
        <v>68.436388800000003</v>
      </c>
      <c r="AF57" s="40">
        <f>MAX(AF21:AF54)</f>
        <v>0</v>
      </c>
    </row>
    <row r="58" spans="1:32" s="37" customFormat="1" ht="12.75" x14ac:dyDescent="0.2">
      <c r="I58" s="38"/>
      <c r="J58" s="38"/>
      <c r="K58" s="38"/>
      <c r="L58" s="38"/>
      <c r="M58" s="35"/>
      <c r="N58" s="35"/>
      <c r="O58" s="35"/>
      <c r="P58" s="35"/>
      <c r="Q58" s="35"/>
      <c r="R58" s="35"/>
      <c r="S58" s="35"/>
      <c r="T58" s="35"/>
      <c r="U58" s="34"/>
      <c r="V58" s="38"/>
      <c r="W58" s="38"/>
      <c r="X58" s="38"/>
      <c r="Y58" s="38"/>
      <c r="AD58" s="40">
        <f>MIN(AD21:AD54)</f>
        <v>-20.573935200000001</v>
      </c>
      <c r="AE58" s="40">
        <f>MIN(AE21:AE54)</f>
        <v>-87.479027999999971</v>
      </c>
      <c r="AF58" s="40">
        <f>MIN(AF21:AF54)</f>
        <v>-1.0651050071999998E-2</v>
      </c>
    </row>
    <row r="59" spans="1:32" s="37" customFormat="1" ht="12.75" x14ac:dyDescent="0.2">
      <c r="A59" s="38"/>
      <c r="B59" s="42"/>
      <c r="C59" s="43"/>
      <c r="D59" s="42"/>
      <c r="E59" s="38"/>
      <c r="F59" s="38"/>
      <c r="G59" s="38"/>
      <c r="H59" s="38"/>
      <c r="I59" s="38"/>
      <c r="J59" s="38"/>
      <c r="K59" s="38"/>
      <c r="L59" s="38"/>
      <c r="M59" s="35"/>
      <c r="N59" s="35"/>
      <c r="O59" s="35"/>
      <c r="P59" s="35"/>
      <c r="Q59" s="35"/>
      <c r="R59" s="35"/>
      <c r="S59" s="35"/>
      <c r="T59" s="35"/>
      <c r="U59" s="34"/>
      <c r="V59" s="38"/>
      <c r="W59" s="38"/>
      <c r="X59" s="38"/>
      <c r="Y59" s="38"/>
      <c r="AD59" s="40"/>
      <c r="AE59" s="40"/>
      <c r="AF59" s="40"/>
    </row>
    <row r="60" spans="1:32" s="37" customFormat="1" ht="12.75" x14ac:dyDescent="0.2">
      <c r="A60" s="105"/>
      <c r="B60" s="95"/>
      <c r="C60" s="95"/>
      <c r="D60" s="95"/>
      <c r="E60" s="95"/>
      <c r="F60" s="95"/>
      <c r="G60" s="96"/>
      <c r="H60" s="96"/>
      <c r="I60" s="96"/>
      <c r="J60" s="96"/>
      <c r="K60" s="97"/>
      <c r="L60" s="38"/>
      <c r="M60" s="35"/>
      <c r="N60" s="35"/>
      <c r="O60" s="35"/>
      <c r="P60" s="35"/>
      <c r="Q60" s="35"/>
      <c r="R60" s="35"/>
      <c r="S60" s="35"/>
      <c r="T60" s="35"/>
      <c r="U60" s="34"/>
      <c r="V60" s="38"/>
      <c r="W60" s="38"/>
      <c r="X60" s="38"/>
      <c r="Y60" s="38"/>
      <c r="AD60" s="40"/>
      <c r="AE60" s="40"/>
      <c r="AF60" s="40"/>
    </row>
    <row r="61" spans="1:32" s="37" customFormat="1" ht="12.75" x14ac:dyDescent="0.2">
      <c r="A61" s="98"/>
      <c r="B61" s="98"/>
      <c r="C61" s="98"/>
      <c r="D61" s="99"/>
      <c r="E61" s="99"/>
      <c r="F61" s="100"/>
      <c r="G61" s="106"/>
      <c r="H61" s="101"/>
      <c r="I61" s="102"/>
      <c r="J61" s="102"/>
      <c r="K61" s="103"/>
      <c r="L61" s="38"/>
      <c r="M61" s="35"/>
      <c r="N61" s="35"/>
      <c r="O61" s="35"/>
      <c r="P61" s="35"/>
      <c r="Q61" s="35"/>
      <c r="R61" s="35"/>
      <c r="S61" s="35"/>
      <c r="T61" s="35"/>
      <c r="U61" s="34"/>
      <c r="V61" s="38"/>
      <c r="W61" s="38"/>
      <c r="X61" s="38"/>
      <c r="Y61" s="38"/>
    </row>
  </sheetData>
  <mergeCells count="1">
    <mergeCell ref="B13:D13"/>
  </mergeCells>
  <hyperlinks>
    <hyperlink ref="B13" r:id="rId1" display=" (NASA TM X-73305, 1975)"/>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2016-12-22T02:57:22Z</dcterms:modified>
  <cp:category>Engineering Spreadsheets</cp:category>
</cp:coreProperties>
</file>