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4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H23" i="41" l="1"/>
  <c r="H22" i="41"/>
  <c r="H21" i="41"/>
  <c r="X55" i="41"/>
  <c r="X56" i="41" l="1"/>
  <c r="G27" i="41"/>
  <c r="B27" i="41" l="1"/>
  <c r="B25" i="41"/>
  <c r="Y16" i="41"/>
  <c r="B24" i="41"/>
  <c r="AA56" i="41" l="1"/>
  <c r="AA46" i="41"/>
  <c r="AA38" i="41"/>
  <c r="AA30" i="41"/>
  <c r="AA22" i="41"/>
  <c r="AA45" i="41"/>
  <c r="AA37" i="41"/>
  <c r="AA53" i="41"/>
  <c r="AA44" i="41"/>
  <c r="AA36" i="41"/>
  <c r="AA28" i="41"/>
  <c r="AA43" i="41"/>
  <c r="AA27" i="41"/>
  <c r="AA55" i="41"/>
  <c r="AA52" i="41"/>
  <c r="AA51" i="41"/>
  <c r="AA50" i="41"/>
  <c r="AA42" i="41"/>
  <c r="AA34" i="41"/>
  <c r="AA26" i="41"/>
  <c r="AA41" i="41"/>
  <c r="AA33" i="41"/>
  <c r="AA40" i="41"/>
  <c r="AA47" i="41"/>
  <c r="AA39" i="41"/>
  <c r="AA31" i="41"/>
  <c r="AA23" i="41"/>
  <c r="AA35" i="41"/>
  <c r="AA49" i="41"/>
  <c r="AA48" i="41"/>
  <c r="B34" i="41"/>
  <c r="B31" i="41"/>
  <c r="AI22" i="41"/>
  <c r="AJ22" i="41"/>
  <c r="AH22" i="41"/>
  <c r="Z22" i="41"/>
  <c r="Y56" i="41"/>
  <c r="Z56" i="41"/>
  <c r="Y22" i="41"/>
  <c r="X1" i="41"/>
  <c r="G1" i="41" s="1"/>
  <c r="J10" i="41" s="1"/>
  <c r="X2" i="41"/>
  <c r="X3" i="41"/>
  <c r="X4" i="41"/>
  <c r="X5" i="41"/>
  <c r="X6" i="41"/>
  <c r="X7" i="41"/>
  <c r="F8" i="41"/>
  <c r="J8" i="41"/>
  <c r="F9" i="41"/>
  <c r="J9" i="41"/>
  <c r="F10" i="41"/>
  <c r="L10" i="41"/>
  <c r="F11" i="41"/>
  <c r="B12" i="41"/>
  <c r="W18" i="41"/>
  <c r="Z18" i="41"/>
  <c r="AB18" i="41"/>
  <c r="AC18" i="41"/>
  <c r="X23" i="41"/>
  <c r="Z23" i="41" s="1"/>
  <c r="Y23" i="41" l="1"/>
  <c r="AF58" i="41"/>
  <c r="AF57" i="41"/>
  <c r="AD21" i="41"/>
  <c r="AE21" i="41"/>
  <c r="X24" i="41"/>
  <c r="AA24" i="41" s="1"/>
  <c r="Y24" i="41" l="1"/>
  <c r="Z24" i="41"/>
  <c r="X25" i="41"/>
  <c r="AA25" i="41" s="1"/>
  <c r="X26" i="41"/>
  <c r="X27" i="41"/>
  <c r="B26" i="41"/>
  <c r="Z27" i="41" l="1"/>
  <c r="Y27" i="41"/>
  <c r="Y25" i="41"/>
  <c r="Z25" i="41"/>
  <c r="Z26" i="41"/>
  <c r="Y26" i="41"/>
  <c r="AA18" i="41"/>
  <c r="X18" i="41"/>
  <c r="X28" i="41"/>
  <c r="B32" i="41"/>
  <c r="B33" i="41"/>
  <c r="Z28" i="41" l="1"/>
  <c r="Y28" i="41"/>
  <c r="X29" i="41"/>
  <c r="AA29" i="41" s="1"/>
  <c r="X30" i="41"/>
  <c r="X31" i="41"/>
  <c r="X32" i="41"/>
  <c r="AA32" i="41" s="1"/>
  <c r="X33" i="41"/>
  <c r="X34" i="41"/>
  <c r="X35" i="41"/>
  <c r="X36" i="41"/>
  <c r="X37" i="41"/>
  <c r="X38" i="41"/>
  <c r="X39" i="41"/>
  <c r="X40" i="41"/>
  <c r="X41" i="41"/>
  <c r="X42" i="41"/>
  <c r="X43" i="41"/>
  <c r="X44" i="41"/>
  <c r="X45" i="41"/>
  <c r="X46" i="41"/>
  <c r="X47" i="41"/>
  <c r="X48" i="41"/>
  <c r="X49" i="41"/>
  <c r="X50" i="41"/>
  <c r="X51" i="41"/>
  <c r="X52" i="41"/>
  <c r="X53" i="41"/>
  <c r="G26" i="41"/>
  <c r="G25" i="41"/>
  <c r="B29" i="41"/>
  <c r="B30" i="41"/>
  <c r="Z45" i="41" l="1"/>
  <c r="Y45" i="41"/>
  <c r="Z47" i="41"/>
  <c r="Y47" i="41"/>
  <c r="Z39" i="41"/>
  <c r="Y39" i="41"/>
  <c r="Y31" i="41"/>
  <c r="Z31" i="41"/>
  <c r="Z55" i="41"/>
  <c r="Y55" i="41"/>
  <c r="Z37" i="41"/>
  <c r="Y37" i="41"/>
  <c r="Z52" i="41"/>
  <c r="Y52" i="41"/>
  <c r="Z44" i="41"/>
  <c r="Y44" i="41"/>
  <c r="Z36" i="41"/>
  <c r="Y36" i="41"/>
  <c r="Z51" i="41"/>
  <c r="Y51" i="41"/>
  <c r="Z43" i="41"/>
  <c r="Y43" i="41"/>
  <c r="Z35" i="41"/>
  <c r="Y35" i="41"/>
  <c r="Z38" i="41"/>
  <c r="Y38" i="41"/>
  <c r="Z53" i="41"/>
  <c r="Y53" i="41"/>
  <c r="Z34" i="41"/>
  <c r="Y34" i="41"/>
  <c r="Z46" i="41"/>
  <c r="Y46" i="41"/>
  <c r="Z50" i="41"/>
  <c r="Y50" i="41"/>
  <c r="Z49" i="41"/>
  <c r="Y49" i="41"/>
  <c r="Z41" i="41"/>
  <c r="Y41" i="41"/>
  <c r="Y33" i="41"/>
  <c r="Z33" i="41"/>
  <c r="Z42" i="41"/>
  <c r="Y42" i="41"/>
  <c r="Z48" i="41"/>
  <c r="Y48" i="41"/>
  <c r="Z40" i="41"/>
  <c r="Y40" i="41"/>
  <c r="Z32" i="41"/>
  <c r="Y32" i="41"/>
  <c r="Z30" i="41"/>
  <c r="Y30" i="41"/>
  <c r="Y29" i="41"/>
  <c r="Z29" i="41"/>
  <c r="AC22" i="41" a="1"/>
  <c r="Y18" i="41"/>
  <c r="AD18" i="41"/>
  <c r="C12" i="40"/>
  <c r="AC22" i="41" l="1"/>
  <c r="AF22" i="41" s="1"/>
  <c r="AC37" i="41"/>
  <c r="AF37" i="41" s="1"/>
  <c r="AC34" i="41"/>
  <c r="AF34" i="41" s="1"/>
  <c r="AC32" i="41"/>
  <c r="AF32" i="41" s="1"/>
  <c r="AC46" i="41"/>
  <c r="AF46" i="41" s="1"/>
  <c r="AC48" i="41"/>
  <c r="AF48" i="41" s="1"/>
  <c r="AC42" i="41"/>
  <c r="AF42" i="41" s="1"/>
  <c r="AC29" i="41"/>
  <c r="AF29" i="41" s="1"/>
  <c r="AC26" i="41"/>
  <c r="AF26" i="41" s="1"/>
  <c r="AC24" i="41"/>
  <c r="AF24" i="41" s="1"/>
  <c r="AC38" i="41"/>
  <c r="AF38" i="41" s="1"/>
  <c r="AC50" i="41"/>
  <c r="AF50" i="41" s="1"/>
  <c r="AC23" i="41"/>
  <c r="AF23" i="41" s="1"/>
  <c r="AC45" i="41"/>
  <c r="AF45" i="41" s="1"/>
  <c r="AC54" i="41"/>
  <c r="AF54" i="41" s="1"/>
  <c r="AC52" i="41"/>
  <c r="AF52" i="41" s="1"/>
  <c r="AC51" i="41"/>
  <c r="AF51" i="41" s="1"/>
  <c r="AC49" i="41"/>
  <c r="AF49" i="41" s="1"/>
  <c r="AC55" i="41"/>
  <c r="AF55" i="41" s="1"/>
  <c r="AC30" i="41"/>
  <c r="AC53" i="41"/>
  <c r="AF53" i="41" s="1"/>
  <c r="AC40" i="41"/>
  <c r="AF40" i="41" s="1"/>
  <c r="AC44" i="41"/>
  <c r="AF44" i="41" s="1"/>
  <c r="AC43" i="41"/>
  <c r="AF43" i="41" s="1"/>
  <c r="AC41" i="41"/>
  <c r="AF41" i="41" s="1"/>
  <c r="AC47" i="41"/>
  <c r="AF47" i="41" s="1"/>
  <c r="AC36" i="41"/>
  <c r="AF36" i="41" s="1"/>
  <c r="AC35" i="41"/>
  <c r="AF35" i="41" s="1"/>
  <c r="AC33" i="41"/>
  <c r="AF33" i="41" s="1"/>
  <c r="AC39" i="41"/>
  <c r="AF39" i="41" s="1"/>
  <c r="AC28" i="41"/>
  <c r="AF28" i="41" s="1"/>
  <c r="AC27" i="41"/>
  <c r="AF27" i="41" s="1"/>
  <c r="AC25" i="41"/>
  <c r="AF25" i="41" s="1"/>
  <c r="AC31" i="41"/>
  <c r="AE30" i="41"/>
  <c r="AD31" i="41" l="1"/>
  <c r="AF31" i="41"/>
  <c r="AD30" i="41"/>
  <c r="AF30" i="41"/>
  <c r="AE27" i="41"/>
  <c r="AD27" i="41"/>
  <c r="AD43" i="41"/>
  <c r="AE43" i="41"/>
  <c r="AE52" i="41"/>
  <c r="AD52" i="41"/>
  <c r="AD29" i="41"/>
  <c r="AE29" i="41"/>
  <c r="AD44" i="41"/>
  <c r="AE44" i="41"/>
  <c r="AE54" i="41"/>
  <c r="AD54" i="41"/>
  <c r="AD42" i="41"/>
  <c r="AE42" i="41"/>
  <c r="AD40" i="41"/>
  <c r="AE40" i="41"/>
  <c r="AD45" i="41"/>
  <c r="AE45" i="41"/>
  <c r="AD48" i="41"/>
  <c r="AE48" i="41"/>
  <c r="AD28" i="41"/>
  <c r="AE28" i="41"/>
  <c r="AE33" i="41"/>
  <c r="AD33" i="41"/>
  <c r="AD53" i="41"/>
  <c r="AE53" i="41"/>
  <c r="AD23" i="41"/>
  <c r="AE23" i="41"/>
  <c r="AD46" i="41"/>
  <c r="AE46" i="41"/>
  <c r="AE39" i="41"/>
  <c r="AD39" i="41"/>
  <c r="AE31" i="41"/>
  <c r="AD35" i="41"/>
  <c r="AE35" i="41"/>
  <c r="AD50" i="41"/>
  <c r="AE50" i="41"/>
  <c r="AD32" i="41"/>
  <c r="AE32" i="41"/>
  <c r="AD36" i="41"/>
  <c r="AE36" i="41"/>
  <c r="AE55" i="41"/>
  <c r="AD55" i="41"/>
  <c r="AD38" i="41"/>
  <c r="AE38" i="41"/>
  <c r="AD34" i="41"/>
  <c r="AE34" i="41"/>
  <c r="AD47" i="41"/>
  <c r="AE47" i="41"/>
  <c r="AD49" i="41"/>
  <c r="AE49" i="41"/>
  <c r="AD24" i="41"/>
  <c r="AE24" i="41"/>
  <c r="AD37" i="41"/>
  <c r="AE37" i="41"/>
  <c r="AD25" i="41"/>
  <c r="AE25" i="41"/>
  <c r="AE41" i="41"/>
  <c r="AD41" i="41"/>
  <c r="AD51" i="41"/>
  <c r="AE51" i="41"/>
  <c r="AD26" i="41"/>
  <c r="AE26" i="41"/>
  <c r="AE22" i="41"/>
  <c r="AD22" i="41"/>
  <c r="J38" i="41" l="1"/>
  <c r="J41" i="41" s="1"/>
  <c r="AD58" i="41"/>
  <c r="AE57" i="41"/>
  <c r="AD57" i="41"/>
  <c r="AE58" i="41"/>
  <c r="J45" i="41"/>
  <c r="J48" i="41" s="1"/>
  <c r="J44" i="41"/>
  <c r="J47" i="41" s="1"/>
  <c r="J37" i="41"/>
  <c r="J40" i="41" s="1"/>
  <c r="J53" i="41"/>
  <c r="J56" i="41" s="1"/>
  <c r="J52" i="41"/>
  <c r="J55" i="41" s="1"/>
</calcChain>
</file>

<file path=xl/sharedStrings.xml><?xml version="1.0" encoding="utf-8"?>
<sst xmlns="http://schemas.openxmlformats.org/spreadsheetml/2006/main" count="172" uniqueCount="102">
  <si>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</si>
  <si>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</si>
  <si>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</si>
  <si>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</si>
  <si>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</si>
  <si>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</si>
  <si>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</si>
  <si>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</si>
  <si>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</si>
  <si>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</si>
  <si>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</si>
  <si>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</si>
  <si>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</si>
  <si>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</si>
  <si>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</si>
  <si>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</si>
  <si>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</si>
  <si>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</si>
  <si>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</si>
  <si>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</si>
  <si>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</si>
  <si>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</si>
  <si>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</si>
  <si>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</si>
  <si>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</si>
  <si>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</si>
  <si>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</si>
  <si>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</si>
  <si>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</si>
  <si>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</si>
  <si>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</si>
  <si>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</si>
  <si>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</si>
  <si>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</si>
  <si>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</si>
  <si>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</si>
  <si>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</si>
  <si>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</si>
  <si>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</si>
  <si>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</si>
  <si>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</si>
  <si>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</si>
  <si>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</si>
  <si>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</si>
  <si>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</si>
  <si>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</si>
  <si>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</si>
  <si>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</si>
  <si>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lb (Applied Load)</t>
  </si>
  <si>
    <t>W =</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</si>
  <si>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</si>
  <si>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</si>
  <si>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</si>
  <si>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</si>
  <si>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</si>
  <si>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</si>
  <si>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</si>
  <si>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</si>
  <si>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</si>
  <si>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</si>
  <si>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</si>
  <si>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</si>
  <si>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</si>
  <si>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</si>
  <si>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</si>
  <si>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</si>
  <si>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</si>
  <si>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</si>
  <si>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</si>
  <si>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t>Table B 4.1.1-2</t>
  </si>
  <si>
    <t>(NASA TM X-73305, 1975)</t>
  </si>
  <si>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</si>
  <si>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</si>
  <si>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</si>
  <si>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</si>
  <si>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</si>
  <si>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</si>
  <si>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</si>
  <si>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</si>
  <si>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</si>
  <si>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</si>
  <si>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</si>
  <si>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</si>
  <si>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</si>
  <si>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</si>
  <si>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</si>
  <si>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</si>
  <si>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</si>
  <si>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</si>
  <si>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</si>
  <si>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</si>
  <si>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w =</t>
  </si>
  <si>
    <t>lb/in</t>
  </si>
  <si>
    <t>Max M =</t>
  </si>
  <si>
    <t>AA-SM-026-014</t>
  </si>
  <si>
    <t>SIMPLE BEAMS - SINGLE SPAN - UDL Part Span</t>
  </si>
  <si>
    <t>a =</t>
  </si>
  <si>
    <t>b =</t>
  </si>
  <si>
    <t>d =</t>
  </si>
  <si>
    <t>c =</t>
  </si>
  <si>
    <r>
      <t>R</t>
    </r>
    <r>
      <rPr>
        <vertAlign val="subscript"/>
        <sz val="10"/>
        <color theme="1"/>
        <rFont val="Calibri"/>
        <family val="2"/>
        <scheme val="minor"/>
      </rPr>
      <t>D</t>
    </r>
    <r>
      <rPr>
        <sz val="10"/>
        <color theme="1"/>
        <rFont val="Calibri"/>
        <family val="2"/>
        <scheme val="minor"/>
      </rPr>
      <t xml:space="preserve"> =</t>
    </r>
  </si>
  <si>
    <r>
      <t>θ</t>
    </r>
    <r>
      <rPr>
        <vertAlign val="subscript"/>
        <sz val="10"/>
        <color theme="1"/>
        <rFont val="Calibri"/>
        <family val="2"/>
        <scheme val="minor"/>
      </rPr>
      <t>D</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</si>
</sst>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2">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5" fillId="0" borderId="0" xfId="0" applyFont="1" applyAlignment="1">
      <alignment horizontal="righ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166" fontId="13" fillId="0" borderId="0" xfId="0" applyNumberFormat="1" applyFont="1"/>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6"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6" fontId="5"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xf numFmtId="0" fontId="19" fillId="0" borderId="0" xfId="7" applyFont="1" applyAlignment="1">
      <alignment horizontal="centerContinuous"/>
    </xf>
    <xf numFmtId="0" fontId="11" fillId="0" borderId="0" xfId="6" applyBorder="1" applyAlignment="1" applyProtection="1">
      <alignment horizontal="left"/>
      <protection locked="0"/>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6.2000099999999998</c:v>
                </c:pt>
                <c:pt idx="15">
                  <c:v>6.5</c:v>
                </c:pt>
                <c:pt idx="16">
                  <c:v>7</c:v>
                </c:pt>
                <c:pt idx="17">
                  <c:v>7.5</c:v>
                </c:pt>
                <c:pt idx="18">
                  <c:v>8</c:v>
                </c:pt>
                <c:pt idx="19">
                  <c:v>8.5</c:v>
                </c:pt>
                <c:pt idx="20">
                  <c:v>9</c:v>
                </c:pt>
                <c:pt idx="21">
                  <c:v>9.5</c:v>
                </c:pt>
                <c:pt idx="22">
                  <c:v>10</c:v>
                </c:pt>
                <c:pt idx="23">
                  <c:v>10.5</c:v>
                </c:pt>
                <c:pt idx="24">
                  <c:v>11</c:v>
                </c:pt>
                <c:pt idx="25">
                  <c:v>11.00001</c:v>
                </c:pt>
                <c:pt idx="26">
                  <c:v>11.5</c:v>
                </c:pt>
                <c:pt idx="27">
                  <c:v>12</c:v>
                </c:pt>
                <c:pt idx="28">
                  <c:v>12.5</c:v>
                </c:pt>
                <c:pt idx="29">
                  <c:v>13</c:v>
                </c:pt>
                <c:pt idx="30">
                  <c:v>13.5</c:v>
                </c:pt>
                <c:pt idx="31">
                  <c:v>14</c:v>
                </c:pt>
                <c:pt idx="32">
                  <c:v>14.5</c:v>
                </c:pt>
                <c:pt idx="33">
                  <c:v>15</c:v>
                </c:pt>
              </c:numCache>
            </c:numRef>
          </c:xVal>
          <c:yVal>
            <c:numRef>
              <c:f>'POINT LOAD MID SPAN'!$AD$21:$AD$54</c:f>
              <c:numCache>
                <c:formatCode>0</c:formatCode>
                <c:ptCount val="34"/>
                <c:pt idx="0">
                  <c:v>4.0960000000000001</c:v>
                </c:pt>
                <c:pt idx="1">
                  <c:v>4.0960000000000001</c:v>
                </c:pt>
                <c:pt idx="2">
                  <c:v>4.0960000000000001</c:v>
                </c:pt>
                <c:pt idx="3">
                  <c:v>4.0960000000000001</c:v>
                </c:pt>
                <c:pt idx="4">
                  <c:v>4.0960000000000001</c:v>
                </c:pt>
                <c:pt idx="5">
                  <c:v>4.0960000000000001</c:v>
                </c:pt>
                <c:pt idx="6">
                  <c:v>4.0960000000000001</c:v>
                </c:pt>
                <c:pt idx="7">
                  <c:v>4.0960000000000001</c:v>
                </c:pt>
                <c:pt idx="8">
                  <c:v>4.0960000000000001</c:v>
                </c:pt>
                <c:pt idx="9">
                  <c:v>4.0960000000000001</c:v>
                </c:pt>
                <c:pt idx="10">
                  <c:v>4.0960000000000001</c:v>
                </c:pt>
                <c:pt idx="11">
                  <c:v>4.0960000000000001</c:v>
                </c:pt>
                <c:pt idx="12">
                  <c:v>4.0960000000000001</c:v>
                </c:pt>
                <c:pt idx="13">
                  <c:v>4.0960000000000001</c:v>
                </c:pt>
                <c:pt idx="14">
                  <c:v>4.0959800000000008</c:v>
                </c:pt>
                <c:pt idx="15">
                  <c:v>3.4960000000000004</c:v>
                </c:pt>
                <c:pt idx="16">
                  <c:v>2.4960000000000004</c:v>
                </c:pt>
                <c:pt idx="17">
                  <c:v>1.4960000000000004</c:v>
                </c:pt>
                <c:pt idx="18">
                  <c:v>0.49600000000000044</c:v>
                </c:pt>
                <c:pt idx="19">
                  <c:v>-0.50399999999999956</c:v>
                </c:pt>
                <c:pt idx="20">
                  <c:v>-1.5039999999999996</c:v>
                </c:pt>
                <c:pt idx="21">
                  <c:v>-2.5039999999999996</c:v>
                </c:pt>
                <c:pt idx="22">
                  <c:v>-3.5039999999999996</c:v>
                </c:pt>
                <c:pt idx="23">
                  <c:v>-4.5039999999999996</c:v>
                </c:pt>
                <c:pt idx="24">
                  <c:v>-5.5039999999999996</c:v>
                </c:pt>
                <c:pt idx="25">
                  <c:v>-5.5039999999999996</c:v>
                </c:pt>
                <c:pt idx="26">
                  <c:v>-5.5039999999999996</c:v>
                </c:pt>
                <c:pt idx="27">
                  <c:v>-5.5039999999999996</c:v>
                </c:pt>
                <c:pt idx="28">
                  <c:v>-5.5039999999999996</c:v>
                </c:pt>
                <c:pt idx="29">
                  <c:v>-5.5039999999999996</c:v>
                </c:pt>
                <c:pt idx="30">
                  <c:v>-5.5039999999999996</c:v>
                </c:pt>
                <c:pt idx="31">
                  <c:v>-5.5039999999999996</c:v>
                </c:pt>
                <c:pt idx="32">
                  <c:v>-5.5039999999999996</c:v>
                </c:pt>
                <c:pt idx="33">
                  <c:v>-5.5039999999999996</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6.2000099999999998</c:v>
                </c:pt>
                <c:pt idx="15">
                  <c:v>6.5</c:v>
                </c:pt>
                <c:pt idx="16">
                  <c:v>7</c:v>
                </c:pt>
                <c:pt idx="17">
                  <c:v>7.5</c:v>
                </c:pt>
                <c:pt idx="18">
                  <c:v>8</c:v>
                </c:pt>
                <c:pt idx="19">
                  <c:v>8.5</c:v>
                </c:pt>
                <c:pt idx="20">
                  <c:v>9</c:v>
                </c:pt>
                <c:pt idx="21">
                  <c:v>9.5</c:v>
                </c:pt>
                <c:pt idx="22">
                  <c:v>10</c:v>
                </c:pt>
                <c:pt idx="23">
                  <c:v>10.5</c:v>
                </c:pt>
                <c:pt idx="24">
                  <c:v>11</c:v>
                </c:pt>
                <c:pt idx="25">
                  <c:v>11.00001</c:v>
                </c:pt>
                <c:pt idx="26">
                  <c:v>11.5</c:v>
                </c:pt>
                <c:pt idx="27">
                  <c:v>12</c:v>
                </c:pt>
                <c:pt idx="28">
                  <c:v>12.5</c:v>
                </c:pt>
                <c:pt idx="29">
                  <c:v>13</c:v>
                </c:pt>
                <c:pt idx="30">
                  <c:v>13.5</c:v>
                </c:pt>
                <c:pt idx="31">
                  <c:v>14</c:v>
                </c:pt>
                <c:pt idx="32">
                  <c:v>14.5</c:v>
                </c:pt>
                <c:pt idx="33">
                  <c:v>15</c:v>
                </c:pt>
              </c:numCache>
            </c:numRef>
          </c:xVal>
          <c:yVal>
            <c:numRef>
              <c:f>'POINT LOAD MID SPAN'!$AE$21:$AE$54</c:f>
              <c:numCache>
                <c:formatCode>0</c:formatCode>
                <c:ptCount val="34"/>
                <c:pt idx="0">
                  <c:v>0</c:v>
                </c:pt>
                <c:pt idx="1">
                  <c:v>0</c:v>
                </c:pt>
                <c:pt idx="2">
                  <c:v>2.048</c:v>
                </c:pt>
                <c:pt idx="3">
                  <c:v>4.0960000000000001</c:v>
                </c:pt>
                <c:pt idx="4">
                  <c:v>6.1440000000000001</c:v>
                </c:pt>
                <c:pt idx="5">
                  <c:v>8.1920000000000002</c:v>
                </c:pt>
                <c:pt idx="6">
                  <c:v>10.24</c:v>
                </c:pt>
                <c:pt idx="7">
                  <c:v>12.288</c:v>
                </c:pt>
                <c:pt idx="8">
                  <c:v>14.336</c:v>
                </c:pt>
                <c:pt idx="9">
                  <c:v>16.384</c:v>
                </c:pt>
                <c:pt idx="10">
                  <c:v>18.432000000000002</c:v>
                </c:pt>
                <c:pt idx="11">
                  <c:v>20.48</c:v>
                </c:pt>
                <c:pt idx="12">
                  <c:v>22.527999999999999</c:v>
                </c:pt>
                <c:pt idx="13">
                  <c:v>24.576000000000001</c:v>
                </c:pt>
                <c:pt idx="14">
                  <c:v>25.395240959900001</c:v>
                </c:pt>
                <c:pt idx="15">
                  <c:v>26.534000000000002</c:v>
                </c:pt>
                <c:pt idx="16">
                  <c:v>28.032</c:v>
                </c:pt>
                <c:pt idx="17">
                  <c:v>29.03</c:v>
                </c:pt>
                <c:pt idx="18">
                  <c:v>29.528000000000002</c:v>
                </c:pt>
                <c:pt idx="19">
                  <c:v>29.526000000000003</c:v>
                </c:pt>
                <c:pt idx="20">
                  <c:v>29.024000000000008</c:v>
                </c:pt>
                <c:pt idx="21">
                  <c:v>28.021999999999998</c:v>
                </c:pt>
                <c:pt idx="22">
                  <c:v>26.520000000000003</c:v>
                </c:pt>
                <c:pt idx="23">
                  <c:v>24.518000000000004</c:v>
                </c:pt>
                <c:pt idx="24">
                  <c:v>22.015999999999998</c:v>
                </c:pt>
                <c:pt idx="25">
                  <c:v>22.015944959999999</c:v>
                </c:pt>
                <c:pt idx="26">
                  <c:v>19.263999999999996</c:v>
                </c:pt>
                <c:pt idx="27">
                  <c:v>16.512</c:v>
                </c:pt>
                <c:pt idx="28">
                  <c:v>13.759999999999998</c:v>
                </c:pt>
                <c:pt idx="29">
                  <c:v>11.008000000000003</c:v>
                </c:pt>
                <c:pt idx="30">
                  <c:v>8.2560000000000002</c:v>
                </c:pt>
                <c:pt idx="31">
                  <c:v>5.5039999999999978</c:v>
                </c:pt>
                <c:pt idx="32">
                  <c:v>2.7520000000000024</c:v>
                </c:pt>
                <c:pt idx="33">
                  <c:v>0</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0.5</c:v>
                </c:pt>
                <c:pt idx="2">
                  <c:v>1</c:v>
                </c:pt>
                <c:pt idx="3">
                  <c:v>1.5</c:v>
                </c:pt>
                <c:pt idx="4">
                  <c:v>2</c:v>
                </c:pt>
                <c:pt idx="5">
                  <c:v>2.5</c:v>
                </c:pt>
                <c:pt idx="6">
                  <c:v>3</c:v>
                </c:pt>
                <c:pt idx="7">
                  <c:v>3.5</c:v>
                </c:pt>
                <c:pt idx="8">
                  <c:v>4</c:v>
                </c:pt>
                <c:pt idx="9">
                  <c:v>4.5</c:v>
                </c:pt>
                <c:pt idx="10">
                  <c:v>5</c:v>
                </c:pt>
                <c:pt idx="11">
                  <c:v>5.5</c:v>
                </c:pt>
                <c:pt idx="12">
                  <c:v>6</c:v>
                </c:pt>
                <c:pt idx="13">
                  <c:v>6.2000099999999998</c:v>
                </c:pt>
                <c:pt idx="14">
                  <c:v>6.5</c:v>
                </c:pt>
                <c:pt idx="15">
                  <c:v>7</c:v>
                </c:pt>
                <c:pt idx="16">
                  <c:v>7.5</c:v>
                </c:pt>
                <c:pt idx="17">
                  <c:v>8</c:v>
                </c:pt>
                <c:pt idx="18">
                  <c:v>8.5</c:v>
                </c:pt>
                <c:pt idx="19">
                  <c:v>9</c:v>
                </c:pt>
                <c:pt idx="20">
                  <c:v>9.5</c:v>
                </c:pt>
                <c:pt idx="21">
                  <c:v>10</c:v>
                </c:pt>
                <c:pt idx="22">
                  <c:v>10.5</c:v>
                </c:pt>
                <c:pt idx="23">
                  <c:v>11</c:v>
                </c:pt>
                <c:pt idx="24">
                  <c:v>11.00001</c:v>
                </c:pt>
                <c:pt idx="25">
                  <c:v>11.5</c:v>
                </c:pt>
                <c:pt idx="26">
                  <c:v>12</c:v>
                </c:pt>
                <c:pt idx="27">
                  <c:v>12.5</c:v>
                </c:pt>
                <c:pt idx="28">
                  <c:v>13</c:v>
                </c:pt>
                <c:pt idx="29">
                  <c:v>13.5</c:v>
                </c:pt>
                <c:pt idx="30">
                  <c:v>14</c:v>
                </c:pt>
                <c:pt idx="31">
                  <c:v>14.5</c:v>
                </c:pt>
                <c:pt idx="32">
                  <c:v>15</c:v>
                </c:pt>
                <c:pt idx="33">
                  <c:v>15</c:v>
                </c:pt>
              </c:numCache>
            </c:numRef>
          </c:xVal>
          <c:yVal>
            <c:numRef>
              <c:f>'POINT LOAD MID SPAN'!$AF$22:$AF$55</c:f>
              <c:numCache>
                <c:formatCode>0.0000</c:formatCode>
                <c:ptCount val="34"/>
                <c:pt idx="0">
                  <c:v>0</c:v>
                </c:pt>
                <c:pt idx="1">
                  <c:v>-6.0767573333333331E-4</c:v>
                </c:pt>
                <c:pt idx="2">
                  <c:v>-1.2102314666666667E-3</c:v>
                </c:pt>
                <c:pt idx="3">
                  <c:v>-1.8025471999999999E-3</c:v>
                </c:pt>
                <c:pt idx="4">
                  <c:v>-2.3795029333333333E-3</c:v>
                </c:pt>
                <c:pt idx="5">
                  <c:v>-2.9359786666666664E-3</c:v>
                </c:pt>
                <c:pt idx="6">
                  <c:v>-3.4668544000000003E-3</c:v>
                </c:pt>
                <c:pt idx="7">
                  <c:v>-3.9670101333333331E-3</c:v>
                </c:pt>
                <c:pt idx="8">
                  <c:v>-4.4313258666666662E-3</c:v>
                </c:pt>
                <c:pt idx="9">
                  <c:v>-4.8546816000000007E-3</c:v>
                </c:pt>
                <c:pt idx="10">
                  <c:v>-5.2319573333333329E-3</c:v>
                </c:pt>
                <c:pt idx="11">
                  <c:v>-5.5580330666666665E-3</c:v>
                </c:pt>
                <c:pt idx="12">
                  <c:v>-5.8277888000000007E-3</c:v>
                </c:pt>
                <c:pt idx="13">
                  <c:v>-5.9187789113899691E-3</c:v>
                </c:pt>
                <c:pt idx="14">
                  <c:v>-6.0361112833333327E-3</c:v>
                </c:pt>
                <c:pt idx="15">
                  <c:v>-6.1782015999999997E-3</c:v>
                </c:pt>
                <c:pt idx="16">
                  <c:v>-6.250316083333333E-3</c:v>
                </c:pt>
                <c:pt idx="17">
                  <c:v>-6.2499597333333327E-3</c:v>
                </c:pt>
                <c:pt idx="18">
                  <c:v>-6.1758875500000001E-3</c:v>
                </c:pt>
                <c:pt idx="19">
                  <c:v>-6.0281045333333335E-3</c:v>
                </c:pt>
                <c:pt idx="20">
                  <c:v>-5.8078656833333324E-3</c:v>
                </c:pt>
                <c:pt idx="21">
                  <c:v>-5.517676E-3</c:v>
                </c:pt>
                <c:pt idx="22">
                  <c:v>-5.1612904833333324E-3</c:v>
                </c:pt>
                <c:pt idx="23">
                  <c:v>-4.7437141333333335E-3</c:v>
                </c:pt>
                <c:pt idx="24">
                  <c:v>-4.7437052095036601E-3</c:v>
                </c:pt>
                <c:pt idx="25">
                  <c:v>-4.2711498666666656E-3</c:v>
                </c:pt>
                <c:pt idx="26">
                  <c:v>-3.7504255999999993E-3</c:v>
                </c:pt>
                <c:pt idx="27">
                  <c:v>-3.188421333333333E-3</c:v>
                </c:pt>
                <c:pt idx="28">
                  <c:v>-2.592017066666666E-3</c:v>
                </c:pt>
                <c:pt idx="29">
                  <c:v>-1.9680927999999997E-3</c:v>
                </c:pt>
                <c:pt idx="30">
                  <c:v>-1.3235285333333328E-3</c:v>
                </c:pt>
                <c:pt idx="31">
                  <c:v>-6.6520426666666582E-4</c:v>
                </c:pt>
                <c:pt idx="32">
                  <c:v>-2.8421709430404005E-19</c:v>
                </c:pt>
                <c:pt idx="33">
                  <c:v>-2.8421709430404005E-19</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171116</xdr:rowOff>
    </xdr:from>
    <xdr:to>
      <xdr:col>8</xdr:col>
      <xdr:colOff>0</xdr:colOff>
      <xdr:row>46</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38997"/>
          <a:ext cx="2491147" cy="575063"/>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393657</xdr:colOff>
      <xdr:row>12</xdr:row>
      <xdr:rowOff>159332</xdr:rowOff>
    </xdr:from>
    <xdr:to>
      <xdr:col>4</xdr:col>
      <xdr:colOff>187798</xdr:colOff>
      <xdr:row>21</xdr:row>
      <xdr:rowOff>142953</xdr:rowOff>
    </xdr:to>
    <xdr:grpSp>
      <xdr:nvGrpSpPr>
        <xdr:cNvPr id="33" name="Group 32">
          <a:extLst>
            <a:ext uri="{FF2B5EF4-FFF2-40B4-BE49-F238E27FC236}">
              <a16:creationId xmlns:a16="http://schemas.microsoft.com/office/drawing/2014/main" id="{29A19FB6-8365-4F78-9DD6-74DDCAD94922}"/>
            </a:ext>
          </a:extLst>
        </xdr:cNvPr>
        <xdr:cNvGrpSpPr/>
      </xdr:nvGrpSpPr>
      <xdr:grpSpPr>
        <a:xfrm>
          <a:off x="393657" y="2086744"/>
          <a:ext cx="2259435" cy="1417974"/>
          <a:chOff x="393657" y="2293491"/>
          <a:chExt cx="2340117" cy="1614637"/>
        </a:xfrm>
      </xdr:grpSpPr>
      <xdr:cxnSp macro="">
        <xdr:nvCxnSpPr>
          <xdr:cNvPr id="14" name="Straight Arrow Connector 13">
            <a:extLst>
              <a:ext uri="{FF2B5EF4-FFF2-40B4-BE49-F238E27FC236}">
                <a16:creationId xmlns:a16="http://schemas.microsoft.com/office/drawing/2014/main" id="{00000000-0008-0000-0100-00000E000000}"/>
              </a:ext>
            </a:extLst>
          </xdr:cNvPr>
          <xdr:cNvCxnSpPr/>
        </xdr:nvCxnSpPr>
        <xdr:spPr bwMode="auto">
          <a:xfrm flipV="1">
            <a:off x="1920222" y="3545830"/>
            <a:ext cx="0" cy="362298"/>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5" name="TextBox 14">
            <a:extLst>
              <a:ext uri="{FF2B5EF4-FFF2-40B4-BE49-F238E27FC236}">
                <a16:creationId xmlns:a16="http://schemas.microsoft.com/office/drawing/2014/main" id="{00000000-0008-0000-0100-00000F000000}"/>
              </a:ext>
            </a:extLst>
          </xdr:cNvPr>
          <xdr:cNvSpPr txBox="1"/>
        </xdr:nvSpPr>
        <xdr:spPr>
          <a:xfrm>
            <a:off x="1877082" y="3625884"/>
            <a:ext cx="314849" cy="279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D</a:t>
            </a:r>
          </a:p>
        </xdr:txBody>
      </xdr:sp>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622090" y="3383691"/>
            <a:ext cx="1302936" cy="9320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567144" y="3395274"/>
            <a:ext cx="128094" cy="114046"/>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41" name="Isosceles Triangle 40">
            <a:extLst>
              <a:ext uri="{FF2B5EF4-FFF2-40B4-BE49-F238E27FC236}">
                <a16:creationId xmlns:a16="http://schemas.microsoft.com/office/drawing/2014/main" id="{00000000-0008-0000-0100-000029000000}"/>
              </a:ext>
            </a:extLst>
          </xdr:cNvPr>
          <xdr:cNvSpPr/>
        </xdr:nvSpPr>
        <xdr:spPr bwMode="auto">
          <a:xfrm>
            <a:off x="1857758" y="3395274"/>
            <a:ext cx="124209" cy="114046"/>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22462" y="3545830"/>
            <a:ext cx="0" cy="362298"/>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8150" y="3625884"/>
            <a:ext cx="316088" cy="279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cxnSp macro="">
        <xdr:nvCxnSpPr>
          <xdr:cNvPr id="46" name="Straight Connector 45">
            <a:extLst>
              <a:ext uri="{FF2B5EF4-FFF2-40B4-BE49-F238E27FC236}">
                <a16:creationId xmlns:a16="http://schemas.microsoft.com/office/drawing/2014/main" id="{5864C20B-A936-4238-AD93-F0C44B8DEE01}"/>
              </a:ext>
            </a:extLst>
          </xdr:cNvPr>
          <xdr:cNvCxnSpPr/>
        </xdr:nvCxnSpPr>
        <xdr:spPr bwMode="auto">
          <a:xfrm>
            <a:off x="625807" y="2437247"/>
            <a:ext cx="0" cy="8729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9" name="Straight Arrow Connector 48">
            <a:extLst>
              <a:ext uri="{FF2B5EF4-FFF2-40B4-BE49-F238E27FC236}">
                <a16:creationId xmlns:a16="http://schemas.microsoft.com/office/drawing/2014/main" id="{065AC5E2-CBA5-41E7-AB88-BA8583F0D445}"/>
              </a:ext>
            </a:extLst>
          </xdr:cNvPr>
          <xdr:cNvCxnSpPr/>
        </xdr:nvCxnSpPr>
        <xdr:spPr bwMode="auto">
          <a:xfrm>
            <a:off x="625807" y="2495679"/>
            <a:ext cx="1289776"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43742" y="3405403"/>
            <a:ext cx="259491" cy="2843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53" name="TextBox 52">
            <a:extLst>
              <a:ext uri="{FF2B5EF4-FFF2-40B4-BE49-F238E27FC236}">
                <a16:creationId xmlns:a16="http://schemas.microsoft.com/office/drawing/2014/main" id="{A8FBAA0D-938F-459E-A439-FBAB6A0B4E12}"/>
              </a:ext>
            </a:extLst>
          </xdr:cNvPr>
          <xdr:cNvSpPr txBox="1"/>
        </xdr:nvSpPr>
        <xdr:spPr>
          <a:xfrm>
            <a:off x="393657" y="2564806"/>
            <a:ext cx="256922" cy="2770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54" name="Straight Connector 53">
            <a:extLst>
              <a:ext uri="{FF2B5EF4-FFF2-40B4-BE49-F238E27FC236}">
                <a16:creationId xmlns:a16="http://schemas.microsoft.com/office/drawing/2014/main" id="{3C6C9F6E-B3C4-4A6A-8591-0CD158F1192B}"/>
              </a:ext>
            </a:extLst>
          </xdr:cNvPr>
          <xdr:cNvCxnSpPr/>
        </xdr:nvCxnSpPr>
        <xdr:spPr bwMode="auto">
          <a:xfrm flipH="1">
            <a:off x="2012807" y="3367678"/>
            <a:ext cx="611074"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56" name="TextBox 55">
            <a:extLst>
              <a:ext uri="{FF2B5EF4-FFF2-40B4-BE49-F238E27FC236}">
                <a16:creationId xmlns:a16="http://schemas.microsoft.com/office/drawing/2014/main" id="{B0270493-0F5A-456B-8E24-BA7FB4E831E3}"/>
              </a:ext>
            </a:extLst>
          </xdr:cNvPr>
          <xdr:cNvSpPr txBox="1"/>
        </xdr:nvSpPr>
        <xdr:spPr>
          <a:xfrm>
            <a:off x="2472367" y="3111029"/>
            <a:ext cx="261407" cy="2770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57" name="Straight Connector 56">
            <a:extLst>
              <a:ext uri="{FF2B5EF4-FFF2-40B4-BE49-F238E27FC236}">
                <a16:creationId xmlns:a16="http://schemas.microsoft.com/office/drawing/2014/main" id="{1389C5CD-49A1-4644-AE54-5E5E270FE197}"/>
              </a:ext>
            </a:extLst>
          </xdr:cNvPr>
          <xdr:cNvCxnSpPr/>
        </xdr:nvCxnSpPr>
        <xdr:spPr bwMode="auto">
          <a:xfrm>
            <a:off x="1918725" y="2446975"/>
            <a:ext cx="0" cy="74194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58" name="TextBox 57">
            <a:extLst>
              <a:ext uri="{FF2B5EF4-FFF2-40B4-BE49-F238E27FC236}">
                <a16:creationId xmlns:a16="http://schemas.microsoft.com/office/drawing/2014/main" id="{56210D2B-3B02-4C35-8776-AFB12840C415}"/>
              </a:ext>
            </a:extLst>
          </xdr:cNvPr>
          <xdr:cNvSpPr txBox="1"/>
        </xdr:nvSpPr>
        <xdr:spPr>
          <a:xfrm>
            <a:off x="1161179" y="2293491"/>
            <a:ext cx="238848" cy="2720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71" name="TextBox 70">
            <a:extLst>
              <a:ext uri="{FF2B5EF4-FFF2-40B4-BE49-F238E27FC236}">
                <a16:creationId xmlns:a16="http://schemas.microsoft.com/office/drawing/2014/main" id="{7FE3C71D-EC8B-43F5-8D94-AF42C667D568}"/>
              </a:ext>
            </a:extLst>
          </xdr:cNvPr>
          <xdr:cNvSpPr txBox="1"/>
        </xdr:nvSpPr>
        <xdr:spPr>
          <a:xfrm>
            <a:off x="1979808" y="2564822"/>
            <a:ext cx="558377" cy="276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W=w(b-a)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395389" y="3200590"/>
            <a:ext cx="269801" cy="2843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74" name="TextBox 73">
            <a:extLst>
              <a:ext uri="{FF2B5EF4-FFF2-40B4-BE49-F238E27FC236}">
                <a16:creationId xmlns:a16="http://schemas.microsoft.com/office/drawing/2014/main" id="{E9310543-70DA-4757-80DD-77EE140C5096}"/>
              </a:ext>
            </a:extLst>
          </xdr:cNvPr>
          <xdr:cNvSpPr txBox="1"/>
        </xdr:nvSpPr>
        <xdr:spPr>
          <a:xfrm>
            <a:off x="933982" y="3426205"/>
            <a:ext cx="266091" cy="2819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75" name="Straight Arrow Connector 74">
            <a:extLst>
              <a:ext uri="{FF2B5EF4-FFF2-40B4-BE49-F238E27FC236}">
                <a16:creationId xmlns:a16="http://schemas.microsoft.com/office/drawing/2014/main" id="{BF5FE46C-C992-42DD-958E-6F8E8C6ECC22}"/>
              </a:ext>
            </a:extLst>
          </xdr:cNvPr>
          <xdr:cNvCxnSpPr/>
        </xdr:nvCxnSpPr>
        <xdr:spPr bwMode="auto">
          <a:xfrm flipH="1" flipV="1">
            <a:off x="630771" y="3367680"/>
            <a:ext cx="1294721" cy="1"/>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xnSp macro="">
        <xdr:nvCxnSpPr>
          <xdr:cNvPr id="76" name="Straight Arrow Connector 75">
            <a:extLst>
              <a:ext uri="{FF2B5EF4-FFF2-40B4-BE49-F238E27FC236}">
                <a16:creationId xmlns:a16="http://schemas.microsoft.com/office/drawing/2014/main" id="{E517BFCB-2917-4563-9CAB-EDA3C314C05C}"/>
              </a:ext>
            </a:extLst>
          </xdr:cNvPr>
          <xdr:cNvCxnSpPr/>
        </xdr:nvCxnSpPr>
        <xdr:spPr bwMode="auto">
          <a:xfrm>
            <a:off x="1060743" y="2999622"/>
            <a:ext cx="0" cy="36837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7" name="Straight Arrow Connector 76">
            <a:extLst>
              <a:ext uri="{FF2B5EF4-FFF2-40B4-BE49-F238E27FC236}">
                <a16:creationId xmlns:a16="http://schemas.microsoft.com/office/drawing/2014/main" id="{79986BD3-888F-4012-8838-F5DD3A51498A}"/>
              </a:ext>
            </a:extLst>
          </xdr:cNvPr>
          <xdr:cNvCxnSpPr/>
        </xdr:nvCxnSpPr>
        <xdr:spPr bwMode="auto">
          <a:xfrm>
            <a:off x="1204473" y="2999622"/>
            <a:ext cx="0" cy="36837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9" name="Straight Arrow Connector 78">
            <a:extLst>
              <a:ext uri="{FF2B5EF4-FFF2-40B4-BE49-F238E27FC236}">
                <a16:creationId xmlns:a16="http://schemas.microsoft.com/office/drawing/2014/main" id="{F768395C-6C62-4F80-8525-0F7D36E47FFA}"/>
              </a:ext>
            </a:extLst>
          </xdr:cNvPr>
          <xdr:cNvCxnSpPr/>
        </xdr:nvCxnSpPr>
        <xdr:spPr bwMode="auto">
          <a:xfrm>
            <a:off x="1346462" y="2999622"/>
            <a:ext cx="0" cy="36837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0" name="Straight Arrow Connector 79">
            <a:extLst>
              <a:ext uri="{FF2B5EF4-FFF2-40B4-BE49-F238E27FC236}">
                <a16:creationId xmlns:a16="http://schemas.microsoft.com/office/drawing/2014/main" id="{A201E3F1-3D49-4187-8F9E-B268FE281F75}"/>
              </a:ext>
            </a:extLst>
          </xdr:cNvPr>
          <xdr:cNvCxnSpPr/>
        </xdr:nvCxnSpPr>
        <xdr:spPr bwMode="auto">
          <a:xfrm>
            <a:off x="1490192" y="2999622"/>
            <a:ext cx="0" cy="36837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1" name="Straight Arrow Connector 80">
            <a:extLst>
              <a:ext uri="{FF2B5EF4-FFF2-40B4-BE49-F238E27FC236}">
                <a16:creationId xmlns:a16="http://schemas.microsoft.com/office/drawing/2014/main" id="{11D04868-C6FB-448D-8D1E-80ED05FB74C9}"/>
              </a:ext>
            </a:extLst>
          </xdr:cNvPr>
          <xdr:cNvCxnSpPr/>
        </xdr:nvCxnSpPr>
        <xdr:spPr bwMode="auto">
          <a:xfrm>
            <a:off x="1633923" y="2999622"/>
            <a:ext cx="0" cy="36837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2" name="Straight Connector 81">
            <a:extLst>
              <a:ext uri="{FF2B5EF4-FFF2-40B4-BE49-F238E27FC236}">
                <a16:creationId xmlns:a16="http://schemas.microsoft.com/office/drawing/2014/main" id="{3EA21ACF-A01D-4B20-A7C0-238FFFAFACA8}"/>
              </a:ext>
            </a:extLst>
          </xdr:cNvPr>
          <xdr:cNvCxnSpPr/>
        </xdr:nvCxnSpPr>
        <xdr:spPr bwMode="auto">
          <a:xfrm>
            <a:off x="1061624" y="2997931"/>
            <a:ext cx="57121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83" name="TextBox 82">
            <a:extLst>
              <a:ext uri="{FF2B5EF4-FFF2-40B4-BE49-F238E27FC236}">
                <a16:creationId xmlns:a16="http://schemas.microsoft.com/office/drawing/2014/main" id="{15E50EAE-DEEF-4700-9329-0968CA8D329A}"/>
              </a:ext>
            </a:extLst>
          </xdr:cNvPr>
          <xdr:cNvSpPr txBox="1"/>
        </xdr:nvSpPr>
        <xdr:spPr>
          <a:xfrm>
            <a:off x="1509217" y="3403115"/>
            <a:ext cx="266091" cy="28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84" name="TextBox 83">
            <a:extLst>
              <a:ext uri="{FF2B5EF4-FFF2-40B4-BE49-F238E27FC236}">
                <a16:creationId xmlns:a16="http://schemas.microsoft.com/office/drawing/2014/main" id="{BC19266D-64CA-4E14-AB79-FAF5174675EA}"/>
              </a:ext>
            </a:extLst>
          </xdr:cNvPr>
          <xdr:cNvSpPr txBox="1"/>
        </xdr:nvSpPr>
        <xdr:spPr>
          <a:xfrm>
            <a:off x="1897225" y="3314787"/>
            <a:ext cx="265519" cy="277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D</a:t>
            </a:r>
            <a:endParaRPr lang="en-CA" sz="1000" baseline="-25000"/>
          </a:p>
        </xdr:txBody>
      </xdr:sp>
      <xdr:cxnSp macro="">
        <xdr:nvCxnSpPr>
          <xdr:cNvPr id="85" name="Straight Connector 84">
            <a:extLst>
              <a:ext uri="{FF2B5EF4-FFF2-40B4-BE49-F238E27FC236}">
                <a16:creationId xmlns:a16="http://schemas.microsoft.com/office/drawing/2014/main" id="{1A44B15B-0017-4504-BC87-EF16DF10F529}"/>
              </a:ext>
            </a:extLst>
          </xdr:cNvPr>
          <xdr:cNvCxnSpPr/>
        </xdr:nvCxnSpPr>
        <xdr:spPr bwMode="auto">
          <a:xfrm>
            <a:off x="1630084" y="2730984"/>
            <a:ext cx="0" cy="23525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86" name="Straight Arrow Connector 85">
            <a:extLst>
              <a:ext uri="{FF2B5EF4-FFF2-40B4-BE49-F238E27FC236}">
                <a16:creationId xmlns:a16="http://schemas.microsoft.com/office/drawing/2014/main" id="{CC88C688-BA62-4986-BE3F-7AE448661C81}"/>
              </a:ext>
            </a:extLst>
          </xdr:cNvPr>
          <xdr:cNvCxnSpPr/>
        </xdr:nvCxnSpPr>
        <xdr:spPr bwMode="auto">
          <a:xfrm>
            <a:off x="617150" y="2826707"/>
            <a:ext cx="1016525"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87" name="TextBox 86">
            <a:extLst>
              <a:ext uri="{FF2B5EF4-FFF2-40B4-BE49-F238E27FC236}">
                <a16:creationId xmlns:a16="http://schemas.microsoft.com/office/drawing/2014/main" id="{7F5D0D5C-BD14-45C7-B37C-B79E84597224}"/>
              </a:ext>
            </a:extLst>
          </xdr:cNvPr>
          <xdr:cNvSpPr txBox="1"/>
        </xdr:nvSpPr>
        <xdr:spPr>
          <a:xfrm>
            <a:off x="944831" y="2616058"/>
            <a:ext cx="242745" cy="2801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88" name="Straight Arrow Connector 87">
            <a:extLst>
              <a:ext uri="{FF2B5EF4-FFF2-40B4-BE49-F238E27FC236}">
                <a16:creationId xmlns:a16="http://schemas.microsoft.com/office/drawing/2014/main" id="{3FD52DD6-1349-4C6A-B259-66993F171FAC}"/>
              </a:ext>
            </a:extLst>
          </xdr:cNvPr>
          <xdr:cNvCxnSpPr/>
        </xdr:nvCxnSpPr>
        <xdr:spPr bwMode="auto">
          <a:xfrm>
            <a:off x="637256" y="3008804"/>
            <a:ext cx="424773"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89" name="TextBox 88">
            <a:extLst>
              <a:ext uri="{FF2B5EF4-FFF2-40B4-BE49-F238E27FC236}">
                <a16:creationId xmlns:a16="http://schemas.microsoft.com/office/drawing/2014/main" id="{AF565228-C4B1-4D85-98BD-812B0AD0ADE3}"/>
              </a:ext>
            </a:extLst>
          </xdr:cNvPr>
          <xdr:cNvSpPr txBox="1"/>
        </xdr:nvSpPr>
        <xdr:spPr>
          <a:xfrm>
            <a:off x="735746" y="2789619"/>
            <a:ext cx="244353" cy="2805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90" name="TextBox 89">
            <a:extLst>
              <a:ext uri="{FF2B5EF4-FFF2-40B4-BE49-F238E27FC236}">
                <a16:creationId xmlns:a16="http://schemas.microsoft.com/office/drawing/2014/main" id="{7542DF51-E269-4C31-92C1-0EF241CF5485}"/>
              </a:ext>
            </a:extLst>
          </xdr:cNvPr>
          <xdr:cNvSpPr txBox="1"/>
        </xdr:nvSpPr>
        <xdr:spPr>
          <a:xfrm>
            <a:off x="805469" y="3011679"/>
            <a:ext cx="310756" cy="2673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xnSp macro="">
        <xdr:nvCxnSpPr>
          <xdr:cNvPr id="97" name="Straight Arrow Connector 96">
            <a:extLst>
              <a:ext uri="{FF2B5EF4-FFF2-40B4-BE49-F238E27FC236}">
                <a16:creationId xmlns:a16="http://schemas.microsoft.com/office/drawing/2014/main" id="{1A5DC6C9-A0E1-4A20-B669-54BBA802E4C6}"/>
              </a:ext>
            </a:extLst>
          </xdr:cNvPr>
          <xdr:cNvCxnSpPr/>
        </xdr:nvCxnSpPr>
        <xdr:spPr bwMode="auto">
          <a:xfrm>
            <a:off x="1345088" y="2660779"/>
            <a:ext cx="576602" cy="0"/>
          </a:xfrm>
          <a:prstGeom prst="straightConnector1">
            <a:avLst/>
          </a:prstGeom>
          <a:solidFill>
            <a:srgbClr val="FFFFFF"/>
          </a:solidFill>
          <a:ln w="9525" cap="flat" cmpd="sng" algn="ctr">
            <a:solidFill>
              <a:srgbClr val="000000"/>
            </a:solidFill>
            <a:prstDash val="solid"/>
            <a:round/>
            <a:headEnd type="arrow"/>
            <a:tailEnd type="arrow"/>
          </a:ln>
          <a:effectLst/>
        </xdr:spPr>
      </xdr:cxnSp>
      <xdr:cxnSp macro="">
        <xdr:nvCxnSpPr>
          <xdr:cNvPr id="98" name="Straight Connector 97">
            <a:extLst>
              <a:ext uri="{FF2B5EF4-FFF2-40B4-BE49-F238E27FC236}">
                <a16:creationId xmlns:a16="http://schemas.microsoft.com/office/drawing/2014/main" id="{E8D2923C-C8F4-4ECD-B1E4-907DFDC51964}"/>
              </a:ext>
            </a:extLst>
          </xdr:cNvPr>
          <xdr:cNvCxnSpPr/>
        </xdr:nvCxnSpPr>
        <xdr:spPr bwMode="auto">
          <a:xfrm>
            <a:off x="1351224" y="2599575"/>
            <a:ext cx="0" cy="36666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99" name="TextBox 98">
            <a:extLst>
              <a:ext uri="{FF2B5EF4-FFF2-40B4-BE49-F238E27FC236}">
                <a16:creationId xmlns:a16="http://schemas.microsoft.com/office/drawing/2014/main" id="{5B821830-A797-4CB3-9A11-43981819069F}"/>
              </a:ext>
            </a:extLst>
          </xdr:cNvPr>
          <xdr:cNvSpPr txBox="1"/>
        </xdr:nvSpPr>
        <xdr:spPr>
          <a:xfrm>
            <a:off x="1535931" y="2450496"/>
            <a:ext cx="242745" cy="2728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d</a:t>
            </a:r>
            <a:endParaRPr lang="en-CA" sz="1000" baseline="-25000"/>
          </a:p>
        </xdr:txBody>
      </xdr:sp>
      <xdr:sp macro="" textlink="">
        <xdr:nvSpPr>
          <xdr:cNvPr id="100" name="TextBox 99">
            <a:extLst>
              <a:ext uri="{FF2B5EF4-FFF2-40B4-BE49-F238E27FC236}">
                <a16:creationId xmlns:a16="http://schemas.microsoft.com/office/drawing/2014/main" id="{7468E900-F108-462B-8A2B-20619BC8D676}"/>
              </a:ext>
            </a:extLst>
          </xdr:cNvPr>
          <xdr:cNvSpPr txBox="1"/>
        </xdr:nvSpPr>
        <xdr:spPr>
          <a:xfrm>
            <a:off x="1672586" y="3405403"/>
            <a:ext cx="258919" cy="2843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D</a:t>
            </a:r>
            <a:endParaRPr lang="en-CA" sz="1000" baseline="-25000"/>
          </a:p>
        </xdr:txBody>
      </xdr:sp>
    </xdr:grpSp>
    <xdr:clientData/>
  </xdr:twoCellAnchor>
  <xdr:oneCellAnchor>
    <xdr:from>
      <xdr:col>0</xdr:col>
      <xdr:colOff>0</xdr:colOff>
      <xdr:row>59</xdr:row>
      <xdr:rowOff>0</xdr:rowOff>
    </xdr:from>
    <xdr:ext cx="6695377" cy="325244"/>
    <xdr:sp macro="" textlink="">
      <xdr:nvSpPr>
        <xdr:cNvPr id="45" name="TextBox 44">
          <a:hlinkClick xmlns:r="http://schemas.openxmlformats.org/officeDocument/2006/relationships" r:id="rId7"/>
          <a:extLst>
            <a:ext uri="{FF2B5EF4-FFF2-40B4-BE49-F238E27FC236}">
              <a16:creationId xmlns:a16="http://schemas.microsoft.com/office/drawing/2014/main" id="{F321FD2A-3C0B-44FB-8821-249300AFC775}"/>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6" t="s">
        <v>18</v>
      </c>
      <c r="C16" s="106"/>
      <c r="D16" s="106"/>
      <c r="E16" s="106"/>
      <c r="F16" s="106"/>
      <c r="G16" s="106"/>
      <c r="H16" s="106"/>
      <c r="I16" s="106"/>
      <c r="J16" s="106"/>
      <c r="M16" s="26"/>
      <c r="N16" s="26"/>
      <c r="O16" s="26"/>
      <c r="P16" s="26"/>
      <c r="Q16" s="26"/>
      <c r="R16" s="27"/>
      <c r="S16" s="27"/>
      <c r="T16" s="23"/>
      <c r="U16" s="23"/>
      <c r="V16" s="23"/>
      <c r="W16" s="23"/>
      <c r="X16" s="23"/>
      <c r="Y16" s="23"/>
    </row>
    <row r="17" spans="1:25" s="5" customFormat="1" ht="12.75" x14ac:dyDescent="0.2">
      <c r="B17" s="106"/>
      <c r="C17" s="106"/>
      <c r="D17" s="106"/>
      <c r="E17" s="106"/>
      <c r="F17" s="106"/>
      <c r="G17" s="106"/>
      <c r="H17" s="106"/>
      <c r="I17" s="106"/>
      <c r="J17" s="106"/>
      <c r="M17" s="26"/>
      <c r="N17" s="26"/>
      <c r="O17" s="26"/>
      <c r="P17" s="26"/>
      <c r="Q17" s="26"/>
      <c r="R17" s="27"/>
      <c r="S17" s="27"/>
      <c r="T17" s="23"/>
      <c r="U17" s="23"/>
      <c r="V17" s="23"/>
      <c r="W17" s="23"/>
      <c r="X17" s="23"/>
      <c r="Y17" s="23"/>
    </row>
    <row r="18" spans="1:25" s="5" customFormat="1" ht="12.75" x14ac:dyDescent="0.2">
      <c r="B18" s="106"/>
      <c r="C18" s="106"/>
      <c r="D18" s="106"/>
      <c r="E18" s="106"/>
      <c r="F18" s="106"/>
      <c r="G18" s="106"/>
      <c r="H18" s="106"/>
      <c r="I18" s="106"/>
      <c r="J18" s="106"/>
      <c r="M18" s="26"/>
      <c r="N18" s="26"/>
      <c r="O18" s="26"/>
      <c r="P18" s="26"/>
      <c r="Q18" s="26"/>
      <c r="R18" s="27"/>
      <c r="S18" s="27"/>
      <c r="T18" s="23"/>
      <c r="U18" s="23"/>
      <c r="V18" s="23"/>
      <c r="W18" s="23"/>
      <c r="X18" s="23"/>
      <c r="Y18" s="23"/>
    </row>
    <row r="19" spans="1:25" s="5" customFormat="1" ht="12.75" x14ac:dyDescent="0.2">
      <c r="B19" s="106"/>
      <c r="C19" s="106"/>
      <c r="D19" s="106"/>
      <c r="E19" s="106"/>
      <c r="F19" s="106"/>
      <c r="G19" s="106"/>
      <c r="H19" s="106"/>
      <c r="I19" s="106"/>
      <c r="J19" s="106"/>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6" t="s">
        <v>19</v>
      </c>
      <c r="C22" s="106"/>
      <c r="D22" s="106"/>
      <c r="E22" s="106"/>
      <c r="F22" s="106"/>
      <c r="G22" s="106"/>
      <c r="H22" s="106"/>
      <c r="I22" s="106"/>
      <c r="J22" s="106"/>
      <c r="K22" s="19"/>
      <c r="M22" s="26"/>
      <c r="N22" s="26"/>
      <c r="O22" s="26"/>
      <c r="P22" s="26"/>
      <c r="Q22" s="26"/>
      <c r="R22" s="27"/>
      <c r="S22" s="27"/>
      <c r="T22" s="23"/>
      <c r="U22" s="23"/>
      <c r="V22" s="23"/>
      <c r="W22" s="23"/>
      <c r="X22" s="23"/>
      <c r="Y22" s="23"/>
    </row>
    <row r="23" spans="1:25" s="5" customFormat="1" ht="12.75" x14ac:dyDescent="0.2">
      <c r="A23" s="19"/>
      <c r="B23" s="106"/>
      <c r="C23" s="106"/>
      <c r="D23" s="106"/>
      <c r="E23" s="106"/>
      <c r="F23" s="106"/>
      <c r="G23" s="106"/>
      <c r="H23" s="106"/>
      <c r="I23" s="106"/>
      <c r="J23" s="106"/>
      <c r="K23" s="19"/>
      <c r="M23" s="26"/>
      <c r="N23" s="26"/>
      <c r="O23" s="26"/>
      <c r="P23" s="26"/>
      <c r="Q23" s="26"/>
      <c r="R23" s="27"/>
      <c r="S23" s="30"/>
      <c r="T23" s="23"/>
      <c r="U23" s="23"/>
      <c r="V23" s="23"/>
      <c r="W23" s="23"/>
      <c r="X23" s="23"/>
      <c r="Y23" s="23"/>
    </row>
    <row r="24" spans="1:25" s="5" customFormat="1" ht="12.75" x14ac:dyDescent="0.2">
      <c r="A24" s="19"/>
      <c r="B24" s="106"/>
      <c r="C24" s="106"/>
      <c r="D24" s="106"/>
      <c r="E24" s="106"/>
      <c r="F24" s="106"/>
      <c r="G24" s="106"/>
      <c r="H24" s="106"/>
      <c r="I24" s="106"/>
      <c r="J24" s="106"/>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6" t="s">
        <v>21</v>
      </c>
      <c r="C26" s="106"/>
      <c r="D26" s="106"/>
      <c r="E26" s="106"/>
      <c r="F26" s="106"/>
      <c r="G26" s="106"/>
      <c r="H26" s="106"/>
      <c r="I26" s="106"/>
      <c r="J26" s="106"/>
      <c r="K26" s="19"/>
      <c r="M26" s="26"/>
      <c r="N26" s="26"/>
      <c r="O26" s="26"/>
      <c r="P26" s="26"/>
      <c r="Q26" s="26"/>
      <c r="R26" s="27"/>
      <c r="S26" s="27"/>
      <c r="T26" s="23"/>
      <c r="U26" s="23"/>
      <c r="V26" s="23"/>
      <c r="W26" s="23"/>
      <c r="X26" s="23"/>
      <c r="Y26" s="23"/>
    </row>
    <row r="27" spans="1:25" s="5" customFormat="1" ht="12.75" x14ac:dyDescent="0.2">
      <c r="A27" s="19"/>
      <c r="B27" s="106"/>
      <c r="C27" s="106"/>
      <c r="D27" s="106"/>
      <c r="E27" s="106"/>
      <c r="F27" s="106"/>
      <c r="G27" s="106"/>
      <c r="H27" s="106"/>
      <c r="I27" s="106"/>
      <c r="J27" s="106"/>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6" t="s">
        <v>22</v>
      </c>
      <c r="C29" s="106"/>
      <c r="D29" s="106"/>
      <c r="E29" s="106"/>
      <c r="F29" s="106"/>
      <c r="G29" s="106"/>
      <c r="H29" s="106"/>
      <c r="I29" s="106"/>
      <c r="J29" s="106"/>
      <c r="K29" s="19"/>
      <c r="M29" s="26"/>
      <c r="N29" s="26"/>
      <c r="O29" s="26"/>
      <c r="P29" s="26"/>
      <c r="Q29" s="26"/>
      <c r="R29" s="27"/>
      <c r="S29" s="27"/>
      <c r="T29" s="23"/>
      <c r="U29" s="23"/>
      <c r="V29" s="23"/>
      <c r="W29" s="23"/>
      <c r="X29" s="23"/>
      <c r="Y29" s="23"/>
    </row>
    <row r="30" spans="1:25" s="5" customFormat="1" ht="12.75" customHeight="1" x14ac:dyDescent="0.2">
      <c r="A30" s="19"/>
      <c r="B30" s="106"/>
      <c r="C30" s="106"/>
      <c r="D30" s="106"/>
      <c r="E30" s="106"/>
      <c r="F30" s="106"/>
      <c r="G30" s="106"/>
      <c r="H30" s="106"/>
      <c r="I30" s="106"/>
      <c r="J30" s="106"/>
      <c r="K30" s="19"/>
      <c r="M30" s="26"/>
      <c r="N30" s="26"/>
      <c r="O30" s="26"/>
      <c r="P30" s="26"/>
      <c r="Q30" s="26"/>
      <c r="R30" s="27"/>
      <c r="S30" s="27"/>
      <c r="T30" s="23"/>
      <c r="U30" s="23"/>
      <c r="V30" s="23"/>
      <c r="W30" s="23"/>
      <c r="X30" s="23"/>
      <c r="Y30" s="23"/>
    </row>
    <row r="31" spans="1:25" s="5" customFormat="1" ht="12.75" customHeight="1" x14ac:dyDescent="0.2">
      <c r="A31" s="19"/>
      <c r="B31" s="106"/>
      <c r="C31" s="106"/>
      <c r="D31" s="106"/>
      <c r="E31" s="106"/>
      <c r="F31" s="106"/>
      <c r="G31" s="106"/>
      <c r="H31" s="106"/>
      <c r="I31" s="106"/>
      <c r="J31" s="106"/>
      <c r="K31" s="19"/>
      <c r="M31" s="26"/>
      <c r="N31" s="26"/>
      <c r="O31" s="26"/>
      <c r="P31" s="26"/>
      <c r="Q31" s="26"/>
      <c r="R31" s="27"/>
      <c r="S31" s="27"/>
      <c r="T31" s="23"/>
      <c r="U31" s="23"/>
      <c r="V31" s="23"/>
      <c r="W31" s="23"/>
      <c r="X31" s="23"/>
      <c r="Y31" s="23"/>
    </row>
    <row r="32" spans="1:25" s="5" customFormat="1" ht="12.75" customHeight="1" x14ac:dyDescent="0.2">
      <c r="A32" s="19"/>
      <c r="B32" s="106"/>
      <c r="C32" s="106"/>
      <c r="D32" s="106"/>
      <c r="E32" s="106"/>
      <c r="F32" s="106"/>
      <c r="G32" s="106"/>
      <c r="H32" s="106"/>
      <c r="I32" s="106"/>
      <c r="J32" s="106"/>
      <c r="K32" s="19"/>
      <c r="M32" s="26"/>
      <c r="N32" s="26"/>
      <c r="O32" s="26"/>
      <c r="P32" s="26"/>
      <c r="Q32" s="26"/>
      <c r="R32" s="27"/>
      <c r="S32" s="27"/>
      <c r="T32" s="23"/>
      <c r="U32" s="23"/>
      <c r="V32" s="23"/>
      <c r="W32" s="23"/>
      <c r="X32" s="23"/>
      <c r="Y32" s="23"/>
    </row>
    <row r="33" spans="1:25" s="5" customFormat="1" ht="12.75" customHeight="1" x14ac:dyDescent="0.2">
      <c r="A33" s="19"/>
      <c r="B33" s="106"/>
      <c r="C33" s="106"/>
      <c r="D33" s="106"/>
      <c r="E33" s="106"/>
      <c r="F33" s="106"/>
      <c r="G33" s="106"/>
      <c r="H33" s="106"/>
      <c r="I33" s="106"/>
      <c r="J33" s="106"/>
      <c r="K33" s="19"/>
      <c r="M33" s="26"/>
      <c r="N33" s="26"/>
      <c r="O33" s="26"/>
      <c r="P33" s="26"/>
      <c r="Q33" s="26"/>
      <c r="R33" s="27"/>
      <c r="S33" s="30"/>
      <c r="T33" s="23"/>
      <c r="U33" s="23"/>
      <c r="V33" s="23"/>
      <c r="W33" s="23"/>
      <c r="X33" s="23"/>
      <c r="Y33" s="23"/>
    </row>
    <row r="34" spans="1:25" s="5" customFormat="1" ht="12.75" x14ac:dyDescent="0.2">
      <c r="A34" s="19"/>
      <c r="B34" s="32"/>
      <c r="C34" s="32"/>
      <c r="D34" s="108" t="s">
        <v>14</v>
      </c>
      <c r="E34" s="108"/>
      <c r="F34" s="108"/>
      <c r="G34" s="108"/>
      <c r="H34" s="108"/>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6" t="s">
        <v>23</v>
      </c>
      <c r="C38" s="106"/>
      <c r="D38" s="106"/>
      <c r="E38" s="106"/>
      <c r="F38" s="106"/>
      <c r="G38" s="106"/>
      <c r="H38" s="106"/>
      <c r="I38" s="106"/>
      <c r="J38" s="106"/>
      <c r="K38" s="19"/>
      <c r="M38" s="26"/>
      <c r="N38" s="26"/>
      <c r="O38" s="26"/>
      <c r="P38" s="26"/>
      <c r="Q38" s="26"/>
      <c r="R38" s="27"/>
      <c r="S38" s="27"/>
      <c r="T38" s="23"/>
      <c r="U38" s="23"/>
      <c r="V38" s="23"/>
      <c r="W38" s="23"/>
      <c r="X38" s="23"/>
      <c r="Y38" s="23"/>
    </row>
    <row r="39" spans="1:25" s="5" customFormat="1" ht="12.75" x14ac:dyDescent="0.2">
      <c r="A39" s="19"/>
      <c r="B39" s="106"/>
      <c r="C39" s="106"/>
      <c r="D39" s="106"/>
      <c r="E39" s="106"/>
      <c r="F39" s="106"/>
      <c r="G39" s="106"/>
      <c r="H39" s="106"/>
      <c r="I39" s="106"/>
      <c r="J39" s="106"/>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6" t="s">
        <v>24</v>
      </c>
      <c r="C41" s="106"/>
      <c r="D41" s="106"/>
      <c r="E41" s="106"/>
      <c r="F41" s="106"/>
      <c r="G41" s="106"/>
      <c r="H41" s="106"/>
      <c r="I41" s="106"/>
      <c r="J41" s="106"/>
      <c r="K41" s="19"/>
      <c r="M41" s="26"/>
      <c r="N41" s="26"/>
      <c r="O41" s="26"/>
      <c r="P41" s="26"/>
      <c r="Q41" s="26"/>
      <c r="R41" s="27"/>
      <c r="S41" s="27"/>
      <c r="T41" s="23"/>
      <c r="U41" s="23"/>
      <c r="V41" s="23"/>
      <c r="W41" s="23"/>
      <c r="X41" s="23"/>
      <c r="Y41" s="23"/>
    </row>
    <row r="42" spans="1:25" s="5" customFormat="1" ht="12.75" x14ac:dyDescent="0.2">
      <c r="A42" s="19"/>
      <c r="B42" s="106"/>
      <c r="C42" s="106"/>
      <c r="D42" s="106"/>
      <c r="E42" s="106"/>
      <c r="F42" s="106"/>
      <c r="G42" s="106"/>
      <c r="H42" s="106"/>
      <c r="I42" s="106"/>
      <c r="J42" s="106"/>
      <c r="K42" s="19"/>
      <c r="M42" s="26"/>
      <c r="N42" s="26"/>
      <c r="O42" s="26"/>
      <c r="P42" s="26"/>
      <c r="Q42" s="26"/>
      <c r="R42" s="27"/>
      <c r="S42" s="27"/>
      <c r="T42" s="23"/>
      <c r="U42" s="23"/>
      <c r="V42" s="23"/>
      <c r="W42" s="23"/>
      <c r="X42" s="23"/>
      <c r="Y42" s="23"/>
    </row>
    <row r="43" spans="1:25" s="5" customFormat="1" ht="12.75" x14ac:dyDescent="0.2">
      <c r="A43" s="19"/>
      <c r="B43" s="106"/>
      <c r="C43" s="106"/>
      <c r="D43" s="106"/>
      <c r="E43" s="106"/>
      <c r="F43" s="106"/>
      <c r="G43" s="106"/>
      <c r="H43" s="106"/>
      <c r="I43" s="106"/>
      <c r="J43" s="106"/>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6" t="s">
        <v>17</v>
      </c>
      <c r="C45" s="106"/>
      <c r="D45" s="106"/>
      <c r="E45" s="106"/>
      <c r="F45" s="106"/>
      <c r="G45" s="106"/>
      <c r="H45" s="106"/>
      <c r="I45" s="106"/>
      <c r="J45" s="106"/>
      <c r="K45" s="19"/>
      <c r="M45" s="26"/>
      <c r="N45" s="26"/>
      <c r="O45" s="26"/>
      <c r="P45" s="26"/>
      <c r="Q45" s="26"/>
      <c r="R45" s="27"/>
      <c r="S45" s="27"/>
      <c r="T45" s="23"/>
      <c r="U45" s="23"/>
      <c r="V45" s="23"/>
      <c r="W45" s="23"/>
      <c r="X45" s="23"/>
      <c r="Y45" s="23"/>
    </row>
    <row r="46" spans="1:25" s="5" customFormat="1" ht="12.75" x14ac:dyDescent="0.2">
      <c r="A46" s="19"/>
      <c r="B46" s="106"/>
      <c r="C46" s="106"/>
      <c r="D46" s="106"/>
      <c r="E46" s="106"/>
      <c r="F46" s="106"/>
      <c r="G46" s="106"/>
      <c r="H46" s="106"/>
      <c r="I46" s="106"/>
      <c r="J46" s="106"/>
      <c r="K46" s="19"/>
      <c r="M46" s="26"/>
      <c r="N46" s="26"/>
      <c r="O46" s="26"/>
      <c r="P46" s="26"/>
      <c r="Q46" s="26"/>
      <c r="R46" s="27"/>
      <c r="S46" s="27"/>
      <c r="T46" s="23"/>
      <c r="U46" s="23"/>
      <c r="V46" s="23"/>
      <c r="W46" s="23"/>
      <c r="X46" s="23"/>
      <c r="Y46" s="23"/>
    </row>
    <row r="47" spans="1:25" s="5" customFormat="1" ht="12.75" x14ac:dyDescent="0.2">
      <c r="A47" s="19"/>
      <c r="B47" s="106"/>
      <c r="C47" s="106"/>
      <c r="D47" s="106"/>
      <c r="E47" s="106"/>
      <c r="F47" s="106"/>
      <c r="G47" s="106"/>
      <c r="H47" s="106"/>
      <c r="I47" s="106"/>
      <c r="J47" s="106"/>
      <c r="K47" s="19"/>
      <c r="M47" s="26"/>
      <c r="N47" s="26"/>
      <c r="O47" s="26"/>
      <c r="P47" s="26"/>
      <c r="Q47" s="26"/>
      <c r="R47" s="27"/>
      <c r="S47" s="27"/>
      <c r="T47" s="23"/>
      <c r="U47" s="23"/>
      <c r="V47" s="23"/>
      <c r="W47" s="23"/>
      <c r="X47" s="23"/>
      <c r="Y47" s="23"/>
    </row>
    <row r="48" spans="1:25" s="5" customFormat="1" ht="12.75" customHeight="1" x14ac:dyDescent="0.2">
      <c r="A48" s="19"/>
      <c r="B48" s="106"/>
      <c r="C48" s="106"/>
      <c r="D48" s="106"/>
      <c r="E48" s="106"/>
      <c r="F48" s="106"/>
      <c r="G48" s="106"/>
      <c r="H48" s="106"/>
      <c r="I48" s="106"/>
      <c r="J48" s="106"/>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7" t="s">
        <v>28</v>
      </c>
      <c r="C54" s="107"/>
      <c r="D54" s="107"/>
      <c r="E54" s="107"/>
      <c r="F54" s="107"/>
      <c r="G54" s="107"/>
      <c r="H54" s="107"/>
      <c r="I54" s="107"/>
      <c r="J54" s="107"/>
      <c r="K54" s="19"/>
      <c r="M54" s="26"/>
      <c r="N54" s="26"/>
      <c r="O54" s="26"/>
      <c r="P54" s="26"/>
      <c r="Q54" s="26"/>
      <c r="R54" s="27"/>
      <c r="S54" s="27"/>
      <c r="T54" s="23"/>
      <c r="U54" s="23"/>
      <c r="V54" s="23"/>
      <c r="W54" s="23"/>
      <c r="X54" s="23"/>
      <c r="Y54" s="23"/>
    </row>
    <row r="55" spans="1:25" s="5" customFormat="1" ht="12.75" x14ac:dyDescent="0.2">
      <c r="A55" s="19"/>
      <c r="B55" s="107"/>
      <c r="C55" s="107"/>
      <c r="D55" s="107"/>
      <c r="E55" s="107"/>
      <c r="F55" s="107"/>
      <c r="G55" s="107"/>
      <c r="H55" s="107"/>
      <c r="I55" s="107"/>
      <c r="J55" s="107"/>
      <c r="K55" s="19"/>
      <c r="M55" s="26"/>
      <c r="N55" s="26"/>
      <c r="O55" s="26"/>
      <c r="P55" s="26"/>
      <c r="Q55" s="26"/>
      <c r="R55" s="27"/>
      <c r="S55" s="27"/>
      <c r="T55" s="23"/>
      <c r="U55" s="23"/>
      <c r="V55" s="23"/>
      <c r="W55" s="23"/>
      <c r="X55" s="23"/>
      <c r="Y55" s="23"/>
    </row>
    <row r="56" spans="1:25" s="5" customFormat="1" ht="12.75" x14ac:dyDescent="0.2">
      <c r="A56" s="19"/>
      <c r="B56" s="107"/>
      <c r="C56" s="107"/>
      <c r="D56" s="107"/>
      <c r="E56" s="107"/>
      <c r="F56" s="107"/>
      <c r="G56" s="107"/>
      <c r="H56" s="107"/>
      <c r="I56" s="107"/>
      <c r="J56" s="107"/>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topLeftCell="A19" zoomScale="85" zoomScaleNormal="100" zoomScaleSheetLayoutView="85" workbookViewId="0">
      <selection activeCell="A60" sqref="A60:K61"/>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2"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9" t="s">
        <v>90</v>
      </c>
      <c r="N1" s="89" t="s">
        <v>84</v>
      </c>
      <c r="O1" s="89" t="s">
        <v>89</v>
      </c>
      <c r="P1" s="89" t="s">
        <v>89</v>
      </c>
      <c r="Q1" s="89" t="s">
        <v>89</v>
      </c>
      <c r="R1" s="89" t="s">
        <v>88</v>
      </c>
      <c r="S1" s="88" t="s">
        <v>87</v>
      </c>
      <c r="T1" s="87" t="s">
        <v>86</v>
      </c>
      <c r="W1" s="6" t="s">
        <v>85</v>
      </c>
      <c r="X1" s="7">
        <f>SUM(M:M)</f>
        <v>1</v>
      </c>
    </row>
    <row r="2" spans="1:39" s="5" customFormat="1" ht="12.75" x14ac:dyDescent="0.2">
      <c r="A2" s="1"/>
      <c r="B2" s="2" t="s">
        <v>2</v>
      </c>
      <c r="C2" s="3" t="s">
        <v>7</v>
      </c>
      <c r="D2" s="1"/>
      <c r="E2" s="1"/>
      <c r="F2" s="2" t="s">
        <v>5</v>
      </c>
      <c r="G2" s="3" t="s">
        <v>94</v>
      </c>
      <c r="H2" s="1"/>
      <c r="I2" s="1"/>
      <c r="J2" s="1"/>
      <c r="K2" s="1"/>
      <c r="M2" s="77" t="s">
        <v>83</v>
      </c>
      <c r="N2" s="77" t="s">
        <v>83</v>
      </c>
      <c r="O2" s="77" t="s">
        <v>84</v>
      </c>
      <c r="P2" s="77" t="s">
        <v>84</v>
      </c>
      <c r="Q2" s="77" t="s">
        <v>84</v>
      </c>
      <c r="R2" s="77" t="s">
        <v>83</v>
      </c>
      <c r="S2" s="86" t="s">
        <v>83</v>
      </c>
      <c r="T2" s="82"/>
      <c r="W2" s="6" t="s">
        <v>82</v>
      </c>
      <c r="X2" s="7">
        <f>SUM(N:N)</f>
        <v>0</v>
      </c>
    </row>
    <row r="3" spans="1:39" s="5" customFormat="1" ht="12.75" x14ac:dyDescent="0.2">
      <c r="A3" s="1"/>
      <c r="B3" s="2" t="s">
        <v>3</v>
      </c>
      <c r="C3" s="8" t="s">
        <v>81</v>
      </c>
      <c r="D3" s="1"/>
      <c r="E3" s="1"/>
      <c r="F3" s="2" t="s">
        <v>4</v>
      </c>
      <c r="G3" s="3" t="s">
        <v>80</v>
      </c>
      <c r="H3" s="1"/>
      <c r="I3" s="1"/>
      <c r="J3" s="1"/>
      <c r="K3" s="1"/>
      <c r="M3" s="77"/>
      <c r="N3" s="77"/>
      <c r="O3" s="77"/>
      <c r="P3" s="77"/>
      <c r="Q3" s="77"/>
      <c r="R3" s="77"/>
      <c r="S3" s="86"/>
      <c r="T3" s="82"/>
      <c r="W3" s="6" t="s">
        <v>78</v>
      </c>
      <c r="X3" s="7">
        <f>SUM(O:O)</f>
        <v>0</v>
      </c>
    </row>
    <row r="4" spans="1:39" s="5" customFormat="1" ht="12.75" x14ac:dyDescent="0.2">
      <c r="A4" s="1"/>
      <c r="B4" s="2" t="s">
        <v>9</v>
      </c>
      <c r="C4" s="4"/>
      <c r="D4" s="1"/>
      <c r="E4" s="1"/>
      <c r="F4" s="2" t="s">
        <v>10</v>
      </c>
      <c r="G4" s="3" t="s">
        <v>95</v>
      </c>
      <c r="H4" s="1"/>
      <c r="I4" s="1"/>
      <c r="J4" s="1"/>
      <c r="K4" s="1"/>
      <c r="M4" s="77"/>
      <c r="N4" s="77"/>
      <c r="O4" s="77"/>
      <c r="P4" s="77"/>
      <c r="Q4" s="85"/>
      <c r="R4" s="84"/>
      <c r="S4" s="83"/>
      <c r="T4" s="82"/>
      <c r="W4" s="6" t="s">
        <v>78</v>
      </c>
      <c r="X4" s="7">
        <f>SUM(P:P)</f>
        <v>0</v>
      </c>
    </row>
    <row r="5" spans="1:39" s="5" customFormat="1" ht="12.75" x14ac:dyDescent="0.2">
      <c r="A5" s="1"/>
      <c r="B5" s="2" t="s">
        <v>11</v>
      </c>
      <c r="C5" s="4" t="s">
        <v>79</v>
      </c>
      <c r="D5" s="1"/>
      <c r="E5" s="2"/>
      <c r="F5" s="1"/>
      <c r="G5" s="1"/>
      <c r="H5" s="1"/>
      <c r="I5" s="1"/>
      <c r="J5" s="1"/>
      <c r="K5" s="1"/>
      <c r="M5" s="77"/>
      <c r="N5" s="77"/>
      <c r="O5" s="77"/>
      <c r="P5" s="77"/>
      <c r="Q5" s="85"/>
      <c r="R5" s="84"/>
      <c r="S5" s="83"/>
      <c r="T5" s="82"/>
      <c r="W5" s="6" t="s">
        <v>78</v>
      </c>
      <c r="X5" s="7">
        <f>SUM(Q:Q)</f>
        <v>0</v>
      </c>
    </row>
    <row r="6" spans="1:39" s="5" customFormat="1" ht="12.75" x14ac:dyDescent="0.2">
      <c r="A6" s="1"/>
      <c r="B6" s="1" t="s">
        <v>6</v>
      </c>
      <c r="C6" s="9"/>
      <c r="D6" s="1"/>
      <c r="E6" s="1"/>
      <c r="F6" s="1"/>
      <c r="G6" s="1"/>
      <c r="H6" s="1"/>
      <c r="I6" s="1"/>
      <c r="J6" s="1"/>
      <c r="K6" s="1"/>
      <c r="M6" s="77"/>
      <c r="N6" s="77"/>
      <c r="O6" s="77"/>
      <c r="P6" s="77"/>
      <c r="Q6" s="85"/>
      <c r="R6" s="84"/>
      <c r="S6" s="83"/>
      <c r="T6" s="82"/>
      <c r="W6" s="6" t="s">
        <v>77</v>
      </c>
      <c r="X6" s="7">
        <f>SUM(R:R)</f>
        <v>0</v>
      </c>
      <c r="Y6" s="58"/>
      <c r="Z6" s="37"/>
      <c r="AA6" s="58"/>
      <c r="AB6" s="58"/>
      <c r="AC6" s="71"/>
    </row>
    <row r="7" spans="1:39" s="5" customFormat="1" ht="12.75" x14ac:dyDescent="0.2">
      <c r="A7" s="1"/>
      <c r="B7" s="1"/>
      <c r="C7" s="1"/>
      <c r="D7" s="1"/>
      <c r="E7" s="1"/>
      <c r="F7" s="1"/>
      <c r="G7" s="1"/>
      <c r="H7" s="1"/>
      <c r="I7" s="1"/>
      <c r="J7" s="1"/>
      <c r="K7" s="1"/>
      <c r="M7" s="77"/>
      <c r="N7" s="77"/>
      <c r="O7" s="77"/>
      <c r="P7" s="77"/>
      <c r="Q7" s="85"/>
      <c r="R7" s="84"/>
      <c r="S7" s="83"/>
      <c r="T7" s="82"/>
      <c r="W7" s="6" t="s">
        <v>76</v>
      </c>
      <c r="X7" s="7">
        <f>SUM(S:S)</f>
        <v>0</v>
      </c>
      <c r="Y7" s="71"/>
      <c r="Z7" s="60"/>
      <c r="AA7" s="81"/>
      <c r="AB7" s="80"/>
      <c r="AC7" s="58"/>
    </row>
    <row r="8" spans="1:39" s="5" customFormat="1" ht="12.75" x14ac:dyDescent="0.2">
      <c r="A8" s="16"/>
      <c r="E8" s="6" t="s">
        <v>1</v>
      </c>
      <c r="F8" s="7" t="str">
        <f>$C$1</f>
        <v>R. Abbott</v>
      </c>
      <c r="H8" s="10"/>
      <c r="I8" s="6" t="s">
        <v>75</v>
      </c>
      <c r="J8" s="11" t="str">
        <f>$G$2</f>
        <v>AA-SM-026-014</v>
      </c>
      <c r="K8" s="12"/>
      <c r="L8" s="13"/>
      <c r="M8" s="77"/>
      <c r="N8" s="77"/>
      <c r="O8" s="77"/>
      <c r="P8" s="77"/>
      <c r="Q8" s="77"/>
      <c r="R8" s="77"/>
      <c r="S8" s="77"/>
      <c r="T8" s="77"/>
      <c r="Y8" s="58"/>
      <c r="Z8" s="69"/>
      <c r="AA8" s="37"/>
      <c r="AB8" s="79"/>
      <c r="AC8" s="58"/>
    </row>
    <row r="9" spans="1:39" s="5" customFormat="1" ht="12.75" x14ac:dyDescent="0.2">
      <c r="E9" s="6" t="s">
        <v>2</v>
      </c>
      <c r="F9" s="10" t="str">
        <f>$C$2</f>
        <v xml:space="preserve"> </v>
      </c>
      <c r="H9" s="10"/>
      <c r="I9" s="6" t="s">
        <v>74</v>
      </c>
      <c r="J9" s="12" t="str">
        <f>$G$3</f>
        <v>IR</v>
      </c>
      <c r="K9" s="12"/>
      <c r="L9" s="13"/>
      <c r="M9" s="77">
        <v>1</v>
      </c>
      <c r="N9" s="77"/>
      <c r="O9" s="77"/>
      <c r="P9" s="77"/>
      <c r="Q9" s="77"/>
      <c r="R9" s="77"/>
      <c r="S9" s="77"/>
      <c r="T9" s="77"/>
      <c r="Y9" s="58"/>
      <c r="Z9" s="78"/>
      <c r="AA9" s="58"/>
      <c r="AB9" s="58"/>
      <c r="AC9" s="58"/>
    </row>
    <row r="10" spans="1:39" s="5" customFormat="1" ht="12.75" x14ac:dyDescent="0.2">
      <c r="E10" s="6" t="s">
        <v>3</v>
      </c>
      <c r="F10" s="10" t="str">
        <f>$C$3</f>
        <v>18/09/2016</v>
      </c>
      <c r="H10" s="10"/>
      <c r="I10" s="6" t="s">
        <v>73</v>
      </c>
      <c r="J10" s="7" t="str">
        <f>L10&amp;" of "&amp;$G$1</f>
        <v>1 of 1</v>
      </c>
      <c r="K10" s="10"/>
      <c r="L10" s="13">
        <f>SUM($M$1:M9)</f>
        <v>1</v>
      </c>
      <c r="M10" s="77"/>
      <c r="N10" s="77"/>
      <c r="O10" s="77"/>
      <c r="P10" s="77"/>
      <c r="Q10" s="77"/>
      <c r="R10" s="77"/>
      <c r="S10" s="77"/>
      <c r="T10" s="77"/>
      <c r="Y10" s="58"/>
      <c r="Z10" s="58"/>
      <c r="AA10" s="58"/>
      <c r="AB10" s="58"/>
      <c r="AC10" s="58"/>
    </row>
    <row r="11" spans="1:39" s="5" customFormat="1" ht="12.75" x14ac:dyDescent="0.2">
      <c r="E11" s="6" t="s">
        <v>72</v>
      </c>
      <c r="F11" s="10" t="str">
        <f>$C$5</f>
        <v>STANDARD SPREADSHEET METHOD</v>
      </c>
      <c r="I11" s="14"/>
      <c r="J11" s="7"/>
      <c r="M11" s="77"/>
      <c r="N11" s="77"/>
      <c r="O11" s="77"/>
      <c r="P11" s="77"/>
      <c r="Q11" s="77"/>
      <c r="R11" s="77"/>
      <c r="S11" s="77"/>
      <c r="T11" s="77"/>
      <c r="W11" s="60"/>
      <c r="X11" s="58"/>
      <c r="Y11" s="58"/>
      <c r="Z11" s="58"/>
      <c r="AA11" s="58"/>
      <c r="AB11" s="58"/>
      <c r="AC11" s="58"/>
    </row>
    <row r="12" spans="1:39" s="37" customFormat="1" x14ac:dyDescent="0.25">
      <c r="A12" s="39"/>
      <c r="B12" s="15" t="str">
        <f>$G$4</f>
        <v>SIMPLE BEAMS - SINGLE SPAN - UDL Part Span</v>
      </c>
      <c r="C12" s="39"/>
      <c r="D12" s="39"/>
      <c r="E12" s="39"/>
      <c r="F12" s="5"/>
      <c r="G12" s="5"/>
      <c r="H12" s="5"/>
      <c r="I12" s="14"/>
      <c r="J12" s="7"/>
      <c r="K12" s="5"/>
      <c r="L12" s="5"/>
      <c r="M12" s="77"/>
      <c r="N12" s="77"/>
      <c r="O12" s="76"/>
      <c r="P12" s="76"/>
      <c r="Q12" s="76"/>
      <c r="R12" s="76"/>
      <c r="S12" s="76"/>
      <c r="T12" s="76"/>
      <c r="U12" s="38"/>
      <c r="W12" s="60"/>
      <c r="X12" s="58"/>
      <c r="Y12" s="58"/>
      <c r="Z12" s="58"/>
      <c r="AA12" s="58"/>
      <c r="AB12" s="58"/>
      <c r="AC12" s="75"/>
      <c r="AL12" s="40"/>
      <c r="AM12" s="40"/>
    </row>
    <row r="13" spans="1:39" s="36" customFormat="1" ht="12.75" x14ac:dyDescent="0.2">
      <c r="A13" s="73"/>
      <c r="B13" s="109" t="s">
        <v>70</v>
      </c>
      <c r="C13" s="109"/>
      <c r="D13" s="109"/>
      <c r="E13" s="73" t="s">
        <v>69</v>
      </c>
      <c r="F13" s="74"/>
      <c r="G13" s="74"/>
      <c r="H13" s="74"/>
      <c r="I13" s="73"/>
      <c r="J13" s="73"/>
      <c r="K13" s="73"/>
      <c r="M13" s="35"/>
      <c r="N13" s="35"/>
      <c r="O13" s="35"/>
      <c r="P13" s="35"/>
      <c r="Q13" s="35"/>
      <c r="R13" s="35"/>
      <c r="S13" s="35"/>
      <c r="T13" s="35"/>
      <c r="U13" s="34"/>
      <c r="W13" s="60"/>
      <c r="X13" s="60"/>
      <c r="Y13" s="58"/>
      <c r="Z13" s="37"/>
      <c r="AA13" s="37"/>
      <c r="AB13" s="37"/>
      <c r="AC13" s="37"/>
    </row>
    <row r="14" spans="1:39" s="37" customFormat="1" ht="12.75" x14ac:dyDescent="0.2">
      <c r="A14" s="58"/>
      <c r="B14" s="72"/>
      <c r="C14" s="58"/>
      <c r="D14" s="58"/>
      <c r="E14" s="71"/>
      <c r="G14" s="58"/>
      <c r="H14" s="58"/>
      <c r="I14" s="57"/>
      <c r="J14" s="57"/>
      <c r="K14" s="57"/>
      <c r="L14" s="38"/>
      <c r="M14" s="35"/>
      <c r="N14" s="35"/>
      <c r="O14" s="35"/>
      <c r="P14" s="35"/>
      <c r="Q14" s="35"/>
      <c r="R14" s="35"/>
      <c r="S14" s="35"/>
      <c r="T14" s="35"/>
      <c r="U14" s="34"/>
      <c r="V14" s="38"/>
      <c r="W14" s="60"/>
      <c r="X14" s="58"/>
      <c r="Y14" s="58"/>
    </row>
    <row r="15" spans="1:39" s="37" customFormat="1" ht="12.75" x14ac:dyDescent="0.2">
      <c r="F15" s="70" t="s">
        <v>68</v>
      </c>
      <c r="G15" s="60" t="s">
        <v>67</v>
      </c>
      <c r="H15" s="66">
        <v>10000000</v>
      </c>
      <c r="I15" s="58" t="s">
        <v>66</v>
      </c>
      <c r="J15" s="57"/>
      <c r="K15" s="57"/>
      <c r="L15" s="38"/>
      <c r="M15" s="35"/>
      <c r="N15" s="35"/>
      <c r="O15" s="35"/>
      <c r="P15" s="35"/>
      <c r="Q15" s="35"/>
      <c r="R15" s="35"/>
      <c r="S15" s="35"/>
      <c r="T15" s="35"/>
      <c r="U15" s="34"/>
      <c r="V15" s="38"/>
    </row>
    <row r="16" spans="1:39" s="37" customFormat="1" ht="12.75" x14ac:dyDescent="0.2">
      <c r="G16" s="60" t="s">
        <v>57</v>
      </c>
      <c r="H16" s="68">
        <v>0.01</v>
      </c>
      <c r="I16" s="58" t="s">
        <v>56</v>
      </c>
      <c r="J16" s="57"/>
      <c r="K16" s="57"/>
      <c r="L16" s="38"/>
      <c r="M16" s="35"/>
      <c r="N16" s="35"/>
      <c r="O16" s="35"/>
      <c r="P16" s="35"/>
      <c r="Q16" s="35"/>
      <c r="R16" s="35"/>
      <c r="S16" s="35"/>
      <c r="T16" s="35"/>
      <c r="U16" s="34"/>
      <c r="V16" s="38"/>
      <c r="Y16" s="91">
        <f>H18</f>
        <v>2</v>
      </c>
    </row>
    <row r="17" spans="1:36" s="37" customFormat="1" ht="14.25" x14ac:dyDescent="0.25">
      <c r="G17" s="60" t="s">
        <v>55</v>
      </c>
      <c r="H17" s="90">
        <v>15</v>
      </c>
      <c r="I17" s="58" t="s">
        <v>54</v>
      </c>
      <c r="J17" s="57"/>
      <c r="L17" s="38"/>
      <c r="M17" s="35"/>
      <c r="N17" s="35"/>
      <c r="O17" s="35"/>
      <c r="P17" s="35"/>
      <c r="Q17" s="35"/>
      <c r="R17" s="35"/>
      <c r="S17" s="35"/>
      <c r="T17" s="35"/>
      <c r="U17" s="34"/>
      <c r="V17" s="38"/>
      <c r="W17" s="69" t="s">
        <v>65</v>
      </c>
      <c r="X17" s="69" t="s">
        <v>64</v>
      </c>
      <c r="Y17" s="69" t="s">
        <v>63</v>
      </c>
      <c r="Z17" s="69" t="s">
        <v>62</v>
      </c>
      <c r="AA17" s="69" t="s">
        <v>61</v>
      </c>
      <c r="AB17" s="69" t="s">
        <v>60</v>
      </c>
      <c r="AC17" s="69" t="s">
        <v>59</v>
      </c>
      <c r="AD17" s="69" t="s">
        <v>58</v>
      </c>
    </row>
    <row r="18" spans="1:36" s="37" customFormat="1" ht="12.75" x14ac:dyDescent="0.2">
      <c r="G18" s="60" t="s">
        <v>91</v>
      </c>
      <c r="H18" s="90">
        <v>2</v>
      </c>
      <c r="I18" s="58" t="s">
        <v>92</v>
      </c>
      <c r="J18" s="57"/>
      <c r="L18" s="38"/>
      <c r="M18" s="35"/>
      <c r="N18" s="35"/>
      <c r="O18" s="35"/>
      <c r="P18" s="35"/>
      <c r="Q18" s="35"/>
      <c r="R18" s="35"/>
      <c r="S18" s="35"/>
      <c r="T18" s="35"/>
      <c r="U18" s="34"/>
      <c r="V18" s="38"/>
      <c r="W18" s="44">
        <f>X11</f>
        <v>0</v>
      </c>
      <c r="X18" s="44">
        <f>B27</f>
        <v>5.5039999999999996</v>
      </c>
      <c r="Y18" s="44">
        <f>B31</f>
        <v>-1.2170581333333333E-3</v>
      </c>
      <c r="Z18" s="40">
        <f>X12</f>
        <v>0</v>
      </c>
      <c r="AA18" s="67" t="e">
        <f>#REF!</f>
        <v>#REF!</v>
      </c>
      <c r="AB18" s="40">
        <f>X13</f>
        <v>0</v>
      </c>
      <c r="AC18" s="40">
        <f>X14</f>
        <v>0</v>
      </c>
      <c r="AD18" s="40">
        <f>G27</f>
        <v>29.589504000000002</v>
      </c>
    </row>
    <row r="19" spans="1:36" s="37" customFormat="1" ht="12.75" x14ac:dyDescent="0.2">
      <c r="G19" s="60" t="s">
        <v>96</v>
      </c>
      <c r="H19" s="90">
        <v>6.2</v>
      </c>
      <c r="I19" s="58" t="s">
        <v>32</v>
      </c>
      <c r="J19" s="57"/>
      <c r="K19" s="57"/>
      <c r="L19" s="38"/>
      <c r="M19" s="35"/>
      <c r="N19" s="35"/>
      <c r="O19" s="35"/>
      <c r="P19" s="35"/>
      <c r="Q19" s="35"/>
      <c r="R19" s="35"/>
      <c r="S19" s="35"/>
      <c r="T19" s="35"/>
      <c r="U19" s="34"/>
      <c r="V19" s="38"/>
      <c r="W19" s="38"/>
      <c r="X19" s="38"/>
      <c r="Y19" s="38"/>
      <c r="Z19" s="42"/>
      <c r="AA19" s="42"/>
      <c r="AB19" s="42"/>
      <c r="AC19" s="44" t="s">
        <v>53</v>
      </c>
      <c r="AD19" s="44" t="s">
        <v>52</v>
      </c>
      <c r="AE19" s="50" t="s">
        <v>51</v>
      </c>
      <c r="AF19" s="49" t="s">
        <v>50</v>
      </c>
    </row>
    <row r="20" spans="1:36" s="37" customFormat="1" ht="12.75" x14ac:dyDescent="0.2">
      <c r="G20" s="60" t="s">
        <v>97</v>
      </c>
      <c r="H20" s="90">
        <v>11</v>
      </c>
      <c r="I20" s="58" t="s">
        <v>32</v>
      </c>
      <c r="K20" s="57"/>
      <c r="L20" s="38"/>
      <c r="M20" s="35"/>
      <c r="N20" s="35"/>
      <c r="O20" s="35"/>
      <c r="P20" s="35"/>
      <c r="Q20" s="35"/>
      <c r="R20" s="35"/>
      <c r="S20" s="35"/>
      <c r="T20" s="35"/>
      <c r="U20" s="34"/>
      <c r="V20" s="38"/>
      <c r="W20" s="38"/>
      <c r="X20" s="44" t="s">
        <v>53</v>
      </c>
      <c r="Y20" s="44" t="s">
        <v>52</v>
      </c>
      <c r="Z20" s="50" t="s">
        <v>51</v>
      </c>
      <c r="AA20" s="49" t="s">
        <v>50</v>
      </c>
      <c r="AB20" s="49"/>
      <c r="AC20" s="40" t="s">
        <v>45</v>
      </c>
      <c r="AD20" s="40" t="s">
        <v>47</v>
      </c>
      <c r="AE20" s="40" t="s">
        <v>46</v>
      </c>
      <c r="AF20" s="65" t="s">
        <v>45</v>
      </c>
    </row>
    <row r="21" spans="1:36" s="37" customFormat="1" ht="12.75" x14ac:dyDescent="0.2">
      <c r="G21" s="60" t="s">
        <v>99</v>
      </c>
      <c r="H21" s="91">
        <f>H20-H19</f>
        <v>4.8</v>
      </c>
      <c r="I21" s="58" t="s">
        <v>32</v>
      </c>
      <c r="K21" s="57"/>
      <c r="L21" s="38"/>
      <c r="M21" s="35"/>
      <c r="N21" s="35"/>
      <c r="O21" s="35"/>
      <c r="P21" s="35"/>
      <c r="Q21" s="35"/>
      <c r="R21" s="35"/>
      <c r="S21" s="35"/>
      <c r="T21" s="35"/>
      <c r="U21" s="34"/>
      <c r="V21" s="38"/>
      <c r="W21" s="38"/>
      <c r="X21" s="40" t="s">
        <v>45</v>
      </c>
      <c r="Y21" s="40" t="s">
        <v>47</v>
      </c>
      <c r="Z21" s="40" t="s">
        <v>46</v>
      </c>
      <c r="AA21" s="65" t="s">
        <v>45</v>
      </c>
      <c r="AB21" s="49"/>
      <c r="AC21" s="40">
        <v>0</v>
      </c>
      <c r="AD21" s="51">
        <f t="shared" ref="AD21:AD31" si="0">INDEX($Y$22:$Y$56,MATCH(AC21,$X$22:$X$56,0))</f>
        <v>4.0960000000000001</v>
      </c>
      <c r="AE21" s="51">
        <f>INDEX($Z$22:$Z$56,MATCH(AC21,$X$22:$X$56,0))</f>
        <v>0</v>
      </c>
    </row>
    <row r="22" spans="1:36" s="37" customFormat="1" ht="12.75" x14ac:dyDescent="0.2">
      <c r="G22" s="60" t="s">
        <v>98</v>
      </c>
      <c r="H22" s="91">
        <f>H17-H20/2-H19/2</f>
        <v>6.4</v>
      </c>
      <c r="I22" s="58" t="s">
        <v>32</v>
      </c>
      <c r="L22" s="38"/>
      <c r="M22" s="35"/>
      <c r="N22" s="35"/>
      <c r="O22" s="35"/>
      <c r="P22" s="35"/>
      <c r="Q22" s="35"/>
      <c r="R22" s="35"/>
      <c r="S22" s="35"/>
      <c r="T22" s="35"/>
      <c r="U22" s="34"/>
      <c r="V22" s="38"/>
      <c r="W22" s="40">
        <v>0</v>
      </c>
      <c r="X22" s="40">
        <v>0</v>
      </c>
      <c r="Y22" s="44">
        <f t="shared" ref="Y22:Y53" si="1">IF(X22&lt;$H$19,$B$25,IF(X22&gt;$H$20,$B$25-$H$23,$B$25-($H$23*(X22-$H$19))/$H$21))</f>
        <v>4.0960000000000001</v>
      </c>
      <c r="Z22" s="50">
        <f t="shared" ref="Z22:Z53" si="2">IF(X22&lt;$H$19,$B$25*X22,IF(X22&gt;$H$20,$B$25*X22-$H$23*(X22-$H$19/2-$H$20/2),$B$25*X22-($H$23*(X22-$H$19)^2)/(2*$H$21)))</f>
        <v>0</v>
      </c>
      <c r="AA22" s="95">
        <f t="shared" ref="AA22:AA52" si="3">IF(X22&lt;$H$19,1/(48*$H$15*$H$16)*(8*$B$25*(X22^3-$H$17^2*X22)+$H$23*X22*(8*$H$22^3/$H$17-2*$H$20*$H$21^2/$H$17+$H$21^3/$H$17+2*$H$21^2)),IF(X22&gt;$H$20,1/(48*$H$15*$H$16)*(8*$B$25*(X22^3-$H$17^2*X22)+$H$23*X22*(8*$H$22^3/$H$17-2*$H$20*$H$21^2/$H$17+$H$21^3/$H$17)-8*$H$23*(X22-$H$19/2-$H$20/2)^3+$H$23*(2*$H$20*$H$21^2-$H$21^3)),1/(48*$H$15*$H$16)*(8*$B$25*(X22^3-$H$17^2*X22)+$H$23*X22*(8*$H$22^3/$H$17-2*$H$20*$H$21^2/$H$17+$H$21^3/$H$17+2*$H$21^2)-2*$H$23*(X22-$H$19)^4/$H$21)))</f>
        <v>0</v>
      </c>
      <c r="AB22" s="49"/>
      <c r="AC22" s="48">
        <f t="array" ref="AC22:AC55">IF(ISERROR(SMALL(X22:X56,ROW()-ROW(X21))),"",SMALL(X22:X56,ROW()-ROW(X21)))</f>
        <v>0</v>
      </c>
      <c r="AD22" s="51">
        <f t="shared" si="0"/>
        <v>4.0960000000000001</v>
      </c>
      <c r="AE22" s="51">
        <f>INDEX($Z$22:$Z$56,MATCH(AC22,$X$22:$X$56,0))</f>
        <v>0</v>
      </c>
      <c r="AF22" s="67">
        <f>INDEX($AA$22:$AA$56,MATCH(AC22,$X$22:$X$56,0))</f>
        <v>0</v>
      </c>
      <c r="AH22" s="37">
        <f>1/48*$H$15*$H$16*(8*$B$25*(X22^3-$H$17^2*X22)+$H$23*X22*(8*$H$22^3/$H$17-2*$H$20*$H$21^2/$H$17+$H$21^3/$H$17+2*$H$21^2))</f>
        <v>0</v>
      </c>
      <c r="AI22" s="37">
        <f>1/48*$H$15*$H$16*(8*$B$25*(X22^3-$H$17^2*X22)+$H$23*X22*(8*$H$22^3/$H$17-2*$H$20*$H$21^2/$H$17+$H$21^3/$H$17+2*$H$21^2)-2*$H$23*(X22-$H$19)^4/$H$21)</f>
        <v>-12313613.333333334</v>
      </c>
      <c r="AJ22" s="37">
        <f>1/48*$H$15*$H$16*(8*$B$25*(X22^3-$H$17^2*X22)+$H$23*X22*(8*$H$22^3/$H$17-2*$H$20*$H$21^2/$H$17+$H$21^3/$H$17*2)-8*$H$23*(X22-$H$19/2-$H$20/2)^3+$H$23*(2*$H$20*$H$21^2-$H$21^3))</f>
        <v>109694719.99999997</v>
      </c>
    </row>
    <row r="23" spans="1:36" s="37" customFormat="1" ht="12.75" x14ac:dyDescent="0.2">
      <c r="B23" s="64" t="s">
        <v>44</v>
      </c>
      <c r="C23" s="63"/>
      <c r="D23" s="62"/>
      <c r="G23" s="60" t="s">
        <v>49</v>
      </c>
      <c r="H23" s="59">
        <f>H18*(H20-H19)</f>
        <v>9.6</v>
      </c>
      <c r="I23" s="58" t="s">
        <v>48</v>
      </c>
      <c r="L23" s="38"/>
      <c r="M23" s="35"/>
      <c r="N23" s="35"/>
      <c r="O23" s="35"/>
      <c r="P23" s="35"/>
      <c r="Q23" s="35"/>
      <c r="R23" s="35"/>
      <c r="S23" s="35"/>
      <c r="T23" s="35"/>
      <c r="U23" s="34"/>
      <c r="V23" s="38"/>
      <c r="W23" s="44">
        <v>1</v>
      </c>
      <c r="X23" s="52">
        <f>H17/MAX(W22:W55)*W23</f>
        <v>0.5</v>
      </c>
      <c r="Y23" s="44">
        <f t="shared" si="1"/>
        <v>4.0960000000000001</v>
      </c>
      <c r="Z23" s="50">
        <f t="shared" si="2"/>
        <v>2.048</v>
      </c>
      <c r="AA23" s="95">
        <f t="shared" si="3"/>
        <v>-6.0767573333333331E-4</v>
      </c>
      <c r="AB23" s="49"/>
      <c r="AC23" s="48">
        <v>0.5</v>
      </c>
      <c r="AD23" s="51">
        <f t="shared" si="0"/>
        <v>4.0960000000000001</v>
      </c>
      <c r="AE23" s="51">
        <f t="shared" ref="AE23:AE54" si="4">INDEX($Z$22:$Z$56,MATCH(AC23,$X$22:$X$56,0))</f>
        <v>2.048</v>
      </c>
      <c r="AF23" s="67">
        <f t="shared" ref="AF23:AF55" si="5">INDEX($AA$22:$AA$56,MATCH(AC23,$X$22:$X$56,0))</f>
        <v>-6.0767573333333331E-4</v>
      </c>
    </row>
    <row r="24" spans="1:36" s="37" customFormat="1" ht="14.25" x14ac:dyDescent="0.25">
      <c r="A24" s="60" t="s">
        <v>71</v>
      </c>
      <c r="B24" s="37" t="str">
        <f ca="1">[1]!xlv(B25)</f>
        <v>W × d / L</v>
      </c>
      <c r="I24" s="57"/>
      <c r="L24" s="38"/>
      <c r="M24" s="35"/>
      <c r="N24" s="35"/>
      <c r="O24" s="35"/>
      <c r="P24" s="35"/>
      <c r="Q24" s="35"/>
      <c r="R24" s="35"/>
      <c r="S24" s="35"/>
      <c r="T24" s="35"/>
      <c r="U24" s="34"/>
      <c r="V24" s="38"/>
      <c r="W24" s="44">
        <v>2</v>
      </c>
      <c r="X24" s="52">
        <f>H17/MAX(W22:W55)*W24</f>
        <v>1</v>
      </c>
      <c r="Y24" s="44">
        <f t="shared" si="1"/>
        <v>4.0960000000000001</v>
      </c>
      <c r="Z24" s="50">
        <f t="shared" si="2"/>
        <v>4.0960000000000001</v>
      </c>
      <c r="AA24" s="95">
        <f t="shared" si="3"/>
        <v>-1.2102314666666667E-3</v>
      </c>
      <c r="AB24" s="49"/>
      <c r="AC24" s="48">
        <v>1</v>
      </c>
      <c r="AD24" s="51">
        <f t="shared" si="0"/>
        <v>4.0960000000000001</v>
      </c>
      <c r="AE24" s="51">
        <f t="shared" si="4"/>
        <v>4.0960000000000001</v>
      </c>
      <c r="AF24" s="67">
        <f t="shared" si="5"/>
        <v>-1.2102314666666667E-3</v>
      </c>
    </row>
    <row r="25" spans="1:36" s="37" customFormat="1" ht="14.25" x14ac:dyDescent="0.25">
      <c r="A25" s="60" t="s">
        <v>71</v>
      </c>
      <c r="B25" s="59">
        <f>H23*H22/H17</f>
        <v>4.0960000000000001</v>
      </c>
      <c r="C25" s="58" t="s">
        <v>39</v>
      </c>
      <c r="F25" s="60" t="s">
        <v>93</v>
      </c>
      <c r="G25" s="58" t="str">
        <f ca="1">[1]!xlv(G27)</f>
        <v>W × d / L × (a + c × d / (2 × L))</v>
      </c>
      <c r="H25" s="58"/>
      <c r="L25" s="38"/>
      <c r="M25" s="35"/>
      <c r="N25" s="35"/>
      <c r="O25" s="35"/>
      <c r="P25" s="35"/>
      <c r="Q25" s="35"/>
      <c r="R25" s="35"/>
      <c r="S25" s="35"/>
      <c r="T25" s="35"/>
      <c r="U25" s="34"/>
      <c r="V25" s="38"/>
      <c r="W25" s="44">
        <v>3</v>
      </c>
      <c r="X25" s="52">
        <f>H17/MAX(W22:W55)*W25</f>
        <v>1.5</v>
      </c>
      <c r="Y25" s="44">
        <f t="shared" si="1"/>
        <v>4.0960000000000001</v>
      </c>
      <c r="Z25" s="50">
        <f t="shared" si="2"/>
        <v>6.1440000000000001</v>
      </c>
      <c r="AA25" s="95">
        <f t="shared" si="3"/>
        <v>-1.8025471999999999E-3</v>
      </c>
      <c r="AB25" s="49"/>
      <c r="AC25" s="48">
        <v>1.5</v>
      </c>
      <c r="AD25" s="51">
        <f t="shared" si="0"/>
        <v>4.0960000000000001</v>
      </c>
      <c r="AE25" s="51">
        <f t="shared" si="4"/>
        <v>6.1440000000000001</v>
      </c>
      <c r="AF25" s="67">
        <f t="shared" si="5"/>
        <v>-1.8025471999999999E-3</v>
      </c>
    </row>
    <row r="26" spans="1:36" s="37" customFormat="1" ht="14.25" x14ac:dyDescent="0.25">
      <c r="A26" s="60" t="s">
        <v>100</v>
      </c>
      <c r="B26" s="37" t="str">
        <f ca="1">[1]!xlv(B27)</f>
        <v>(W / L) × (a + c / 2)</v>
      </c>
      <c r="F26" s="60" t="s">
        <v>41</v>
      </c>
      <c r="G26" s="37" t="str">
        <f>[1]!xln(G27)</f>
        <v>9.6 × 6.4 / 15 × (6.2 + 4.8 × 6.4 / (2 × 15))</v>
      </c>
      <c r="H26" s="58"/>
      <c r="L26" s="38"/>
      <c r="M26" s="35"/>
      <c r="N26" s="35"/>
      <c r="O26" s="35"/>
      <c r="P26" s="35"/>
      <c r="Q26" s="35"/>
      <c r="R26" s="35"/>
      <c r="S26" s="35"/>
      <c r="T26" s="35"/>
      <c r="U26" s="34"/>
      <c r="V26" s="38"/>
      <c r="W26" s="44">
        <v>4</v>
      </c>
      <c r="X26" s="52">
        <f>H17/MAX(W22:W55)*W26</f>
        <v>2</v>
      </c>
      <c r="Y26" s="44">
        <f t="shared" si="1"/>
        <v>4.0960000000000001</v>
      </c>
      <c r="Z26" s="50">
        <f t="shared" si="2"/>
        <v>8.1920000000000002</v>
      </c>
      <c r="AA26" s="95">
        <f t="shared" si="3"/>
        <v>-2.3795029333333333E-3</v>
      </c>
      <c r="AB26" s="49"/>
      <c r="AC26" s="48">
        <v>2</v>
      </c>
      <c r="AD26" s="51">
        <f t="shared" si="0"/>
        <v>4.0960000000000001</v>
      </c>
      <c r="AE26" s="51">
        <f t="shared" si="4"/>
        <v>8.1920000000000002</v>
      </c>
      <c r="AF26" s="67">
        <f t="shared" si="5"/>
        <v>-2.3795029333333333E-3</v>
      </c>
    </row>
    <row r="27" spans="1:36" s="37" customFormat="1" ht="12.75" x14ac:dyDescent="0.2">
      <c r="A27" s="60" t="s">
        <v>41</v>
      </c>
      <c r="B27" s="59">
        <f>(H23/H17)*(H19+H21/2)</f>
        <v>5.5039999999999996</v>
      </c>
      <c r="C27" s="58" t="s">
        <v>39</v>
      </c>
      <c r="F27" s="60" t="s">
        <v>41</v>
      </c>
      <c r="G27" s="59">
        <f>H23*H22/H17*(H19+H21*H22/(2*H17))</f>
        <v>29.589504000000002</v>
      </c>
      <c r="H27" s="58" t="s">
        <v>37</v>
      </c>
      <c r="L27" s="38"/>
      <c r="M27" s="35"/>
      <c r="N27" s="35"/>
      <c r="O27" s="35"/>
      <c r="P27" s="35"/>
      <c r="Q27" s="35"/>
      <c r="R27" s="35"/>
      <c r="S27" s="35"/>
      <c r="T27" s="35"/>
      <c r="U27" s="34"/>
      <c r="V27" s="38"/>
      <c r="W27" s="44">
        <v>5</v>
      </c>
      <c r="X27" s="52">
        <f>H17/MAX(W22:W55)*W27</f>
        <v>2.5</v>
      </c>
      <c r="Y27" s="44">
        <f t="shared" si="1"/>
        <v>4.0960000000000001</v>
      </c>
      <c r="Z27" s="50">
        <f t="shared" si="2"/>
        <v>10.24</v>
      </c>
      <c r="AA27" s="95">
        <f t="shared" si="3"/>
        <v>-2.9359786666666664E-3</v>
      </c>
      <c r="AB27" s="49"/>
      <c r="AC27" s="48">
        <v>2.5</v>
      </c>
      <c r="AD27" s="51">
        <f t="shared" si="0"/>
        <v>4.0960000000000001</v>
      </c>
      <c r="AE27" s="51">
        <f t="shared" si="4"/>
        <v>10.24</v>
      </c>
      <c r="AF27" s="67">
        <f t="shared" si="5"/>
        <v>-2.9359786666666664E-3</v>
      </c>
    </row>
    <row r="28" spans="1:36" s="37" customFormat="1" ht="12.75" x14ac:dyDescent="0.2">
      <c r="L28" s="38"/>
      <c r="M28" s="35"/>
      <c r="N28" s="35"/>
      <c r="O28" s="35"/>
      <c r="P28" s="35"/>
      <c r="Q28" s="35"/>
      <c r="R28" s="35"/>
      <c r="S28" s="35"/>
      <c r="T28" s="35"/>
      <c r="U28" s="34"/>
      <c r="V28" s="38"/>
      <c r="W28" s="44">
        <v>6</v>
      </c>
      <c r="X28" s="52">
        <f>H17/MAX(W22:W55)*W28</f>
        <v>3</v>
      </c>
      <c r="Y28" s="44">
        <f t="shared" si="1"/>
        <v>4.0960000000000001</v>
      </c>
      <c r="Z28" s="50">
        <f t="shared" si="2"/>
        <v>12.288</v>
      </c>
      <c r="AA28" s="95">
        <f t="shared" si="3"/>
        <v>-3.4668544000000003E-3</v>
      </c>
      <c r="AB28" s="49"/>
      <c r="AC28" s="48">
        <v>3</v>
      </c>
      <c r="AD28" s="51">
        <f t="shared" si="0"/>
        <v>4.0960000000000001</v>
      </c>
      <c r="AE28" s="51">
        <f t="shared" si="4"/>
        <v>12.288</v>
      </c>
      <c r="AF28" s="67">
        <f t="shared" si="5"/>
        <v>-3.4668544000000003E-3</v>
      </c>
    </row>
    <row r="29" spans="1:36" s="37" customFormat="1" ht="14.25" x14ac:dyDescent="0.25">
      <c r="A29" s="60" t="s">
        <v>43</v>
      </c>
      <c r="B29" s="58" t="str">
        <f ca="1">[1]!xlv(B31)</f>
        <v>1 / (48 × E × I) × ( - 8 × RA × L² + W × (8 × d³ / L - 2 × b × c² / L + c³ / L + 2 × c²))</v>
      </c>
      <c r="C29" s="58"/>
      <c r="L29" s="38"/>
      <c r="M29" s="35"/>
      <c r="N29" s="35"/>
      <c r="O29" s="35"/>
      <c r="P29" s="35"/>
      <c r="Q29" s="35"/>
      <c r="R29" s="35"/>
      <c r="S29" s="35"/>
      <c r="T29" s="35"/>
      <c r="U29" s="34"/>
      <c r="V29" s="38"/>
      <c r="W29" s="44">
        <v>7</v>
      </c>
      <c r="X29" s="52">
        <f>H17/MAX(W22:W55)*W29</f>
        <v>3.5</v>
      </c>
      <c r="Y29" s="44">
        <f t="shared" si="1"/>
        <v>4.0960000000000001</v>
      </c>
      <c r="Z29" s="50">
        <f t="shared" si="2"/>
        <v>14.336</v>
      </c>
      <c r="AA29" s="95">
        <f t="shared" si="3"/>
        <v>-3.9670101333333331E-3</v>
      </c>
      <c r="AB29" s="49"/>
      <c r="AC29" s="48">
        <v>3.5</v>
      </c>
      <c r="AD29" s="51">
        <f t="shared" si="0"/>
        <v>4.0960000000000001</v>
      </c>
      <c r="AE29" s="51">
        <f t="shared" si="4"/>
        <v>14.336</v>
      </c>
      <c r="AF29" s="67">
        <f t="shared" si="5"/>
        <v>-3.9670101333333331E-3</v>
      </c>
    </row>
    <row r="30" spans="1:36" s="37" customFormat="1" ht="12.75" x14ac:dyDescent="0.2">
      <c r="A30" s="60" t="s">
        <v>41</v>
      </c>
      <c r="B30" s="37" t="str">
        <f>[1]!xln(B31)</f>
        <v>1 / (48 × (1E+07) × 0.01) × (-8 × 4.1 × 15² + 9.6 × (8 × 6.4³ / 15 - 2 × 11 × 4.8² / 15 + 4.8³ / 15 + 2 × 4.8²))</v>
      </c>
      <c r="C30" s="58"/>
      <c r="L30" s="38"/>
      <c r="M30" s="35"/>
      <c r="N30" s="35"/>
      <c r="O30" s="35"/>
      <c r="P30" s="35"/>
      <c r="Q30" s="35"/>
      <c r="R30" s="35"/>
      <c r="S30" s="35"/>
      <c r="T30" s="35"/>
      <c r="U30" s="34"/>
      <c r="V30" s="38"/>
      <c r="W30" s="44">
        <v>8</v>
      </c>
      <c r="X30" s="52">
        <f>H17/MAX(W22:W55)*W30</f>
        <v>4</v>
      </c>
      <c r="Y30" s="44">
        <f t="shared" si="1"/>
        <v>4.0960000000000001</v>
      </c>
      <c r="Z30" s="50">
        <f t="shared" si="2"/>
        <v>16.384</v>
      </c>
      <c r="AA30" s="95">
        <f t="shared" si="3"/>
        <v>-4.4313258666666662E-3</v>
      </c>
      <c r="AB30" s="49"/>
      <c r="AC30" s="48">
        <v>4</v>
      </c>
      <c r="AD30" s="51">
        <f t="shared" si="0"/>
        <v>4.0960000000000001</v>
      </c>
      <c r="AE30" s="51">
        <f t="shared" si="4"/>
        <v>16.384</v>
      </c>
      <c r="AF30" s="67">
        <f t="shared" si="5"/>
        <v>-4.4313258666666662E-3</v>
      </c>
    </row>
    <row r="31" spans="1:36" s="37" customFormat="1" ht="12.75" x14ac:dyDescent="0.2">
      <c r="A31" s="60" t="s">
        <v>41</v>
      </c>
      <c r="B31" s="61">
        <f>1/(48*$H$15*$H$16)*(-8*$B$25*H17^2+$H$23*(8*$H$22^3/$H$17-2*$H$20*$H$21^2/$H$17+$H$21^3/$H$17+2*$H$21^2))</f>
        <v>-1.2170581333333333E-3</v>
      </c>
      <c r="C31" s="58" t="s">
        <v>42</v>
      </c>
      <c r="L31" s="38"/>
      <c r="M31" s="35"/>
      <c r="N31" s="35"/>
      <c r="O31" s="35"/>
      <c r="P31" s="35"/>
      <c r="Q31" s="35"/>
      <c r="R31" s="35"/>
      <c r="S31" s="35"/>
      <c r="T31" s="35"/>
      <c r="U31" s="34"/>
      <c r="V31" s="38"/>
      <c r="W31" s="44">
        <v>9</v>
      </c>
      <c r="X31" s="52">
        <f>H17/MAX(W22:W55)*W31</f>
        <v>4.5</v>
      </c>
      <c r="Y31" s="44">
        <f t="shared" si="1"/>
        <v>4.0960000000000001</v>
      </c>
      <c r="Z31" s="50">
        <f t="shared" si="2"/>
        <v>18.432000000000002</v>
      </c>
      <c r="AA31" s="95">
        <f t="shared" si="3"/>
        <v>-4.8546816000000007E-3</v>
      </c>
      <c r="AB31" s="49"/>
      <c r="AC31" s="48">
        <v>4.5</v>
      </c>
      <c r="AD31" s="51">
        <f t="shared" si="0"/>
        <v>4.0960000000000001</v>
      </c>
      <c r="AE31" s="51">
        <f t="shared" si="4"/>
        <v>18.432000000000002</v>
      </c>
      <c r="AF31" s="67">
        <f t="shared" si="5"/>
        <v>-4.8546816000000007E-3</v>
      </c>
    </row>
    <row r="32" spans="1:36" s="37" customFormat="1" ht="14.25" x14ac:dyDescent="0.25">
      <c r="A32" s="60" t="s">
        <v>101</v>
      </c>
      <c r="B32" s="58" t="str">
        <f ca="1">[1]!xlv(B34)</f>
        <v>1 / (48 × E × I) × (16 × RA × L² - W × (24 × d² - 8 × d³ / L + 2 × b × c² / L - c³ / L))</v>
      </c>
      <c r="C32" s="58"/>
      <c r="J32" s="57"/>
      <c r="L32" s="38"/>
      <c r="M32" s="35"/>
      <c r="N32" s="35"/>
      <c r="O32" s="35"/>
      <c r="P32" s="35"/>
      <c r="Q32" s="35"/>
      <c r="R32" s="35"/>
      <c r="S32" s="35"/>
      <c r="T32" s="35"/>
      <c r="U32" s="34"/>
      <c r="V32" s="38"/>
      <c r="W32" s="44">
        <v>10</v>
      </c>
      <c r="X32" s="52">
        <f>H17/MAX(W22:W55)*W32</f>
        <v>5</v>
      </c>
      <c r="Y32" s="44">
        <f t="shared" si="1"/>
        <v>4.0960000000000001</v>
      </c>
      <c r="Z32" s="50">
        <f t="shared" si="2"/>
        <v>20.48</v>
      </c>
      <c r="AA32" s="95">
        <f t="shared" si="3"/>
        <v>-5.2319573333333329E-3</v>
      </c>
      <c r="AB32" s="49"/>
      <c r="AC32" s="48">
        <v>5</v>
      </c>
      <c r="AD32" s="51">
        <f>INDEX($Y$22:$Y$56,MATCH(AC32,$X$22:$X$56,0))</f>
        <v>4.0960000000000001</v>
      </c>
      <c r="AE32" s="51">
        <f t="shared" si="4"/>
        <v>20.48</v>
      </c>
      <c r="AF32" s="67">
        <f t="shared" si="5"/>
        <v>-5.2319573333333329E-3</v>
      </c>
    </row>
    <row r="33" spans="1:32" s="37" customFormat="1" ht="12.75" x14ac:dyDescent="0.2">
      <c r="A33" s="60" t="s">
        <v>41</v>
      </c>
      <c r="B33" s="37" t="str">
        <f>[1]!xln(B34)</f>
        <v>1 / (48 × (1E+07) × 0.01) × (16 × 4.1 × 15² - 9.6 × (24 × 6.4² - 8 × 6.4³ / 15 + 2 × 11 × 4.8² / 15 - 4.8³ / 15))</v>
      </c>
      <c r="C33" s="58"/>
      <c r="L33" s="38"/>
      <c r="M33" s="35"/>
      <c r="N33" s="35"/>
      <c r="O33" s="35"/>
      <c r="P33" s="35"/>
      <c r="Q33" s="35"/>
      <c r="R33" s="35"/>
      <c r="S33" s="35"/>
      <c r="T33" s="35"/>
      <c r="U33" s="34"/>
      <c r="V33" s="38"/>
      <c r="W33" s="44">
        <v>11</v>
      </c>
      <c r="X33" s="52">
        <f>H17/MAX(W22:W55)*W33</f>
        <v>5.5</v>
      </c>
      <c r="Y33" s="44">
        <f t="shared" si="1"/>
        <v>4.0960000000000001</v>
      </c>
      <c r="Z33" s="50">
        <f t="shared" si="2"/>
        <v>22.527999999999999</v>
      </c>
      <c r="AA33" s="95">
        <f t="shared" si="3"/>
        <v>-5.5580330666666665E-3</v>
      </c>
      <c r="AB33" s="49"/>
      <c r="AC33" s="48">
        <v>5.5</v>
      </c>
      <c r="AD33" s="51">
        <f t="shared" ref="AD33:AD55" si="6">INDEX($Y$22:$Y$56,MATCH(AC33,$X$22:$X$56,0))</f>
        <v>4.0960000000000001</v>
      </c>
      <c r="AE33" s="51">
        <f t="shared" si="4"/>
        <v>22.527999999999999</v>
      </c>
      <c r="AF33" s="67">
        <f t="shared" si="5"/>
        <v>-5.5580330666666665E-3</v>
      </c>
    </row>
    <row r="34" spans="1:32" s="37" customFormat="1" ht="12.75" x14ac:dyDescent="0.2">
      <c r="A34" s="60" t="s">
        <v>41</v>
      </c>
      <c r="B34" s="61">
        <f>1/(48*$H$15*$H$16)*(16*$B$25*H17^2-$H$23*(24*$H$22^2-8*H22^3/$H$17+2*H20*H21^2/$H$17-H21^3/H17))</f>
        <v>1.3327018666666663E-3</v>
      </c>
      <c r="C34" s="58" t="s">
        <v>42</v>
      </c>
      <c r="L34" s="38"/>
      <c r="M34" s="35"/>
      <c r="N34" s="35"/>
      <c r="O34" s="35"/>
      <c r="P34" s="35"/>
      <c r="Q34" s="35"/>
      <c r="R34" s="35"/>
      <c r="S34" s="35"/>
      <c r="T34" s="35"/>
      <c r="U34" s="34"/>
      <c r="V34" s="38"/>
      <c r="W34" s="44">
        <v>12</v>
      </c>
      <c r="X34" s="52">
        <f>H17/MAX(W22:W55)*W34</f>
        <v>6</v>
      </c>
      <c r="Y34" s="44">
        <f t="shared" si="1"/>
        <v>4.0960000000000001</v>
      </c>
      <c r="Z34" s="50">
        <f t="shared" si="2"/>
        <v>24.576000000000001</v>
      </c>
      <c r="AA34" s="95">
        <f t="shared" si="3"/>
        <v>-5.8277888000000007E-3</v>
      </c>
      <c r="AB34" s="49"/>
      <c r="AC34" s="48">
        <v>6</v>
      </c>
      <c r="AD34" s="51">
        <f t="shared" si="6"/>
        <v>4.0960000000000001</v>
      </c>
      <c r="AE34" s="51">
        <f t="shared" si="4"/>
        <v>24.576000000000001</v>
      </c>
      <c r="AF34" s="67">
        <f t="shared" si="5"/>
        <v>-5.8277888000000007E-3</v>
      </c>
    </row>
    <row r="35" spans="1:32" s="37" customFormat="1" ht="12.75" x14ac:dyDescent="0.2">
      <c r="L35" s="38"/>
      <c r="M35" s="35"/>
      <c r="N35" s="35"/>
      <c r="O35" s="35"/>
      <c r="P35" s="35"/>
      <c r="Q35" s="35"/>
      <c r="R35" s="35"/>
      <c r="S35" s="35"/>
      <c r="T35" s="35"/>
      <c r="U35" s="34"/>
      <c r="V35" s="38"/>
      <c r="W35" s="44">
        <v>13</v>
      </c>
      <c r="X35" s="52">
        <f>H17/MAX(W22:W55)*W35</f>
        <v>6.5</v>
      </c>
      <c r="Y35" s="44">
        <f t="shared" si="1"/>
        <v>3.4960000000000004</v>
      </c>
      <c r="Z35" s="50">
        <f t="shared" si="2"/>
        <v>26.534000000000002</v>
      </c>
      <c r="AA35" s="95">
        <f t="shared" si="3"/>
        <v>-6.0361112833333327E-3</v>
      </c>
      <c r="AB35" s="49"/>
      <c r="AC35" s="48">
        <v>6.2000099999999998</v>
      </c>
      <c r="AD35" s="51">
        <f t="shared" si="6"/>
        <v>4.0959800000000008</v>
      </c>
      <c r="AE35" s="51">
        <f t="shared" si="4"/>
        <v>25.395240959900001</v>
      </c>
      <c r="AF35" s="67">
        <f t="shared" si="5"/>
        <v>-5.9187789113899691E-3</v>
      </c>
    </row>
    <row r="36" spans="1:32" s="37" customFormat="1" ht="12.75" x14ac:dyDescent="0.2">
      <c r="I36" s="56" t="s">
        <v>40</v>
      </c>
      <c r="J36" s="38"/>
      <c r="K36" s="38"/>
      <c r="L36" s="38"/>
      <c r="M36" s="35"/>
      <c r="N36" s="35"/>
      <c r="O36" s="35"/>
      <c r="P36" s="35"/>
      <c r="Q36" s="35"/>
      <c r="R36" s="35"/>
      <c r="S36" s="35"/>
      <c r="T36" s="35"/>
      <c r="U36" s="34"/>
      <c r="V36" s="38"/>
      <c r="W36" s="44">
        <v>14</v>
      </c>
      <c r="X36" s="52">
        <f>H17/MAX(W22:W55)*W36</f>
        <v>7</v>
      </c>
      <c r="Y36" s="44">
        <f t="shared" si="1"/>
        <v>2.4960000000000004</v>
      </c>
      <c r="Z36" s="50">
        <f t="shared" si="2"/>
        <v>28.032</v>
      </c>
      <c r="AA36" s="95">
        <f t="shared" si="3"/>
        <v>-6.1782015999999997E-3</v>
      </c>
      <c r="AB36" s="49"/>
      <c r="AC36" s="48">
        <v>6.5</v>
      </c>
      <c r="AD36" s="51">
        <f t="shared" si="6"/>
        <v>3.4960000000000004</v>
      </c>
      <c r="AE36" s="51">
        <f t="shared" si="4"/>
        <v>26.534000000000002</v>
      </c>
      <c r="AF36" s="67">
        <f t="shared" si="5"/>
        <v>-6.0361112833333327E-3</v>
      </c>
    </row>
    <row r="37" spans="1:32" s="37" customFormat="1" ht="12.75" x14ac:dyDescent="0.2">
      <c r="I37" s="47" t="s">
        <v>34</v>
      </c>
      <c r="J37" s="92">
        <f>MAX(AD21:AD54)</f>
        <v>4.0960000000000001</v>
      </c>
      <c r="K37" s="38" t="s">
        <v>39</v>
      </c>
      <c r="L37" s="38"/>
      <c r="M37" s="35"/>
      <c r="N37" s="35"/>
      <c r="O37" s="35"/>
      <c r="P37" s="35"/>
      <c r="Q37" s="35"/>
      <c r="R37" s="35"/>
      <c r="S37" s="35"/>
      <c r="T37" s="35"/>
      <c r="U37" s="34"/>
      <c r="V37" s="38"/>
      <c r="W37" s="44">
        <v>15</v>
      </c>
      <c r="X37" s="52">
        <f>H17/MAX(W22:W55)*W37</f>
        <v>7.5</v>
      </c>
      <c r="Y37" s="44">
        <f t="shared" si="1"/>
        <v>1.4960000000000004</v>
      </c>
      <c r="Z37" s="50">
        <f t="shared" si="2"/>
        <v>29.03</v>
      </c>
      <c r="AA37" s="95">
        <f t="shared" si="3"/>
        <v>-6.250316083333333E-3</v>
      </c>
      <c r="AB37" s="49"/>
      <c r="AC37" s="48">
        <v>7</v>
      </c>
      <c r="AD37" s="51">
        <f t="shared" si="6"/>
        <v>2.4960000000000004</v>
      </c>
      <c r="AE37" s="51">
        <f t="shared" si="4"/>
        <v>28.032</v>
      </c>
      <c r="AF37" s="67">
        <f t="shared" si="5"/>
        <v>-6.1782015999999997E-3</v>
      </c>
    </row>
    <row r="38" spans="1:32" s="37" customFormat="1" ht="12.75" x14ac:dyDescent="0.2">
      <c r="I38" s="47" t="s">
        <v>33</v>
      </c>
      <c r="J38" s="92">
        <f>MIN(AD21:AD54)</f>
        <v>-5.5039999999999996</v>
      </c>
      <c r="K38" s="38" t="s">
        <v>39</v>
      </c>
      <c r="L38" s="38"/>
      <c r="M38" s="35"/>
      <c r="N38" s="35"/>
      <c r="O38" s="35"/>
      <c r="P38" s="35"/>
      <c r="Q38" s="35"/>
      <c r="R38" s="35"/>
      <c r="S38" s="35"/>
      <c r="T38" s="35"/>
      <c r="U38" s="34"/>
      <c r="V38" s="38"/>
      <c r="W38" s="44">
        <v>16</v>
      </c>
      <c r="X38" s="52">
        <f>H17/MAX(W22:W55)*W38</f>
        <v>8</v>
      </c>
      <c r="Y38" s="44">
        <f t="shared" si="1"/>
        <v>0.49600000000000044</v>
      </c>
      <c r="Z38" s="50">
        <f t="shared" si="2"/>
        <v>29.528000000000002</v>
      </c>
      <c r="AA38" s="95">
        <f t="shared" si="3"/>
        <v>-6.2499597333333327E-3</v>
      </c>
      <c r="AB38" s="49"/>
      <c r="AC38" s="48">
        <v>7.5</v>
      </c>
      <c r="AD38" s="51">
        <f t="shared" si="6"/>
        <v>1.4960000000000004</v>
      </c>
      <c r="AE38" s="51">
        <f t="shared" si="4"/>
        <v>29.03</v>
      </c>
      <c r="AF38" s="67">
        <f t="shared" si="5"/>
        <v>-6.250316083333333E-3</v>
      </c>
    </row>
    <row r="39" spans="1:32" s="37" customFormat="1" ht="12.75" x14ac:dyDescent="0.2">
      <c r="I39" s="45" t="s">
        <v>35</v>
      </c>
      <c r="J39" s="38"/>
      <c r="K39" s="38"/>
      <c r="L39" s="38"/>
      <c r="M39" s="35"/>
      <c r="N39" s="35"/>
      <c r="O39" s="35"/>
      <c r="P39" s="35"/>
      <c r="Q39" s="35"/>
      <c r="R39" s="35"/>
      <c r="S39" s="35"/>
      <c r="T39" s="35"/>
      <c r="U39" s="34"/>
      <c r="V39" s="38"/>
      <c r="W39" s="44">
        <v>17</v>
      </c>
      <c r="X39" s="52">
        <f>H17/MAX(W22:W55)*W39</f>
        <v>8.5</v>
      </c>
      <c r="Y39" s="44">
        <f t="shared" si="1"/>
        <v>-0.50399999999999956</v>
      </c>
      <c r="Z39" s="50">
        <f t="shared" si="2"/>
        <v>29.526000000000003</v>
      </c>
      <c r="AA39" s="95">
        <f t="shared" si="3"/>
        <v>-6.1758875500000001E-3</v>
      </c>
      <c r="AB39" s="49"/>
      <c r="AC39" s="48">
        <v>8</v>
      </c>
      <c r="AD39" s="51">
        <f t="shared" si="6"/>
        <v>0.49600000000000044</v>
      </c>
      <c r="AE39" s="51">
        <f t="shared" si="4"/>
        <v>29.528000000000002</v>
      </c>
      <c r="AF39" s="67">
        <f t="shared" si="5"/>
        <v>-6.2499597333333327E-3</v>
      </c>
    </row>
    <row r="40" spans="1:32" s="37" customFormat="1" ht="12.75" x14ac:dyDescent="0.2">
      <c r="I40" s="47" t="s">
        <v>34</v>
      </c>
      <c r="J40" s="46">
        <f>INDEX(AC21:AC54,MATCH(J37,AD21:AD54,0))</f>
        <v>0</v>
      </c>
      <c r="K40" s="38" t="s">
        <v>32</v>
      </c>
      <c r="L40" s="38"/>
      <c r="M40" s="35"/>
      <c r="N40" s="35"/>
      <c r="O40" s="35"/>
      <c r="P40" s="35"/>
      <c r="Q40" s="35"/>
      <c r="R40" s="35"/>
      <c r="S40" s="35"/>
      <c r="T40" s="35"/>
      <c r="U40" s="34"/>
      <c r="V40" s="38"/>
      <c r="W40" s="44">
        <v>18</v>
      </c>
      <c r="X40" s="52">
        <f>H17/MAX(W22:W55)*W40</f>
        <v>9</v>
      </c>
      <c r="Y40" s="44">
        <f t="shared" si="1"/>
        <v>-1.5039999999999996</v>
      </c>
      <c r="Z40" s="50">
        <f t="shared" si="2"/>
        <v>29.024000000000008</v>
      </c>
      <c r="AA40" s="95">
        <f t="shared" si="3"/>
        <v>-6.0281045333333335E-3</v>
      </c>
      <c r="AB40" s="49"/>
      <c r="AC40" s="48">
        <v>8.5</v>
      </c>
      <c r="AD40" s="51">
        <f t="shared" si="6"/>
        <v>-0.50399999999999956</v>
      </c>
      <c r="AE40" s="51">
        <f t="shared" si="4"/>
        <v>29.526000000000003</v>
      </c>
      <c r="AF40" s="67">
        <f t="shared" si="5"/>
        <v>-6.1758875500000001E-3</v>
      </c>
    </row>
    <row r="41" spans="1:32" s="37" customFormat="1" ht="12.75" x14ac:dyDescent="0.2">
      <c r="I41" s="47" t="s">
        <v>33</v>
      </c>
      <c r="J41" s="46">
        <f>INDEX(AC21:AC54,MATCH(J38,AD21:AD54,0))</f>
        <v>11</v>
      </c>
      <c r="K41" s="45" t="s">
        <v>32</v>
      </c>
      <c r="L41" s="38"/>
      <c r="M41" s="35"/>
      <c r="N41" s="35"/>
      <c r="O41" s="35"/>
      <c r="P41" s="35"/>
      <c r="Q41" s="35"/>
      <c r="R41" s="35"/>
      <c r="S41" s="35"/>
      <c r="T41" s="35"/>
      <c r="U41" s="34"/>
      <c r="V41" s="38"/>
      <c r="W41" s="44">
        <v>19</v>
      </c>
      <c r="X41" s="52">
        <f>H17/MAX(W22:W55)*W41</f>
        <v>9.5</v>
      </c>
      <c r="Y41" s="44">
        <f t="shared" si="1"/>
        <v>-2.5039999999999996</v>
      </c>
      <c r="Z41" s="50">
        <f t="shared" si="2"/>
        <v>28.021999999999998</v>
      </c>
      <c r="AA41" s="95">
        <f t="shared" si="3"/>
        <v>-5.8078656833333324E-3</v>
      </c>
      <c r="AB41" s="40"/>
      <c r="AC41" s="48">
        <v>9</v>
      </c>
      <c r="AD41" s="51">
        <f t="shared" si="6"/>
        <v>-1.5039999999999996</v>
      </c>
      <c r="AE41" s="51">
        <f t="shared" si="4"/>
        <v>29.024000000000008</v>
      </c>
      <c r="AF41" s="67">
        <f t="shared" si="5"/>
        <v>-6.0281045333333335E-3</v>
      </c>
    </row>
    <row r="42" spans="1:32" s="37" customFormat="1" ht="12.75" x14ac:dyDescent="0.2">
      <c r="L42" s="38"/>
      <c r="M42" s="35"/>
      <c r="N42" s="35"/>
      <c r="O42" s="35"/>
      <c r="P42" s="35"/>
      <c r="Q42" s="35"/>
      <c r="R42" s="35"/>
      <c r="S42" s="35"/>
      <c r="T42" s="35"/>
      <c r="U42" s="34"/>
      <c r="V42" s="38"/>
      <c r="W42" s="44">
        <v>20</v>
      </c>
      <c r="X42" s="52">
        <f>H17/MAX(W22:W55)*W42</f>
        <v>10</v>
      </c>
      <c r="Y42" s="44">
        <f t="shared" si="1"/>
        <v>-3.5039999999999996</v>
      </c>
      <c r="Z42" s="50">
        <f t="shared" si="2"/>
        <v>26.520000000000003</v>
      </c>
      <c r="AA42" s="95">
        <f t="shared" si="3"/>
        <v>-5.517676E-3</v>
      </c>
      <c r="AB42" s="40"/>
      <c r="AC42" s="48">
        <v>9.5</v>
      </c>
      <c r="AD42" s="51">
        <f t="shared" si="6"/>
        <v>-2.5039999999999996</v>
      </c>
      <c r="AE42" s="51">
        <f t="shared" si="4"/>
        <v>28.021999999999998</v>
      </c>
      <c r="AF42" s="67">
        <f t="shared" si="5"/>
        <v>-5.8078656833333324E-3</v>
      </c>
    </row>
    <row r="43" spans="1:32" s="37" customFormat="1" ht="12.75" x14ac:dyDescent="0.2">
      <c r="I43" s="54" t="s">
        <v>38</v>
      </c>
      <c r="J43" s="38"/>
      <c r="K43" s="38"/>
      <c r="L43" s="38"/>
      <c r="M43" s="35"/>
      <c r="N43" s="35"/>
      <c r="O43" s="35"/>
      <c r="P43" s="35"/>
      <c r="Q43" s="35"/>
      <c r="R43" s="35"/>
      <c r="S43" s="35"/>
      <c r="T43" s="35"/>
      <c r="U43" s="34"/>
      <c r="V43" s="38"/>
      <c r="W43" s="44">
        <v>21</v>
      </c>
      <c r="X43" s="52">
        <f>H17/MAX(W22:W55)*W43</f>
        <v>10.5</v>
      </c>
      <c r="Y43" s="44">
        <f t="shared" si="1"/>
        <v>-4.5039999999999996</v>
      </c>
      <c r="Z43" s="50">
        <f t="shared" si="2"/>
        <v>24.518000000000004</v>
      </c>
      <c r="AA43" s="95">
        <f t="shared" si="3"/>
        <v>-5.1612904833333324E-3</v>
      </c>
      <c r="AB43" s="40"/>
      <c r="AC43" s="48">
        <v>10</v>
      </c>
      <c r="AD43" s="51">
        <f t="shared" si="6"/>
        <v>-3.5039999999999996</v>
      </c>
      <c r="AE43" s="51">
        <f t="shared" si="4"/>
        <v>26.520000000000003</v>
      </c>
      <c r="AF43" s="67">
        <f t="shared" si="5"/>
        <v>-5.517676E-3</v>
      </c>
    </row>
    <row r="44" spans="1:32" s="37" customFormat="1" ht="12.75" x14ac:dyDescent="0.2">
      <c r="I44" s="47" t="s">
        <v>34</v>
      </c>
      <c r="J44" s="93">
        <f>MAX(AE21:AE54)</f>
        <v>29.528000000000002</v>
      </c>
      <c r="K44" s="38" t="s">
        <v>37</v>
      </c>
      <c r="L44" s="38"/>
      <c r="M44" s="35"/>
      <c r="N44" s="35"/>
      <c r="O44" s="35"/>
      <c r="P44" s="35"/>
      <c r="Q44" s="35"/>
      <c r="R44" s="35"/>
      <c r="S44" s="35"/>
      <c r="T44" s="35"/>
      <c r="U44" s="34"/>
      <c r="V44" s="38"/>
      <c r="W44" s="44">
        <v>22</v>
      </c>
      <c r="X44" s="52">
        <f>H17/MAX(W22:W55)*W44</f>
        <v>11</v>
      </c>
      <c r="Y44" s="44">
        <f t="shared" si="1"/>
        <v>-5.5039999999999996</v>
      </c>
      <c r="Z44" s="50">
        <f t="shared" si="2"/>
        <v>22.015999999999998</v>
      </c>
      <c r="AA44" s="95">
        <f t="shared" si="3"/>
        <v>-4.7437141333333335E-3</v>
      </c>
      <c r="AB44" s="40"/>
      <c r="AC44" s="48">
        <v>10.5</v>
      </c>
      <c r="AD44" s="51">
        <f t="shared" si="6"/>
        <v>-4.5039999999999996</v>
      </c>
      <c r="AE44" s="51">
        <f t="shared" si="4"/>
        <v>24.518000000000004</v>
      </c>
      <c r="AF44" s="67">
        <f t="shared" si="5"/>
        <v>-5.1612904833333324E-3</v>
      </c>
    </row>
    <row r="45" spans="1:32" s="37" customFormat="1" ht="12.75" x14ac:dyDescent="0.2">
      <c r="I45" s="47" t="s">
        <v>33</v>
      </c>
      <c r="J45" s="55">
        <f>MIN(AE21:AE54)</f>
        <v>0</v>
      </c>
      <c r="K45" s="38" t="s">
        <v>37</v>
      </c>
      <c r="L45" s="38"/>
      <c r="M45" s="35"/>
      <c r="N45" s="35"/>
      <c r="O45" s="35"/>
      <c r="P45" s="35"/>
      <c r="Q45" s="35"/>
      <c r="R45" s="35"/>
      <c r="S45" s="35"/>
      <c r="T45" s="35"/>
      <c r="U45" s="34"/>
      <c r="V45" s="38"/>
      <c r="W45" s="44">
        <v>23</v>
      </c>
      <c r="X45" s="52">
        <f>H17/MAX(W22:W55)*W45</f>
        <v>11.5</v>
      </c>
      <c r="Y45" s="44">
        <f t="shared" si="1"/>
        <v>-5.5039999999999996</v>
      </c>
      <c r="Z45" s="50">
        <f t="shared" si="2"/>
        <v>19.263999999999996</v>
      </c>
      <c r="AA45" s="95">
        <f t="shared" si="3"/>
        <v>-4.2711498666666656E-3</v>
      </c>
      <c r="AB45" s="40"/>
      <c r="AC45" s="48">
        <v>11</v>
      </c>
      <c r="AD45" s="51">
        <f t="shared" si="6"/>
        <v>-5.5039999999999996</v>
      </c>
      <c r="AE45" s="51">
        <f t="shared" si="4"/>
        <v>22.015999999999998</v>
      </c>
      <c r="AF45" s="67">
        <f t="shared" si="5"/>
        <v>-4.7437141333333335E-3</v>
      </c>
    </row>
    <row r="46" spans="1:32" s="37" customFormat="1" ht="12.75" x14ac:dyDescent="0.2">
      <c r="I46" s="45" t="s">
        <v>35</v>
      </c>
      <c r="J46" s="38"/>
      <c r="K46" s="38"/>
      <c r="L46" s="38"/>
      <c r="M46" s="35"/>
      <c r="N46" s="35"/>
      <c r="O46" s="35"/>
      <c r="P46" s="35"/>
      <c r="Q46" s="35"/>
      <c r="R46" s="35"/>
      <c r="S46" s="35"/>
      <c r="T46" s="35"/>
      <c r="U46" s="34"/>
      <c r="V46" s="38"/>
      <c r="W46" s="44">
        <v>24</v>
      </c>
      <c r="X46" s="52">
        <f>H17/MAX(W22:W55)*W46</f>
        <v>12</v>
      </c>
      <c r="Y46" s="44">
        <f t="shared" si="1"/>
        <v>-5.5039999999999996</v>
      </c>
      <c r="Z46" s="50">
        <f t="shared" si="2"/>
        <v>16.512</v>
      </c>
      <c r="AA46" s="95">
        <f t="shared" si="3"/>
        <v>-3.7504255999999993E-3</v>
      </c>
      <c r="AB46" s="40"/>
      <c r="AC46" s="48">
        <v>11.00001</v>
      </c>
      <c r="AD46" s="51">
        <f t="shared" si="6"/>
        <v>-5.5039999999999996</v>
      </c>
      <c r="AE46" s="51">
        <f t="shared" si="4"/>
        <v>22.015944959999999</v>
      </c>
      <c r="AF46" s="67">
        <f t="shared" si="5"/>
        <v>-4.7437052095036601E-3</v>
      </c>
    </row>
    <row r="47" spans="1:32" s="37" customFormat="1" ht="12.75" x14ac:dyDescent="0.2">
      <c r="I47" s="47" t="s">
        <v>34</v>
      </c>
      <c r="J47" s="46">
        <f>INDEX(AC21:AC54,MATCH(J44,AE21:AE54,0))</f>
        <v>8</v>
      </c>
      <c r="K47" s="38" t="s">
        <v>32</v>
      </c>
      <c r="L47" s="38"/>
      <c r="M47" s="35"/>
      <c r="N47" s="35"/>
      <c r="O47" s="35"/>
      <c r="P47" s="35"/>
      <c r="Q47" s="35"/>
      <c r="R47" s="35"/>
      <c r="S47" s="35"/>
      <c r="T47" s="35"/>
      <c r="U47" s="34"/>
      <c r="V47" s="38"/>
      <c r="W47" s="44">
        <v>25</v>
      </c>
      <c r="X47" s="52">
        <f>H17/MAX(W22:W55)*W47</f>
        <v>12.5</v>
      </c>
      <c r="Y47" s="44">
        <f t="shared" si="1"/>
        <v>-5.5039999999999996</v>
      </c>
      <c r="Z47" s="50">
        <f t="shared" si="2"/>
        <v>13.759999999999998</v>
      </c>
      <c r="AA47" s="95">
        <f t="shared" si="3"/>
        <v>-3.188421333333333E-3</v>
      </c>
      <c r="AB47" s="40"/>
      <c r="AC47" s="48">
        <v>11.5</v>
      </c>
      <c r="AD47" s="51">
        <f t="shared" si="6"/>
        <v>-5.5039999999999996</v>
      </c>
      <c r="AE47" s="51">
        <f t="shared" si="4"/>
        <v>19.263999999999996</v>
      </c>
      <c r="AF47" s="67">
        <f t="shared" si="5"/>
        <v>-4.2711498666666656E-3</v>
      </c>
    </row>
    <row r="48" spans="1:32" s="37" customFormat="1" ht="12.75" x14ac:dyDescent="0.2">
      <c r="I48" s="47" t="s">
        <v>33</v>
      </c>
      <c r="J48" s="46">
        <f>INDEX(AC21:AC54,MATCH(J45,AE21:AE54,0))</f>
        <v>0</v>
      </c>
      <c r="K48" s="45" t="s">
        <v>32</v>
      </c>
      <c r="L48" s="38"/>
      <c r="M48" s="35"/>
      <c r="N48" s="35"/>
      <c r="O48" s="35"/>
      <c r="P48" s="35"/>
      <c r="Q48" s="35"/>
      <c r="R48" s="35"/>
      <c r="S48" s="35"/>
      <c r="T48" s="35"/>
      <c r="U48" s="34"/>
      <c r="V48" s="38"/>
      <c r="W48" s="44">
        <v>26</v>
      </c>
      <c r="X48" s="52">
        <f>H17/MAX(W22:W55)*W48</f>
        <v>13</v>
      </c>
      <c r="Y48" s="44">
        <f t="shared" si="1"/>
        <v>-5.5039999999999996</v>
      </c>
      <c r="Z48" s="50">
        <f t="shared" si="2"/>
        <v>11.008000000000003</v>
      </c>
      <c r="AA48" s="95">
        <f t="shared" si="3"/>
        <v>-2.592017066666666E-3</v>
      </c>
      <c r="AB48" s="40"/>
      <c r="AC48" s="48">
        <v>12</v>
      </c>
      <c r="AD48" s="51">
        <f t="shared" si="6"/>
        <v>-5.5039999999999996</v>
      </c>
      <c r="AE48" s="51">
        <f t="shared" si="4"/>
        <v>16.512</v>
      </c>
      <c r="AF48" s="67">
        <f t="shared" si="5"/>
        <v>-3.7504255999999993E-3</v>
      </c>
    </row>
    <row r="49" spans="1:32" s="37" customFormat="1" ht="12.75" x14ac:dyDescent="0.2">
      <c r="L49" s="38"/>
      <c r="M49" s="35"/>
      <c r="N49" s="35"/>
      <c r="O49" s="35"/>
      <c r="P49" s="35"/>
      <c r="Q49" s="35"/>
      <c r="R49" s="35"/>
      <c r="S49" s="35"/>
      <c r="T49" s="35"/>
      <c r="U49" s="34"/>
      <c r="V49" s="38"/>
      <c r="W49" s="44">
        <v>27</v>
      </c>
      <c r="X49" s="52">
        <f>H17/MAX(W22:W55)*W49</f>
        <v>13.5</v>
      </c>
      <c r="Y49" s="44">
        <f t="shared" si="1"/>
        <v>-5.5039999999999996</v>
      </c>
      <c r="Z49" s="50">
        <f t="shared" si="2"/>
        <v>8.2560000000000002</v>
      </c>
      <c r="AA49" s="95">
        <f t="shared" si="3"/>
        <v>-1.9680927999999997E-3</v>
      </c>
      <c r="AB49" s="40"/>
      <c r="AC49" s="48">
        <v>12.5</v>
      </c>
      <c r="AD49" s="51">
        <f t="shared" si="6"/>
        <v>-5.5039999999999996</v>
      </c>
      <c r="AE49" s="51">
        <f t="shared" si="4"/>
        <v>13.759999999999998</v>
      </c>
      <c r="AF49" s="67">
        <f t="shared" si="5"/>
        <v>-3.188421333333333E-3</v>
      </c>
    </row>
    <row r="50" spans="1:32" s="37" customFormat="1" ht="12.75" x14ac:dyDescent="0.2">
      <c r="I50" s="38"/>
      <c r="J50" s="38"/>
      <c r="K50" s="38"/>
      <c r="L50" s="38"/>
      <c r="M50" s="35"/>
      <c r="N50" s="35"/>
      <c r="O50" s="35"/>
      <c r="P50" s="35"/>
      <c r="Q50" s="35"/>
      <c r="R50" s="35"/>
      <c r="S50" s="35"/>
      <c r="T50" s="35"/>
      <c r="U50" s="34"/>
      <c r="V50" s="38"/>
      <c r="W50" s="44">
        <v>28</v>
      </c>
      <c r="X50" s="52">
        <f>H17/MAX(W22:W55)*W50</f>
        <v>14</v>
      </c>
      <c r="Y50" s="44">
        <f t="shared" si="1"/>
        <v>-5.5039999999999996</v>
      </c>
      <c r="Z50" s="50">
        <f t="shared" si="2"/>
        <v>5.5039999999999978</v>
      </c>
      <c r="AA50" s="95">
        <f t="shared" si="3"/>
        <v>-1.3235285333333328E-3</v>
      </c>
      <c r="AB50" s="40"/>
      <c r="AC50" s="48">
        <v>13</v>
      </c>
      <c r="AD50" s="51">
        <f t="shared" si="6"/>
        <v>-5.5039999999999996</v>
      </c>
      <c r="AE50" s="51">
        <f t="shared" si="4"/>
        <v>11.008000000000003</v>
      </c>
      <c r="AF50" s="67">
        <f t="shared" si="5"/>
        <v>-2.592017066666666E-3</v>
      </c>
    </row>
    <row r="51" spans="1:32" s="37" customFormat="1" ht="12.75" x14ac:dyDescent="0.2">
      <c r="I51" s="54" t="s">
        <v>36</v>
      </c>
      <c r="J51" s="38"/>
      <c r="K51" s="38"/>
      <c r="L51" s="38"/>
      <c r="M51" s="35"/>
      <c r="N51" s="35"/>
      <c r="O51" s="35"/>
      <c r="P51" s="35"/>
      <c r="Q51" s="35"/>
      <c r="R51" s="35"/>
      <c r="S51" s="35"/>
      <c r="T51" s="35"/>
      <c r="U51" s="34"/>
      <c r="V51" s="38"/>
      <c r="W51" s="44">
        <v>29</v>
      </c>
      <c r="X51" s="52">
        <f>H17/MAX(W22:W55)*W51</f>
        <v>14.5</v>
      </c>
      <c r="Y51" s="44">
        <f t="shared" si="1"/>
        <v>-5.5039999999999996</v>
      </c>
      <c r="Z51" s="50">
        <f t="shared" si="2"/>
        <v>2.7520000000000024</v>
      </c>
      <c r="AA51" s="95">
        <f t="shared" si="3"/>
        <v>-6.6520426666666582E-4</v>
      </c>
      <c r="AB51" s="40"/>
      <c r="AC51" s="48">
        <v>13.5</v>
      </c>
      <c r="AD51" s="51">
        <f t="shared" si="6"/>
        <v>-5.5039999999999996</v>
      </c>
      <c r="AE51" s="51">
        <f t="shared" si="4"/>
        <v>8.2560000000000002</v>
      </c>
      <c r="AF51" s="67">
        <f t="shared" si="5"/>
        <v>-1.9680927999999997E-3</v>
      </c>
    </row>
    <row r="52" spans="1:32" s="37" customFormat="1" ht="12.75" x14ac:dyDescent="0.2">
      <c r="I52" s="47" t="s">
        <v>34</v>
      </c>
      <c r="J52" s="53">
        <f>MAX(AF21:AF54)</f>
        <v>0</v>
      </c>
      <c r="K52" s="38" t="s">
        <v>32</v>
      </c>
      <c r="L52" s="38"/>
      <c r="M52" s="35"/>
      <c r="N52" s="35"/>
      <c r="O52" s="35"/>
      <c r="P52" s="35"/>
      <c r="Q52" s="35"/>
      <c r="R52" s="35"/>
      <c r="S52" s="35"/>
      <c r="T52" s="35"/>
      <c r="U52" s="34"/>
      <c r="V52" s="38"/>
      <c r="W52" s="44">
        <v>30</v>
      </c>
      <c r="X52" s="52">
        <f>H17/MAX(W22:W55)*W52</f>
        <v>15</v>
      </c>
      <c r="Y52" s="44">
        <f t="shared" si="1"/>
        <v>-5.5039999999999996</v>
      </c>
      <c r="Z52" s="50">
        <f t="shared" si="2"/>
        <v>0</v>
      </c>
      <c r="AA52" s="95">
        <f t="shared" si="3"/>
        <v>-2.8421709430404005E-19</v>
      </c>
      <c r="AB52" s="40"/>
      <c r="AC52" s="48">
        <v>14</v>
      </c>
      <c r="AD52" s="51">
        <f t="shared" si="6"/>
        <v>-5.5039999999999996</v>
      </c>
      <c r="AE52" s="51">
        <f t="shared" si="4"/>
        <v>5.5039999999999978</v>
      </c>
      <c r="AF52" s="67">
        <f t="shared" si="5"/>
        <v>-1.3235285333333328E-3</v>
      </c>
    </row>
    <row r="53" spans="1:32" s="37" customFormat="1" ht="12.75" x14ac:dyDescent="0.2">
      <c r="I53" s="47" t="s">
        <v>33</v>
      </c>
      <c r="J53" s="53">
        <f>MIN(AF21:AF54)</f>
        <v>-6.250316083333333E-3</v>
      </c>
      <c r="K53" s="45" t="s">
        <v>32</v>
      </c>
      <c r="L53" s="38"/>
      <c r="M53" s="35"/>
      <c r="N53" s="35"/>
      <c r="O53" s="35"/>
      <c r="P53" s="35"/>
      <c r="Q53" s="35"/>
      <c r="R53" s="35"/>
      <c r="S53" s="35"/>
      <c r="T53" s="35"/>
      <c r="U53" s="34"/>
      <c r="V53" s="38"/>
      <c r="W53" s="38"/>
      <c r="X53" s="52">
        <f>H17</f>
        <v>15</v>
      </c>
      <c r="Y53" s="44">
        <f t="shared" si="1"/>
        <v>-5.5039999999999996</v>
      </c>
      <c r="Z53" s="50">
        <f t="shared" si="2"/>
        <v>0</v>
      </c>
      <c r="AA53" s="95">
        <f>IF(X53&lt;$H$19,1/(48*$H$15*$H$16)*(8*$B$25*(X53^3-$H$17^2*X53)+$H$23*X53*(8*$H$22^3/$H$17-2*$H$20*$H$21^2/$H$17+$H$21^3/$H$17+2*$H$21^2)),IF(X53&gt;$H$20,1/(48*$H$15*$H$16)*(8*$B$25*(X53^3-$H$17^2*X53)+$H$23*X53*(8*$H$22^3/$H$17-2*$H$20*$H$21^2/$H$17+$H$21^3/$H$17)-8*$H$23*(X53-$H$19/2-$H$20/2)^3+$H$23*(2*$H$20*$H$21^2-$H$21^3)),1/(48*$H$15*$H$16)*(8*$B$25*(X53^3-$H$17^2*X53)+$H$23*X53*(8*$H$22^3/$H$17-2*$H$20*$H$21^2/$H$17+$H$21^3/$H$17+2*$H$21^2)-2*$H$23*(X53-$H$19)^4/$H$21)))</f>
        <v>-2.8421709430404005E-19</v>
      </c>
      <c r="AB53" s="40"/>
      <c r="AC53" s="48">
        <v>14.5</v>
      </c>
      <c r="AD53" s="51">
        <f t="shared" si="6"/>
        <v>-5.5039999999999996</v>
      </c>
      <c r="AE53" s="51">
        <f t="shared" si="4"/>
        <v>2.7520000000000024</v>
      </c>
      <c r="AF53" s="67">
        <f t="shared" si="5"/>
        <v>-6.6520426666666582E-4</v>
      </c>
    </row>
    <row r="54" spans="1:32" s="37" customFormat="1" ht="12.75" x14ac:dyDescent="0.2">
      <c r="I54" s="45" t="s">
        <v>35</v>
      </c>
      <c r="J54" s="38"/>
      <c r="K54" s="38"/>
      <c r="L54" s="38"/>
      <c r="M54" s="35"/>
      <c r="N54" s="35"/>
      <c r="O54" s="35"/>
      <c r="P54" s="35"/>
      <c r="Q54" s="35"/>
      <c r="R54" s="35"/>
      <c r="S54" s="35"/>
      <c r="T54" s="35"/>
      <c r="U54" s="34"/>
      <c r="V54" s="38"/>
      <c r="W54" s="38"/>
      <c r="X54" s="44"/>
      <c r="Y54" s="44"/>
      <c r="Z54" s="40"/>
      <c r="AA54" s="95"/>
      <c r="AB54" s="40"/>
      <c r="AC54" s="48">
        <v>15</v>
      </c>
      <c r="AD54" s="51">
        <f t="shared" si="6"/>
        <v>-5.5039999999999996</v>
      </c>
      <c r="AE54" s="51">
        <f t="shared" si="4"/>
        <v>0</v>
      </c>
      <c r="AF54" s="67">
        <f t="shared" si="5"/>
        <v>-2.8421709430404005E-19</v>
      </c>
    </row>
    <row r="55" spans="1:32" s="37" customFormat="1" ht="12.75" x14ac:dyDescent="0.2">
      <c r="I55" s="47" t="s">
        <v>34</v>
      </c>
      <c r="J55" s="46">
        <f>INDEX(AC21:AC54,MATCH(J52,AF21:AF54,0))</f>
        <v>0</v>
      </c>
      <c r="K55" s="38" t="s">
        <v>32</v>
      </c>
      <c r="L55" s="38"/>
      <c r="M55" s="35"/>
      <c r="N55" s="35"/>
      <c r="O55" s="35"/>
      <c r="P55" s="35"/>
      <c r="Q55" s="35"/>
      <c r="R55" s="35"/>
      <c r="S55" s="35"/>
      <c r="T55" s="35"/>
      <c r="U55" s="34"/>
      <c r="V55" s="38"/>
      <c r="W55" s="38"/>
      <c r="X55" s="94">
        <f>H19+0.00001</f>
        <v>6.2000099999999998</v>
      </c>
      <c r="Y55" s="44">
        <f>IF(X55&lt;$H$19,$B$25,IF(X55&gt;$H$20,$B$25-$H$23,$B$25-($H$23*(X55-$H$19))/$H$21))</f>
        <v>4.0959800000000008</v>
      </c>
      <c r="Z55" s="50">
        <f>IF(X55&lt;$H$19,$B$25*X55,IF(X55&gt;$H$20,$B$25*X55-$H$23*(X55-$H$19/2-$H$20/2),$B$25*X55-($H$23*(X55-$H$19)^2)/(2*$H$21)))</f>
        <v>25.395240959900001</v>
      </c>
      <c r="AA55" s="95">
        <f t="shared" ref="AA55:AA56" si="7">IF(X55&lt;$H$19,1/(48*$H$15*$H$16)*(8*$B$25*(X55^3-$H$17^2*X55)+$H$23*X55*(8*$H$22^3/$H$17-2*$H$20*$H$21^2/$H$17+$H$21^3/$H$17+2*$H$21^2)),IF(X55&gt;$H$20,1/(48*$H$15*$H$16)*(8*$B$25*(X55^3-$H$17^2*X55)+$H$23*X55*(8*$H$22^3/$H$17-2*$H$20*$H$21^2/$H$17+$H$21^3/$H$17)-8*$H$23*(X55-$H$19/2-$H$20/2)^3+$H$23*(2*$H$20*$H$21^2-$H$21^3)),1/(48*$H$15*$H$16)*(8*$B$25*(X55^3-$H$17^2*X55)+$H$23*X55*(8*$H$22^3/$H$17-2*$H$20*$H$21^2/$H$17+$H$21^3/$H$17+2*$H$21^2)-2*$H$23*(X55-$H$19)^4/$H$21)))</f>
        <v>-5.9187789113899691E-3</v>
      </c>
      <c r="AB55" s="40"/>
      <c r="AC55" s="48">
        <v>15</v>
      </c>
      <c r="AD55" s="51">
        <f t="shared" si="6"/>
        <v>-5.5039999999999996</v>
      </c>
      <c r="AE55" s="51">
        <f>INDEX($Z$22:$Z$56,MATCH(AC55,$X$22:$X$56,0))</f>
        <v>0</v>
      </c>
      <c r="AF55" s="67">
        <f t="shared" si="5"/>
        <v>-2.8421709430404005E-19</v>
      </c>
    </row>
    <row r="56" spans="1:32" s="37" customFormat="1" ht="12.75" x14ac:dyDescent="0.2">
      <c r="I56" s="47" t="s">
        <v>33</v>
      </c>
      <c r="J56" s="46">
        <f>INDEX(AC21:AC54,MATCH(J53,AF21:AF54,0))</f>
        <v>7.5</v>
      </c>
      <c r="K56" s="45" t="s">
        <v>32</v>
      </c>
      <c r="L56" s="38"/>
      <c r="M56" s="35"/>
      <c r="N56" s="35"/>
      <c r="O56" s="35"/>
      <c r="P56" s="35"/>
      <c r="Q56" s="35"/>
      <c r="R56" s="35"/>
      <c r="S56" s="35"/>
      <c r="T56" s="35"/>
      <c r="U56" s="34"/>
      <c r="V56" s="38"/>
      <c r="W56" s="38"/>
      <c r="X56" s="94">
        <f>H20+0.00001</f>
        <v>11.00001</v>
      </c>
      <c r="Y56" s="44">
        <f>IF(X56&lt;$H$19,$B$25,IF(X56&gt;$H$20,$B$25-$H$23,$B$25-($H$23*(X56-$H$19))/$H$21))</f>
        <v>-5.5039999999999996</v>
      </c>
      <c r="Z56" s="50">
        <f>IF(X56&lt;$H$19,$B$25*X56,IF(X56&gt;$H$20,$B$25*X56-$H$23*(X56-$H$19/2-$H$20/2),$B$25*X56-($H$23*(X56-$H$19)^2)/(2*$H$21)))</f>
        <v>22.015944959999999</v>
      </c>
      <c r="AA56" s="95">
        <f t="shared" si="7"/>
        <v>-4.7437052095036601E-3</v>
      </c>
      <c r="AF56" s="96"/>
    </row>
    <row r="57" spans="1:32" s="37" customFormat="1" ht="12.75" x14ac:dyDescent="0.2">
      <c r="I57" s="38"/>
      <c r="J57" s="38"/>
      <c r="K57" s="38"/>
      <c r="L57" s="38"/>
      <c r="M57" s="35"/>
      <c r="N57" s="35"/>
      <c r="O57" s="35"/>
      <c r="P57" s="35"/>
      <c r="Q57" s="35"/>
      <c r="R57" s="35"/>
      <c r="S57" s="35"/>
      <c r="T57" s="35"/>
      <c r="U57" s="34"/>
      <c r="V57" s="38"/>
      <c r="W57" s="38"/>
      <c r="X57" s="38"/>
      <c r="Y57" s="38"/>
      <c r="AD57" s="40">
        <f>MAX(AD21:AD54)</f>
        <v>4.0960000000000001</v>
      </c>
      <c r="AE57" s="40">
        <f>MAX(AE21:AE54)</f>
        <v>29.528000000000002</v>
      </c>
      <c r="AF57" s="67">
        <f t="shared" ref="AF57:AF58" si="8">INDEX($AA$22:$AA$56,MATCH(AC57,$X$22:$X$56,0))</f>
        <v>0</v>
      </c>
    </row>
    <row r="58" spans="1:32" s="37" customFormat="1" ht="12.75" x14ac:dyDescent="0.2">
      <c r="A58" s="38"/>
      <c r="B58" s="43"/>
      <c r="C58" s="44"/>
      <c r="D58" s="43"/>
      <c r="E58" s="38"/>
      <c r="F58" s="38"/>
      <c r="G58" s="38"/>
      <c r="H58" s="38"/>
      <c r="I58" s="38"/>
      <c r="J58" s="38"/>
      <c r="K58" s="38"/>
      <c r="L58" s="38"/>
      <c r="M58" s="35"/>
      <c r="N58" s="35"/>
      <c r="O58" s="35"/>
      <c r="P58" s="35"/>
      <c r="Q58" s="35"/>
      <c r="R58" s="35"/>
      <c r="S58" s="35"/>
      <c r="T58" s="35"/>
      <c r="U58" s="34"/>
      <c r="V58" s="38"/>
      <c r="W58" s="38"/>
      <c r="X58" s="38"/>
      <c r="Y58" s="38"/>
      <c r="AD58" s="40">
        <f>MIN(AD21:AD54)</f>
        <v>-5.5039999999999996</v>
      </c>
      <c r="AE58" s="40">
        <f>MIN(AE21:AE54)</f>
        <v>0</v>
      </c>
      <c r="AF58" s="67">
        <f t="shared" si="8"/>
        <v>0</v>
      </c>
    </row>
    <row r="59" spans="1:32" s="37" customFormat="1" ht="12.75" x14ac:dyDescent="0.2">
      <c r="A59" s="39"/>
      <c r="B59" s="40"/>
      <c r="C59" s="41"/>
      <c r="D59" s="39"/>
      <c r="E59" s="39"/>
      <c r="F59" s="39"/>
      <c r="G59" s="41"/>
      <c r="H59" s="39"/>
      <c r="I59" s="39"/>
      <c r="J59" s="39"/>
      <c r="K59" s="39"/>
      <c r="L59" s="38"/>
      <c r="M59" s="35"/>
      <c r="N59" s="35"/>
      <c r="O59" s="35"/>
      <c r="P59" s="35"/>
      <c r="Q59" s="35"/>
      <c r="R59" s="35"/>
      <c r="S59" s="35"/>
      <c r="T59" s="35"/>
      <c r="U59" s="34"/>
      <c r="V59" s="38"/>
      <c r="W59" s="38"/>
      <c r="X59" s="38"/>
      <c r="Y59" s="38"/>
      <c r="AD59" s="40"/>
      <c r="AE59" s="40"/>
      <c r="AF59" s="40"/>
    </row>
    <row r="60" spans="1:32" s="37" customFormat="1" ht="12.75" x14ac:dyDescent="0.2">
      <c r="A60" s="110"/>
      <c r="B60" s="97"/>
      <c r="C60" s="97"/>
      <c r="D60" s="97"/>
      <c r="E60" s="97"/>
      <c r="F60" s="97"/>
      <c r="G60" s="98"/>
      <c r="H60" s="98"/>
      <c r="I60" s="98"/>
      <c r="J60" s="98"/>
      <c r="K60" s="99"/>
      <c r="L60" s="38"/>
      <c r="M60" s="35"/>
      <c r="N60" s="35"/>
      <c r="O60" s="35"/>
      <c r="P60" s="35"/>
      <c r="Q60" s="35"/>
      <c r="R60" s="35"/>
      <c r="S60" s="35"/>
      <c r="T60" s="35"/>
      <c r="U60" s="34"/>
      <c r="V60" s="38"/>
      <c r="W60" s="38"/>
      <c r="X60" s="38"/>
      <c r="Y60" s="38"/>
      <c r="AD60" s="40"/>
      <c r="AE60" s="40"/>
      <c r="AF60" s="40"/>
    </row>
    <row r="61" spans="1:32" s="37" customFormat="1" ht="12.75" x14ac:dyDescent="0.2">
      <c r="A61" s="100"/>
      <c r="B61" s="100"/>
      <c r="C61" s="100"/>
      <c r="D61" s="101"/>
      <c r="E61" s="101"/>
      <c r="F61" s="102"/>
      <c r="G61" s="111"/>
      <c r="H61" s="103"/>
      <c r="I61" s="104"/>
      <c r="J61" s="104"/>
      <c r="K61" s="105"/>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2016-12-12T13:56:08Z</dcterms:modified>
  <cp:category>Engineering Spreadsheets</cp:category>
</cp:coreProperties>
</file>