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TRIANGLE LOAD PART SPAN (2)" sheetId="41" r:id="rId2"/>
  </sheets>
  <externalReferences>
    <externalReference r:id="rId3"/>
  </externalReferences>
  <definedNames>
    <definedName name="_xlnm.Print_Area" localSheetId="0">'READ ME'!$A$8:$K$63</definedName>
    <definedName name="_xlnm.Print_Area" localSheetId="1">'TRIANGLE LOAD PART SPAN (2)'!$A$8:$K$61</definedName>
    <definedName name="_xlnm.Print_Area">#REF!</definedName>
    <definedName name="sencount" hidden="1">1</definedName>
  </definedNames>
  <calcPr calcId="171027"/>
</workbook>
</file>

<file path=xl/calcChain.xml><?xml version="1.0" encoding="utf-8"?>
<calcChain xmlns="http://schemas.openxmlformats.org/spreadsheetml/2006/main">
  <c r="X1" i="41" l="1"/>
  <c r="G1" i="41" s="1"/>
  <c r="X2" i="41"/>
  <c r="X3" i="41"/>
  <c r="X4" i="41"/>
  <c r="X5" i="41"/>
  <c r="X6" i="41"/>
  <c r="X7" i="41"/>
  <c r="F8" i="41"/>
  <c r="J8" i="41"/>
  <c r="F9" i="41"/>
  <c r="J9" i="41"/>
  <c r="F10" i="41"/>
  <c r="L10" i="41"/>
  <c r="J10" i="41" s="1"/>
  <c r="F11" i="41"/>
  <c r="B12" i="41"/>
  <c r="Y16" i="41"/>
  <c r="W18" i="41"/>
  <c r="Z18" i="41"/>
  <c r="AB18" i="41"/>
  <c r="AC18" i="41"/>
  <c r="Y22" i="41"/>
  <c r="Z22" i="41"/>
  <c r="G23" i="41"/>
  <c r="AA22" i="41" s="1"/>
  <c r="X23" i="41"/>
  <c r="Z23" i="41" s="1"/>
  <c r="AA23" i="41"/>
  <c r="X24" i="41"/>
  <c r="Z24" i="41" s="1"/>
  <c r="AA24" i="41"/>
  <c r="Y24" i="41" l="1"/>
  <c r="Y23" i="41"/>
  <c r="X25" i="41"/>
  <c r="Y25" i="41" s="1"/>
  <c r="B26" i="41"/>
  <c r="X26" i="41"/>
  <c r="Y26" i="41" s="1"/>
  <c r="B25" i="41"/>
  <c r="AA26" i="41" l="1"/>
  <c r="Z26" i="41"/>
  <c r="AA25" i="41"/>
  <c r="Z25" i="41"/>
  <c r="X18" i="41"/>
  <c r="X27" i="41"/>
  <c r="AA27" i="41" s="1"/>
  <c r="Z27" i="41" l="1"/>
  <c r="Y27" i="41"/>
  <c r="X28" i="41"/>
  <c r="Y28" i="41" s="1"/>
  <c r="AA28" i="41"/>
  <c r="F29" i="41"/>
  <c r="X29" i="41"/>
  <c r="Z29" i="41" s="1"/>
  <c r="AA29" i="41"/>
  <c r="F27" i="41"/>
  <c r="F25" i="41"/>
  <c r="Y29" i="41" l="1"/>
  <c r="Z28" i="41"/>
  <c r="AA18" i="41"/>
  <c r="X30" i="41"/>
  <c r="Y30" i="41" s="1"/>
  <c r="AA30" i="41" l="1"/>
  <c r="Z30" i="41"/>
  <c r="X31" i="41"/>
  <c r="Z31" i="41" s="1"/>
  <c r="Y31" i="41"/>
  <c r="B32" i="41"/>
  <c r="B30" i="41"/>
  <c r="B28" i="41"/>
  <c r="Y18" i="41" l="1"/>
  <c r="AA31" i="41"/>
  <c r="AC22" i="41" a="1"/>
  <c r="AC35" i="41" s="1"/>
  <c r="X32" i="41"/>
  <c r="Y32" i="41" s="1"/>
  <c r="AA32" i="41"/>
  <c r="F33" i="41"/>
  <c r="X33" i="41"/>
  <c r="Y33" i="41" s="1"/>
  <c r="Z33" i="41"/>
  <c r="AA33" i="41"/>
  <c r="X34" i="41"/>
  <c r="Y34" i="41" s="1"/>
  <c r="Z34" i="41"/>
  <c r="AA34" i="41"/>
  <c r="X35" i="41"/>
  <c r="AA35" i="41" s="1"/>
  <c r="Y35" i="41"/>
  <c r="Z35" i="41"/>
  <c r="X36" i="41"/>
  <c r="Z36" i="41" s="1"/>
  <c r="Y36" i="41"/>
  <c r="X37" i="41"/>
  <c r="Z37" i="41" s="1"/>
  <c r="Y37" i="41"/>
  <c r="X38" i="41"/>
  <c r="Y38" i="41" s="1"/>
  <c r="X39" i="41"/>
  <c r="Y39" i="41"/>
  <c r="Z39" i="41"/>
  <c r="AA39" i="41"/>
  <c r="X40" i="41"/>
  <c r="Y40" i="41"/>
  <c r="Z40" i="41"/>
  <c r="AA40" i="41"/>
  <c r="X41" i="41"/>
  <c r="Y41" i="41"/>
  <c r="Z41" i="41"/>
  <c r="AA41" i="41"/>
  <c r="X42" i="41"/>
  <c r="AA42" i="41" s="1"/>
  <c r="Y42" i="41"/>
  <c r="Z42" i="41"/>
  <c r="X43" i="41"/>
  <c r="Y43" i="41" s="1"/>
  <c r="X44" i="41"/>
  <c r="Y44" i="41" s="1"/>
  <c r="X45" i="41"/>
  <c r="Y45" i="41" s="1"/>
  <c r="AA45" i="41"/>
  <c r="X46" i="41"/>
  <c r="Y46" i="41" s="1"/>
  <c r="Z46" i="41"/>
  <c r="AA46" i="41"/>
  <c r="X47" i="41"/>
  <c r="Y47" i="41" s="1"/>
  <c r="Z47" i="41"/>
  <c r="AA47" i="41"/>
  <c r="X48" i="41"/>
  <c r="Y48" i="41" s="1"/>
  <c r="Z48" i="41"/>
  <c r="AA48" i="41"/>
  <c r="X49" i="41"/>
  <c r="Y49" i="41" s="1"/>
  <c r="Z49" i="41"/>
  <c r="AA49" i="41"/>
  <c r="X50" i="41"/>
  <c r="Y50" i="41" s="1"/>
  <c r="Z50" i="41"/>
  <c r="AA50" i="41"/>
  <c r="X51" i="41"/>
  <c r="Y51" i="41" s="1"/>
  <c r="Z51" i="41"/>
  <c r="AA51" i="41"/>
  <c r="X52" i="41"/>
  <c r="AA52" i="41" s="1"/>
  <c r="Y52" i="41"/>
  <c r="Z52" i="41"/>
  <c r="X53" i="41"/>
  <c r="X54" i="41"/>
  <c r="Y54" i="41" s="1"/>
  <c r="AA54" i="41"/>
  <c r="X55" i="41"/>
  <c r="Y55" i="41" s="1"/>
  <c r="Z55" i="41"/>
  <c r="AA55" i="41"/>
  <c r="F32" i="41"/>
  <c r="F31" i="41"/>
  <c r="AD35" i="41" l="1"/>
  <c r="AE35" i="41"/>
  <c r="AF35" i="41"/>
  <c r="AC32" i="41"/>
  <c r="AC45" i="41"/>
  <c r="AC44" i="41"/>
  <c r="AC43" i="41"/>
  <c r="Z54" i="41"/>
  <c r="Z45" i="41"/>
  <c r="AA44" i="41"/>
  <c r="AA43" i="41"/>
  <c r="AC42" i="41"/>
  <c r="Z32" i="41"/>
  <c r="Z44" i="41"/>
  <c r="Z43" i="41"/>
  <c r="AC41" i="41"/>
  <c r="AC40" i="41"/>
  <c r="AC39" i="41"/>
  <c r="AC38" i="41"/>
  <c r="AD18" i="41"/>
  <c r="AC54" i="41"/>
  <c r="AC53" i="41"/>
  <c r="AA38" i="41"/>
  <c r="AC37" i="41"/>
  <c r="AC36" i="41"/>
  <c r="Z38" i="41"/>
  <c r="AA37" i="41"/>
  <c r="AA36" i="41"/>
  <c r="AC24" i="41"/>
  <c r="AC22" i="41"/>
  <c r="AC23" i="41"/>
  <c r="AC25" i="41"/>
  <c r="AC26" i="41"/>
  <c r="AC27" i="41"/>
  <c r="AC28" i="41"/>
  <c r="AC29" i="41"/>
  <c r="AC30" i="41"/>
  <c r="AC31" i="41"/>
  <c r="AC52" i="41"/>
  <c r="AC55" i="41"/>
  <c r="AC51" i="41"/>
  <c r="AC50" i="41"/>
  <c r="AC49" i="41"/>
  <c r="AC48" i="41"/>
  <c r="AC47" i="41"/>
  <c r="AC46" i="41"/>
  <c r="AC34" i="41"/>
  <c r="AC33" i="41"/>
  <c r="C12" i="40"/>
  <c r="AE25" i="41" l="1"/>
  <c r="AF25" i="41"/>
  <c r="AD25" i="41"/>
  <c r="AD37" i="41"/>
  <c r="AE37" i="41"/>
  <c r="AF37" i="41"/>
  <c r="AE41" i="41"/>
  <c r="AD41" i="41"/>
  <c r="AF41" i="41"/>
  <c r="AD34" i="41"/>
  <c r="AE34" i="41"/>
  <c r="AF34" i="41"/>
  <c r="AD52" i="41"/>
  <c r="AE52" i="41"/>
  <c r="AF52" i="41"/>
  <c r="AD23" i="41"/>
  <c r="AE23" i="41"/>
  <c r="AF23" i="41"/>
  <c r="AE43" i="41"/>
  <c r="AF43" i="41"/>
  <c r="AD43" i="41"/>
  <c r="AD53" i="41"/>
  <c r="AE53" i="41"/>
  <c r="AF53" i="41"/>
  <c r="AE44" i="41"/>
  <c r="AF44" i="41"/>
  <c r="AD44" i="41"/>
  <c r="AF31" i="41"/>
  <c r="AD31" i="41"/>
  <c r="AE31" i="41"/>
  <c r="AE22" i="41"/>
  <c r="AF22" i="41"/>
  <c r="AD22" i="41"/>
  <c r="AD54" i="41"/>
  <c r="AE54" i="41"/>
  <c r="AF54" i="41"/>
  <c r="AD45" i="41"/>
  <c r="AE45" i="41"/>
  <c r="AF45" i="41"/>
  <c r="AD48" i="41"/>
  <c r="AE48" i="41"/>
  <c r="AF48" i="41"/>
  <c r="AD29" i="41"/>
  <c r="AE29" i="41"/>
  <c r="AF29" i="41"/>
  <c r="AF42" i="41"/>
  <c r="AE42" i="41"/>
  <c r="AD42" i="41"/>
  <c r="AD32" i="41"/>
  <c r="AE32" i="41"/>
  <c r="AF32" i="41"/>
  <c r="AD47" i="41"/>
  <c r="AE47" i="41"/>
  <c r="AF47" i="41"/>
  <c r="AD24" i="41"/>
  <c r="AE24" i="41"/>
  <c r="AF24" i="41"/>
  <c r="AD49" i="41"/>
  <c r="AE49" i="41"/>
  <c r="AF49" i="41"/>
  <c r="AE28" i="41"/>
  <c r="AF28" i="41"/>
  <c r="AD28" i="41"/>
  <c r="AD38" i="41"/>
  <c r="AE38" i="41"/>
  <c r="AF38" i="41"/>
  <c r="AD46" i="41"/>
  <c r="AE46" i="41"/>
  <c r="AF46" i="41"/>
  <c r="AD30" i="41"/>
  <c r="AE30" i="41"/>
  <c r="AF30" i="41"/>
  <c r="AD50" i="41"/>
  <c r="AE50" i="41"/>
  <c r="AF50" i="41"/>
  <c r="AE27" i="41"/>
  <c r="AF27" i="41"/>
  <c r="AD27" i="41"/>
  <c r="AF39" i="41"/>
  <c r="AD39" i="41"/>
  <c r="AE39" i="41"/>
  <c r="AD33" i="41"/>
  <c r="AE33" i="41"/>
  <c r="AF33" i="41"/>
  <c r="AD51" i="41"/>
  <c r="AE51" i="41"/>
  <c r="AF51" i="41"/>
  <c r="AD26" i="41"/>
  <c r="AE26" i="41"/>
  <c r="AF26" i="41"/>
  <c r="AD36" i="41"/>
  <c r="AE36" i="41"/>
  <c r="AF36" i="41"/>
  <c r="AF40" i="41"/>
  <c r="AD40" i="41"/>
  <c r="AE40" i="41"/>
  <c r="J52" i="41" l="1"/>
  <c r="J55" i="41" s="1"/>
  <c r="J53" i="41"/>
  <c r="J56" i="41" s="1"/>
  <c r="J42" i="41"/>
  <c r="J45" i="41" s="1"/>
  <c r="J43" i="41"/>
  <c r="J46" i="41" s="1"/>
  <c r="J35" i="41"/>
  <c r="J38" i="41" s="1"/>
  <c r="J36" i="41"/>
  <c r="J39" i="41" s="1"/>
</calcChain>
</file>

<file path=xl/sharedStrings.xml><?xml version="1.0" encoding="utf-8"?>
<sst xmlns="http://schemas.openxmlformats.org/spreadsheetml/2006/main" count="175" uniqueCount="107">
  <si>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</si>
  <si>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</si>
  <si>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</si>
  <si>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</si>
  <si>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</si>
  <si>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</si>
  <si>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</si>
  <si>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</si>
  <si>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</si>
  <si>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</si>
  <si>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</si>
  <si>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</si>
  <si>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</si>
  <si>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</si>
  <si>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</si>
  <si>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</si>
  <si>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</si>
  <si>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</si>
  <si>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</si>
  <si>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</si>
  <si>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</si>
  <si>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</si>
  <si>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</si>
  <si>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</si>
  <si>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</si>
  <si>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</si>
  <si>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</si>
  <si>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</si>
  <si>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</si>
  <si>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</si>
  <si>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</si>
  <si>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</si>
  <si>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</si>
  <si>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</si>
  <si>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</si>
  <si>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</si>
  <si>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</si>
  <si>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</si>
  <si>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</si>
  <si>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</si>
  <si>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</si>
  <si>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</si>
  <si>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</si>
  <si>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</si>
  <si>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</si>
  <si>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</si>
  <si>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</si>
  <si>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</si>
  <si>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D</t>
    </r>
    <r>
      <rPr>
        <sz val="10"/>
        <color theme="1"/>
        <rFont val="Calibri"/>
        <family val="2"/>
        <scheme val="minor"/>
      </rPr>
      <t xml:space="preserve"> =</t>
    </r>
  </si>
  <si>
    <t>lb (Total Applied Load)</t>
  </si>
  <si>
    <t>W =</t>
  </si>
  <si>
    <t>Results</t>
  </si>
  <si>
    <t>in (Position at end of distributed load)</t>
  </si>
  <si>
    <t>b =</t>
  </si>
  <si>
    <t>(in)</t>
  </si>
  <si>
    <t>(inlb)</t>
  </si>
  <si>
    <t>(lb)</t>
  </si>
  <si>
    <t>in (Position at start of distributed load)</t>
  </si>
  <si>
    <t>a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</si>
  <si>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</si>
  <si>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</si>
  <si>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</si>
  <si>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</si>
  <si>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</si>
  <si>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</si>
  <si>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</si>
  <si>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</si>
  <si>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</si>
  <si>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</si>
  <si>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</si>
  <si>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</si>
  <si>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</si>
  <si>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</si>
  <si>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</si>
  <si>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</si>
  <si>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</si>
  <si>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</si>
  <si>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</si>
  <si>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</si>
  <si>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</si>
  <si>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</si>
  <si>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</si>
  <si>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</si>
  <si>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</si>
  <si>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</si>
  <si>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</si>
  <si>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</si>
  <si>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</si>
  <si>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</si>
  <si>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</si>
  <si>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</si>
  <si>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</si>
  <si>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</si>
  <si>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</si>
  <si>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Triangular Distributed Load over Part Span, Peak at Free End</t>
  </si>
  <si>
    <t>IR</t>
  </si>
  <si>
    <t>18/09/2016</t>
  </si>
  <si>
    <t>Total Title No:</t>
  </si>
  <si>
    <t>No</t>
  </si>
  <si>
    <t>Title</t>
  </si>
  <si>
    <t>AA-SM-026-008</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</si>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</sst>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left"/>
    </xf>
    <xf numFmtId="1" fontId="5" fillId="0" borderId="0" xfId="0" applyNumberFormat="1" applyFont="1" applyAlignment="1">
      <alignment horizontal="center"/>
    </xf>
    <xf numFmtId="165"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Border="1"/>
    <xf numFmtId="165" fontId="15" fillId="0" borderId="0" xfId="0" applyNumberFormat="1" applyFont="1"/>
    <xf numFmtId="0" fontId="5" fillId="0" borderId="0" xfId="0" applyFont="1" applyAlignment="1">
      <alignment horizontal="left" wrapText="1"/>
    </xf>
    <xf numFmtId="0" fontId="15" fillId="0" borderId="0" xfId="0" applyFont="1" applyAlignment="1">
      <alignment horizontal="left" vertical="top" wrapText="1"/>
    </xf>
    <xf numFmtId="0" fontId="5" fillId="0" borderId="0" xfId="0" applyFont="1" applyAlignment="1">
      <alignment horizontal="left" vertical="top" wrapText="1"/>
    </xf>
    <xf numFmtId="0" fontId="15" fillId="0" borderId="0" xfId="0" applyFont="1" applyAlignment="1">
      <alignment horizontal="left" wrapText="1"/>
    </xf>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2" fontId="19" fillId="0" borderId="0" xfId="0" applyNumberFormat="1" applyFont="1"/>
    <xf numFmtId="0" fontId="5" fillId="0" borderId="0" xfId="0" applyFont="1" applyFill="1" applyBorder="1" applyAlignment="1">
      <alignment horizontal="center"/>
    </xf>
    <xf numFmtId="0" fontId="19" fillId="0" borderId="0" xfId="0" applyFont="1"/>
    <xf numFmtId="166"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21"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 (2)'!$AD$19:$AD$20</c:f>
              <c:strCache>
                <c:ptCount val="2"/>
                <c:pt idx="0">
                  <c:v>V</c:v>
                </c:pt>
                <c:pt idx="1">
                  <c:v>(lb)</c:v>
                </c:pt>
              </c:strCache>
            </c:strRef>
          </c:tx>
          <c:spPr>
            <a:ln w="15875">
              <a:solidFill>
                <a:schemeClr val="tx1"/>
              </a:solidFill>
            </a:ln>
          </c:spPr>
          <c:marker>
            <c:symbol val="none"/>
          </c:marker>
          <c:xVal>
            <c:numRef>
              <c:f>'TRIANGLE LOAD PART SPAN (2)'!$AC$21:$AC$55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 (2)'!$AD$21:$AD$55</c:f>
              <c:numCache>
                <c:formatCode>0</c:formatCode>
                <c:ptCount val="35"/>
                <c:pt idx="0" formatCode="General">
                  <c:v>0</c:v>
                </c:pt>
                <c:pt idx="1">
                  <c:v>0</c:v>
                </c:pt>
                <c:pt idx="2">
                  <c:v>0</c:v>
                </c:pt>
                <c:pt idx="3">
                  <c:v>0</c:v>
                </c:pt>
                <c:pt idx="4">
                  <c:v>0</c:v>
                </c:pt>
                <c:pt idx="5">
                  <c:v>0</c:v>
                </c:pt>
                <c:pt idx="6">
                  <c:v>0</c:v>
                </c:pt>
                <c:pt idx="7">
                  <c:v>0</c:v>
                </c:pt>
                <c:pt idx="8">
                  <c:v>0</c:v>
                </c:pt>
                <c:pt idx="9">
                  <c:v>-16.203703703703692</c:v>
                </c:pt>
                <c:pt idx="10">
                  <c:v>-31.481481481481456</c:v>
                </c:pt>
                <c:pt idx="11">
                  <c:v>-45.833333333333336</c:v>
                </c:pt>
                <c:pt idx="12">
                  <c:v>-59.259259259259238</c:v>
                </c:pt>
                <c:pt idx="13">
                  <c:v>-71.759259259259238</c:v>
                </c:pt>
                <c:pt idx="14">
                  <c:v>-83.333333333333343</c:v>
                </c:pt>
                <c:pt idx="15">
                  <c:v>-93.981481481481467</c:v>
                </c:pt>
                <c:pt idx="16">
                  <c:v>-103.7037037037037</c:v>
                </c:pt>
                <c:pt idx="17">
                  <c:v>-112.5</c:v>
                </c:pt>
                <c:pt idx="18">
                  <c:v>-120.37037037037037</c:v>
                </c:pt>
                <c:pt idx="19">
                  <c:v>-127.3148148148148</c:v>
                </c:pt>
                <c:pt idx="20">
                  <c:v>-133.33333333333331</c:v>
                </c:pt>
                <c:pt idx="21">
                  <c:v>-138.42592592592592</c:v>
                </c:pt>
                <c:pt idx="22">
                  <c:v>-142.59259259259258</c:v>
                </c:pt>
                <c:pt idx="23">
                  <c:v>-145.83333333333334</c:v>
                </c:pt>
                <c:pt idx="24">
                  <c:v>-148.14814814814815</c:v>
                </c:pt>
                <c:pt idx="25">
                  <c:v>-149.53703703703704</c:v>
                </c:pt>
                <c:pt idx="26">
                  <c:v>-150</c:v>
                </c:pt>
                <c:pt idx="27">
                  <c:v>-150</c:v>
                </c:pt>
                <c:pt idx="28">
                  <c:v>-150</c:v>
                </c:pt>
                <c:pt idx="29">
                  <c:v>-150</c:v>
                </c:pt>
                <c:pt idx="30">
                  <c:v>-150</c:v>
                </c:pt>
                <c:pt idx="31">
                  <c:v>-150</c:v>
                </c:pt>
                <c:pt idx="32">
                  <c:v>-150</c:v>
                </c:pt>
                <c:pt idx="33">
                  <c:v>-150</c:v>
                </c:pt>
                <c:pt idx="34" formatCode="General">
                  <c:v>0</c:v>
                </c:pt>
              </c:numCache>
            </c:numRef>
          </c:yVal>
          <c:smooth val="0"/>
          <c:extLst>
            <c:ext xmlns:c16="http://schemas.microsoft.com/office/drawing/2014/chart" uri="{C3380CC4-5D6E-409C-BE32-E72D297353CC}">
              <c16:uniqueId val="{00000000-8A54-42AC-8D35-D5C00998C675}"/>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 (2)'!$AE$19:$AE$20</c:f>
              <c:strCache>
                <c:ptCount val="2"/>
                <c:pt idx="0">
                  <c:v>M</c:v>
                </c:pt>
                <c:pt idx="1">
                  <c:v>(inlb)</c:v>
                </c:pt>
              </c:strCache>
            </c:strRef>
          </c:tx>
          <c:spPr>
            <a:ln w="15875">
              <a:solidFill>
                <a:prstClr val="black"/>
              </a:solidFill>
              <a:prstDash val="dash"/>
            </a:ln>
          </c:spPr>
          <c:marker>
            <c:symbol val="none"/>
          </c:marker>
          <c:xVal>
            <c:numRef>
              <c:f>'TRIANGLE LOAD PART SPAN (2)'!$AC$21:$AC$55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 (2)'!$AE$21:$AE$55</c:f>
              <c:numCache>
                <c:formatCode>0</c:formatCode>
                <c:ptCount val="35"/>
                <c:pt idx="0" formatCode="General">
                  <c:v>0</c:v>
                </c:pt>
                <c:pt idx="1">
                  <c:v>0</c:v>
                </c:pt>
                <c:pt idx="2">
                  <c:v>0</c:v>
                </c:pt>
                <c:pt idx="3">
                  <c:v>0</c:v>
                </c:pt>
                <c:pt idx="4">
                  <c:v>0</c:v>
                </c:pt>
                <c:pt idx="5">
                  <c:v>0</c:v>
                </c:pt>
                <c:pt idx="6">
                  <c:v>0</c:v>
                </c:pt>
                <c:pt idx="7">
                  <c:v>0</c:v>
                </c:pt>
                <c:pt idx="8">
                  <c:v>0</c:v>
                </c:pt>
                <c:pt idx="9">
                  <c:v>-2.7263374485596659</c:v>
                </c:pt>
                <c:pt idx="10">
                  <c:v>-10.699588477366234</c:v>
                </c:pt>
                <c:pt idx="11">
                  <c:v>-23.611111111111111</c:v>
                </c:pt>
                <c:pt idx="12">
                  <c:v>-41.152263374485578</c:v>
                </c:pt>
                <c:pt idx="13">
                  <c:v>-63.014403292181044</c:v>
                </c:pt>
                <c:pt idx="14">
                  <c:v>-88.888888888888886</c:v>
                </c:pt>
                <c:pt idx="15">
                  <c:v>-118.46707818930038</c:v>
                </c:pt>
                <c:pt idx="16">
                  <c:v>-151.44032921810694</c:v>
                </c:pt>
                <c:pt idx="17">
                  <c:v>-187.5</c:v>
                </c:pt>
                <c:pt idx="18">
                  <c:v>-226.33744855967075</c:v>
                </c:pt>
                <c:pt idx="19">
                  <c:v>-267.64403292181055</c:v>
                </c:pt>
                <c:pt idx="20">
                  <c:v>-311.11111111111114</c:v>
                </c:pt>
                <c:pt idx="21">
                  <c:v>-356.4300411522633</c:v>
                </c:pt>
                <c:pt idx="22">
                  <c:v>-403.29218106995876</c:v>
                </c:pt>
                <c:pt idx="23">
                  <c:v>-451.38888888888891</c:v>
                </c:pt>
                <c:pt idx="24">
                  <c:v>-500.41152263374488</c:v>
                </c:pt>
                <c:pt idx="25">
                  <c:v>-550.05144032921805</c:v>
                </c:pt>
                <c:pt idx="26">
                  <c:v>-600</c:v>
                </c:pt>
                <c:pt idx="27">
                  <c:v>-600</c:v>
                </c:pt>
                <c:pt idx="28">
                  <c:v>-649.99999999999977</c:v>
                </c:pt>
                <c:pt idx="29">
                  <c:v>-700</c:v>
                </c:pt>
                <c:pt idx="30">
                  <c:v>-750</c:v>
                </c:pt>
                <c:pt idx="31">
                  <c:v>-799.99999999999977</c:v>
                </c:pt>
                <c:pt idx="32">
                  <c:v>-850</c:v>
                </c:pt>
                <c:pt idx="33">
                  <c:v>-900</c:v>
                </c:pt>
                <c:pt idx="34" formatCode="General">
                  <c:v>0</c:v>
                </c:pt>
              </c:numCache>
            </c:numRef>
          </c:yVal>
          <c:smooth val="0"/>
          <c:extLst>
            <c:ext xmlns:c16="http://schemas.microsoft.com/office/drawing/2014/chart" uri="{C3380CC4-5D6E-409C-BE32-E72D297353CC}">
              <c16:uniqueId val="{00000001-8A54-42AC-8D35-D5C00998C675}"/>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 (2)'!$AF$19:$AF$20</c:f>
              <c:strCache>
                <c:ptCount val="2"/>
                <c:pt idx="0">
                  <c:v>y</c:v>
                </c:pt>
                <c:pt idx="1">
                  <c:v>(in)</c:v>
                </c:pt>
              </c:strCache>
            </c:strRef>
          </c:tx>
          <c:spPr>
            <a:ln w="15875">
              <a:solidFill>
                <a:prstClr val="black"/>
              </a:solidFill>
            </a:ln>
          </c:spPr>
          <c:marker>
            <c:symbol val="none"/>
          </c:marker>
          <c:xVal>
            <c:numRef>
              <c:f>'TRIANGLE LOAD PART SPAN (2)'!$AC$22:$AC$54</c:f>
              <c:numCache>
                <c:formatCode>0.00</c:formatCode>
                <c:ptCount val="33"/>
                <c:pt idx="0">
                  <c:v>0</c:v>
                </c:pt>
                <c:pt idx="1">
                  <c:v>0.33333333333333331</c:v>
                </c:pt>
                <c:pt idx="2">
                  <c:v>0.66666666666666663</c:v>
                </c:pt>
                <c:pt idx="3">
                  <c:v>1</c:v>
                </c:pt>
                <c:pt idx="4">
                  <c:v>1.3333333333333333</c:v>
                </c:pt>
                <c:pt idx="5">
                  <c:v>1.6666666666666665</c:v>
                </c:pt>
                <c:pt idx="6">
                  <c:v>2</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c:v>
                </c:pt>
                <c:pt idx="27">
                  <c:v>8.3333333333333321</c:v>
                </c:pt>
                <c:pt idx="28">
                  <c:v>8.6666666666666661</c:v>
                </c:pt>
                <c:pt idx="29">
                  <c:v>9</c:v>
                </c:pt>
                <c:pt idx="30">
                  <c:v>9.3333333333333321</c:v>
                </c:pt>
                <c:pt idx="31">
                  <c:v>9.6666666666666661</c:v>
                </c:pt>
                <c:pt idx="32">
                  <c:v>10</c:v>
                </c:pt>
              </c:numCache>
            </c:numRef>
          </c:xVal>
          <c:yVal>
            <c:numRef>
              <c:f>'TRIANGLE LOAD PART SPAN (2)'!$AF$22:$AF$54</c:f>
              <c:numCache>
                <c:formatCode>0.000</c:formatCode>
                <c:ptCount val="33"/>
                <c:pt idx="0">
                  <c:v>-2.2239999999999999E-2</c:v>
                </c:pt>
                <c:pt idx="1">
                  <c:v>-2.1289999999999996E-2</c:v>
                </c:pt>
                <c:pt idx="2">
                  <c:v>-2.0339999999999997E-2</c:v>
                </c:pt>
                <c:pt idx="3">
                  <c:v>-1.9389999999999998E-2</c:v>
                </c:pt>
                <c:pt idx="4">
                  <c:v>-1.8439999999999998E-2</c:v>
                </c:pt>
                <c:pt idx="5">
                  <c:v>-1.7489999999999999E-2</c:v>
                </c:pt>
                <c:pt idx="6">
                  <c:v>-1.6539999999999999E-2</c:v>
                </c:pt>
                <c:pt idx="7">
                  <c:v>-1.6539999999999999E-2</c:v>
                </c:pt>
                <c:pt idx="8">
                  <c:v>-1.5590025434385002E-2</c:v>
                </c:pt>
                <c:pt idx="9">
                  <c:v>-1.464040237768633E-2</c:v>
                </c:pt>
                <c:pt idx="10">
                  <c:v>-1.3692013888888887E-2</c:v>
                </c:pt>
                <c:pt idx="11">
                  <c:v>-1.2746291723822589E-2</c:v>
                </c:pt>
                <c:pt idx="12">
                  <c:v>-1.1805182041609514E-2</c:v>
                </c:pt>
                <c:pt idx="13">
                  <c:v>-1.0871111111111109E-2</c:v>
                </c:pt>
                <c:pt idx="14">
                  <c:v>-9.9469510173754005E-3</c:v>
                </c:pt>
                <c:pt idx="15">
                  <c:v>-9.0359853680841342E-3</c:v>
                </c:pt>
                <c:pt idx="16">
                  <c:v>-8.1418749999999998E-3</c:v>
                </c:pt>
                <c:pt idx="17">
                  <c:v>-7.2686236854138091E-3</c:v>
                </c:pt>
                <c:pt idx="18">
                  <c:v>-6.4205438385916786E-3</c:v>
                </c:pt>
                <c:pt idx="19">
                  <c:v>-5.6022222222222211E-3</c:v>
                </c:pt>
                <c:pt idx="20">
                  <c:v>-4.8184856538637409E-3</c:v>
                </c:pt>
                <c:pt idx="21">
                  <c:v>-4.074366712391404E-3</c:v>
                </c:pt>
                <c:pt idx="22">
                  <c:v>-3.3750694444444444E-3</c:v>
                </c:pt>
                <c:pt idx="23">
                  <c:v>-2.7259350708733424E-3</c:v>
                </c:pt>
                <c:pt idx="24">
                  <c:v>-2.1324076931870154E-3</c:v>
                </c:pt>
                <c:pt idx="25">
                  <c:v>-1.6000000000000031E-3</c:v>
                </c:pt>
                <c:pt idx="26">
                  <c:v>-1.6000000000000031E-3</c:v>
                </c:pt>
                <c:pt idx="27">
                  <c:v>-1.134259259259263E-3</c:v>
                </c:pt>
                <c:pt idx="28">
                  <c:v>-7.4074074074074276E-4</c:v>
                </c:pt>
                <c:pt idx="29">
                  <c:v>-4.2500000000000084E-4</c:v>
                </c:pt>
                <c:pt idx="30">
                  <c:v>-1.9259259259259365E-4</c:v>
                </c:pt>
                <c:pt idx="31">
                  <c:v>-4.9074074074074346E-5</c:v>
                </c:pt>
                <c:pt idx="32">
                  <c:v>0</c:v>
                </c:pt>
              </c:numCache>
            </c:numRef>
          </c:yVal>
          <c:smooth val="0"/>
          <c:extLst>
            <c:ext xmlns:c16="http://schemas.microsoft.com/office/drawing/2014/chart" uri="{C3380CC4-5D6E-409C-BE32-E72D297353CC}">
              <c16:uniqueId val="{00000000-6795-4732-97CB-29FF51C13FB2}"/>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0318" y="3293182"/>
          <a:ext cx="47456" cy="267188"/>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4258</xdr:colOff>
      <xdr:row>14</xdr:row>
      <xdr:rowOff>148702</xdr:rowOff>
    </xdr:from>
    <xdr:to>
      <xdr:col>1</xdr:col>
      <xdr:colOff>4258</xdr:colOff>
      <xdr:row>16</xdr:row>
      <xdr:rowOff>141514</xdr:rowOff>
    </xdr:to>
    <xdr:cxnSp macro="">
      <xdr:nvCxnSpPr>
        <xdr:cNvPr id="12" name="Straight Connector 11"/>
        <xdr:cNvCxnSpPr/>
      </xdr:nvCxnSpPr>
      <xdr:spPr bwMode="auto">
        <a:xfrm>
          <a:off x="629098" y="26023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3" name="Straight Arrow Connector 12"/>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4" name="TextBox 13"/>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clientData/>
  </xdr:twoCellAnchor>
  <xdr:twoCellAnchor>
    <xdr:from>
      <xdr:col>1</xdr:col>
      <xdr:colOff>4258</xdr:colOff>
      <xdr:row>15</xdr:row>
      <xdr:rowOff>11192</xdr:rowOff>
    </xdr:from>
    <xdr:to>
      <xdr:col>2</xdr:col>
      <xdr:colOff>650923</xdr:colOff>
      <xdr:row>15</xdr:row>
      <xdr:rowOff>11192</xdr:rowOff>
    </xdr:to>
    <xdr:cxnSp macro="">
      <xdr:nvCxnSpPr>
        <xdr:cNvPr id="15" name="Straight Arrow Connector 14"/>
        <xdr:cNvCxnSpPr/>
      </xdr:nvCxnSpPr>
      <xdr:spPr bwMode="auto">
        <a:xfrm>
          <a:off x="629098" y="2640092"/>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6" name="Arc 15"/>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7" name="TextBox 16"/>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8" name="TextBox 17"/>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19" name="TextBox 18"/>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0" name="Straight Connector 19"/>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1" name="TextBox 20"/>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2" name="Straight Connector 21"/>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13</xdr:row>
      <xdr:rowOff>154557</xdr:rowOff>
    </xdr:from>
    <xdr:to>
      <xdr:col>2</xdr:col>
      <xdr:colOff>136807</xdr:colOff>
      <xdr:row>15</xdr:row>
      <xdr:rowOff>61113</xdr:rowOff>
    </xdr:to>
    <xdr:sp macro="" textlink="">
      <xdr:nvSpPr>
        <xdr:cNvPr id="23" name="TextBox 22"/>
        <xdr:cNvSpPr txBox="1"/>
      </xdr:nvSpPr>
      <xdr:spPr>
        <a:xfrm>
          <a:off x="1161264" y="2432937"/>
          <a:ext cx="225223" cy="257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3</xdr:col>
      <xdr:colOff>60218</xdr:colOff>
      <xdr:row>14</xdr:row>
      <xdr:rowOff>104037</xdr:rowOff>
    </xdr:from>
    <xdr:to>
      <xdr:col>4</xdr:col>
      <xdr:colOff>321012</xdr:colOff>
      <xdr:row>16</xdr:row>
      <xdr:rowOff>26347</xdr:rowOff>
    </xdr:to>
    <xdr:sp macro="" textlink="">
      <xdr:nvSpPr>
        <xdr:cNvPr id="24" name="TextBox 23"/>
        <xdr:cNvSpPr txBox="1"/>
      </xdr:nvSpPr>
      <xdr:spPr>
        <a:xfrm>
          <a:off x="1934738" y="2557677"/>
          <a:ext cx="885634" cy="272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W=w(b-a)/2</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5" name="Freeform: Shape 24"/>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6" name="TextBox 25"/>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309861</xdr:colOff>
      <xdr:row>19</xdr:row>
      <xdr:rowOff>29731</xdr:rowOff>
    </xdr:from>
    <xdr:to>
      <xdr:col>1</xdr:col>
      <xdr:colOff>575209</xdr:colOff>
      <xdr:row>20</xdr:row>
      <xdr:rowOff>125224</xdr:rowOff>
    </xdr:to>
    <xdr:sp macro="" textlink="">
      <xdr:nvSpPr>
        <xdr:cNvPr id="27" name="TextBox 26"/>
        <xdr:cNvSpPr txBox="1"/>
      </xdr:nvSpPr>
      <xdr:spPr>
        <a:xfrm>
          <a:off x="934701" y="3359671"/>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0</xdr:colOff>
      <xdr:row>19</xdr:row>
      <xdr:rowOff>0</xdr:rowOff>
    </xdr:from>
    <xdr:to>
      <xdr:col>3</xdr:col>
      <xdr:colOff>6052</xdr:colOff>
      <xdr:row>19</xdr:row>
      <xdr:rowOff>692</xdr:rowOff>
    </xdr:to>
    <xdr:cxnSp macro="">
      <xdr:nvCxnSpPr>
        <xdr:cNvPr id="28" name="Straight Arrow Connector 27"/>
        <xdr:cNvCxnSpPr>
          <a:stCxn id="25" idx="0"/>
          <a:endCxn id="18" idx="1"/>
        </xdr:cNvCxnSpPr>
      </xdr:nvCxnSpPr>
      <xdr:spPr bwMode="auto">
        <a:xfrm flipH="1" flipV="1">
          <a:off x="624840" y="3329940"/>
          <a:ext cx="125573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437744</xdr:colOff>
      <xdr:row>16</xdr:row>
      <xdr:rowOff>176893</xdr:rowOff>
    </xdr:from>
    <xdr:to>
      <xdr:col>2</xdr:col>
      <xdr:colOff>370049</xdr:colOff>
      <xdr:row>19</xdr:row>
      <xdr:rowOff>1007</xdr:rowOff>
    </xdr:to>
    <xdr:grpSp>
      <xdr:nvGrpSpPr>
        <xdr:cNvPr id="29" name="Group 28"/>
        <xdr:cNvGrpSpPr/>
      </xdr:nvGrpSpPr>
      <xdr:grpSpPr>
        <a:xfrm flipH="1">
          <a:off x="1058230" y="3061607"/>
          <a:ext cx="574562" cy="368400"/>
          <a:chOff x="1061721" y="3058116"/>
          <a:chExt cx="573536" cy="364702"/>
        </a:xfrm>
      </xdr:grpSpPr>
      <xdr:cxnSp macro="">
        <xdr:nvCxnSpPr>
          <xdr:cNvPr id="30" name="Straight Arrow Connector 29"/>
          <xdr:cNvCxnSpPr/>
        </xdr:nvCxnSpPr>
        <xdr:spPr bwMode="auto">
          <a:xfrm>
            <a:off x="1203574" y="3327472"/>
            <a:ext cx="0" cy="9534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xdr:cNvCxnSpPr/>
        </xdr:nvCxnSpPr>
        <xdr:spPr bwMode="auto">
          <a:xfrm>
            <a:off x="1348599" y="3242859"/>
            <a:ext cx="0" cy="17995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xdr:cNvCxnSpPr/>
        </xdr:nvCxnSpPr>
        <xdr:spPr bwMode="auto">
          <a:xfrm>
            <a:off x="1491928" y="3152068"/>
            <a:ext cx="0" cy="27075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xdr:cNvCxnSpPr/>
        </xdr:nvCxnSpPr>
        <xdr:spPr bwMode="auto">
          <a:xfrm>
            <a:off x="1635257" y="3059790"/>
            <a:ext cx="0" cy="36302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Connector 33"/>
          <xdr:cNvCxnSpPr/>
        </xdr:nvCxnSpPr>
        <xdr:spPr bwMode="auto">
          <a:xfrm flipV="1">
            <a:off x="1061721" y="3058116"/>
            <a:ext cx="572456" cy="35690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2</xdr:col>
      <xdr:colOff>245692</xdr:colOff>
      <xdr:row>18</xdr:row>
      <xdr:rowOff>166089</xdr:rowOff>
    </xdr:from>
    <xdr:to>
      <xdr:col>2</xdr:col>
      <xdr:colOff>511040</xdr:colOff>
      <xdr:row>20</xdr:row>
      <xdr:rowOff>85119</xdr:rowOff>
    </xdr:to>
    <xdr:sp macro="" textlink="">
      <xdr:nvSpPr>
        <xdr:cNvPr id="35" name="TextBox 34"/>
        <xdr:cNvSpPr txBox="1"/>
      </xdr:nvSpPr>
      <xdr:spPr>
        <a:xfrm>
          <a:off x="1495372" y="332076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3</xdr:col>
      <xdr:colOff>29124</xdr:colOff>
      <xdr:row>17</xdr:row>
      <xdr:rowOff>65825</xdr:rowOff>
    </xdr:from>
    <xdr:to>
      <xdr:col>3</xdr:col>
      <xdr:colOff>294472</xdr:colOff>
      <xdr:row>18</xdr:row>
      <xdr:rowOff>161318</xdr:rowOff>
    </xdr:to>
    <xdr:sp macro="" textlink="">
      <xdr:nvSpPr>
        <xdr:cNvPr id="36" name="TextBox 35"/>
        <xdr:cNvSpPr txBox="1"/>
      </xdr:nvSpPr>
      <xdr:spPr>
        <a:xfrm>
          <a:off x="1903644" y="3045245"/>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lientData/>
  </xdr:twoCellAnchor>
  <xdr:twoCellAnchor>
    <xdr:from>
      <xdr:col>1</xdr:col>
      <xdr:colOff>433972</xdr:colOff>
      <xdr:row>15</xdr:row>
      <xdr:rowOff>96253</xdr:rowOff>
    </xdr:from>
    <xdr:to>
      <xdr:col>1</xdr:col>
      <xdr:colOff>433972</xdr:colOff>
      <xdr:row>16</xdr:row>
      <xdr:rowOff>132271</xdr:rowOff>
    </xdr:to>
    <xdr:cxnSp macro="">
      <xdr:nvCxnSpPr>
        <xdr:cNvPr id="37" name="Straight Connector 36"/>
        <xdr:cNvCxnSpPr/>
      </xdr:nvCxnSpPr>
      <xdr:spPr bwMode="auto">
        <a:xfrm>
          <a:off x="1058812" y="2725153"/>
          <a:ext cx="0" cy="21127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438615</xdr:colOff>
      <xdr:row>16</xdr:row>
      <xdr:rowOff>7181</xdr:rowOff>
    </xdr:from>
    <xdr:to>
      <xdr:col>2</xdr:col>
      <xdr:colOff>649706</xdr:colOff>
      <xdr:row>16</xdr:row>
      <xdr:rowOff>7181</xdr:rowOff>
    </xdr:to>
    <xdr:cxnSp macro="">
      <xdr:nvCxnSpPr>
        <xdr:cNvPr id="38" name="Straight Arrow Connector 37"/>
        <xdr:cNvCxnSpPr/>
      </xdr:nvCxnSpPr>
      <xdr:spPr bwMode="auto">
        <a:xfrm>
          <a:off x="1063455" y="2811341"/>
          <a:ext cx="813071"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91255</xdr:colOff>
      <xdr:row>14</xdr:row>
      <xdr:rowOff>154558</xdr:rowOff>
    </xdr:from>
    <xdr:to>
      <xdr:col>2</xdr:col>
      <xdr:colOff>333322</xdr:colOff>
      <xdr:row>16</xdr:row>
      <xdr:rowOff>77155</xdr:rowOff>
    </xdr:to>
    <xdr:sp macro="" textlink="">
      <xdr:nvSpPr>
        <xdr:cNvPr id="39" name="TextBox 38"/>
        <xdr:cNvSpPr txBox="1"/>
      </xdr:nvSpPr>
      <xdr:spPr>
        <a:xfrm>
          <a:off x="1340935" y="2608198"/>
          <a:ext cx="242067"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381248</xdr:colOff>
      <xdr:row>16</xdr:row>
      <xdr:rowOff>187654</xdr:rowOff>
    </xdr:from>
    <xdr:to>
      <xdr:col>3</xdr:col>
      <xdr:colOff>4011</xdr:colOff>
      <xdr:row>16</xdr:row>
      <xdr:rowOff>187654</xdr:rowOff>
    </xdr:to>
    <xdr:cxnSp macro="">
      <xdr:nvCxnSpPr>
        <xdr:cNvPr id="40" name="Straight Arrow Connector 39"/>
        <xdr:cNvCxnSpPr/>
      </xdr:nvCxnSpPr>
      <xdr:spPr bwMode="auto">
        <a:xfrm>
          <a:off x="1630928" y="2976574"/>
          <a:ext cx="247603"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600591</xdr:colOff>
      <xdr:row>16</xdr:row>
      <xdr:rowOff>26221</xdr:rowOff>
    </xdr:from>
    <xdr:to>
      <xdr:col>3</xdr:col>
      <xdr:colOff>188942</xdr:colOff>
      <xdr:row>17</xdr:row>
      <xdr:rowOff>109240</xdr:rowOff>
    </xdr:to>
    <xdr:sp macro="" textlink="">
      <xdr:nvSpPr>
        <xdr:cNvPr id="41" name="TextBox 40"/>
        <xdr:cNvSpPr txBox="1"/>
      </xdr:nvSpPr>
      <xdr:spPr>
        <a:xfrm>
          <a:off x="1850271" y="2830381"/>
          <a:ext cx="213191" cy="258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219763</xdr:colOff>
      <xdr:row>17</xdr:row>
      <xdr:rowOff>16947</xdr:rowOff>
    </xdr:from>
    <xdr:to>
      <xdr:col>1</xdr:col>
      <xdr:colOff>529651</xdr:colOff>
      <xdr:row>18</xdr:row>
      <xdr:rowOff>109358</xdr:rowOff>
    </xdr:to>
    <xdr:sp macro="" textlink="">
      <xdr:nvSpPr>
        <xdr:cNvPr id="42" name="TextBox 41"/>
        <xdr:cNvSpPr txBox="1"/>
      </xdr:nvSpPr>
      <xdr:spPr>
        <a:xfrm>
          <a:off x="844603" y="2996367"/>
          <a:ext cx="309888" cy="267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2</xdr:col>
      <xdr:colOff>382213</xdr:colOff>
      <xdr:row>16</xdr:row>
      <xdr:rowOff>113506</xdr:rowOff>
    </xdr:from>
    <xdr:to>
      <xdr:col>2</xdr:col>
      <xdr:colOff>382213</xdr:colOff>
      <xdr:row>18</xdr:row>
      <xdr:rowOff>120769</xdr:rowOff>
    </xdr:to>
    <xdr:cxnSp macro="">
      <xdr:nvCxnSpPr>
        <xdr:cNvPr id="43" name="Straight Connector 42"/>
        <xdr:cNvCxnSpPr/>
      </xdr:nvCxnSpPr>
      <xdr:spPr bwMode="auto">
        <a:xfrm>
          <a:off x="1631893" y="2917666"/>
          <a:ext cx="0" cy="35778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tabSelected="1" view="pageBreakPreview" zoomScale="70" zoomScaleNormal="100" zoomScaleSheetLayoutView="70" workbookViewId="0">
      <selection activeCell="N16" sqref="N16"/>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25" width="10" style="36" bestFit="1" customWidth="1"/>
    <col min="26" max="26" width="11" style="36" bestFit="1" customWidth="1"/>
    <col min="27" max="16384" width="9.109375" style="36"/>
  </cols>
  <sheetData>
    <row r="1" spans="1:29" s="5" customFormat="1" ht="13.8" x14ac:dyDescent="0.3">
      <c r="A1" s="1"/>
      <c r="B1" s="2" t="s">
        <v>1</v>
      </c>
      <c r="C1" s="3" t="s">
        <v>0</v>
      </c>
      <c r="D1" s="1"/>
      <c r="E1" s="1"/>
      <c r="F1" s="2" t="s">
        <v>8</v>
      </c>
      <c r="G1" s="4">
        <f>X1</f>
        <v>1</v>
      </c>
      <c r="H1" s="1"/>
      <c r="I1" s="1"/>
      <c r="J1" s="1"/>
      <c r="K1" s="1"/>
      <c r="M1" s="104" t="s">
        <v>106</v>
      </c>
      <c r="N1" s="104" t="s">
        <v>99</v>
      </c>
      <c r="O1" s="104" t="s">
        <v>105</v>
      </c>
      <c r="P1" s="104" t="s">
        <v>105</v>
      </c>
      <c r="Q1" s="104" t="s">
        <v>105</v>
      </c>
      <c r="R1" s="104" t="s">
        <v>104</v>
      </c>
      <c r="S1" s="103" t="s">
        <v>103</v>
      </c>
      <c r="T1" s="102" t="s">
        <v>102</v>
      </c>
      <c r="W1" s="6" t="s">
        <v>101</v>
      </c>
      <c r="X1" s="7">
        <f>SUM(M:M)</f>
        <v>1</v>
      </c>
    </row>
    <row r="2" spans="1:29" s="5" customFormat="1" ht="13.8" x14ac:dyDescent="0.3">
      <c r="A2" s="1"/>
      <c r="B2" s="2" t="s">
        <v>2</v>
      </c>
      <c r="C2" s="3" t="s">
        <v>7</v>
      </c>
      <c r="D2" s="1"/>
      <c r="E2" s="1"/>
      <c r="F2" s="2" t="s">
        <v>5</v>
      </c>
      <c r="G2" s="3" t="s">
        <v>100</v>
      </c>
      <c r="H2" s="1"/>
      <c r="I2" s="1"/>
      <c r="J2" s="1"/>
      <c r="K2" s="1"/>
      <c r="M2" s="92" t="s">
        <v>98</v>
      </c>
      <c r="N2" s="92" t="s">
        <v>98</v>
      </c>
      <c r="O2" s="92" t="s">
        <v>99</v>
      </c>
      <c r="P2" s="92" t="s">
        <v>99</v>
      </c>
      <c r="Q2" s="92" t="s">
        <v>99</v>
      </c>
      <c r="R2" s="92" t="s">
        <v>98</v>
      </c>
      <c r="S2" s="101" t="s">
        <v>98</v>
      </c>
      <c r="T2" s="97"/>
      <c r="W2" s="6" t="s">
        <v>97</v>
      </c>
      <c r="X2" s="7">
        <f>SUM(N:N)</f>
        <v>0</v>
      </c>
    </row>
    <row r="3" spans="1:29" s="5" customFormat="1" ht="13.8" x14ac:dyDescent="0.3">
      <c r="A3" s="1"/>
      <c r="B3" s="2" t="s">
        <v>3</v>
      </c>
      <c r="C3" s="8" t="s">
        <v>96</v>
      </c>
      <c r="D3" s="1"/>
      <c r="E3" s="1"/>
      <c r="F3" s="2" t="s">
        <v>4</v>
      </c>
      <c r="G3" s="3" t="s">
        <v>95</v>
      </c>
      <c r="H3" s="1"/>
      <c r="I3" s="1"/>
      <c r="J3" s="1"/>
      <c r="K3" s="1"/>
      <c r="M3" s="92"/>
      <c r="N3" s="92"/>
      <c r="O3" s="92"/>
      <c r="P3" s="92"/>
      <c r="Q3" s="92"/>
      <c r="R3" s="92"/>
      <c r="S3" s="101"/>
      <c r="T3" s="97"/>
      <c r="W3" s="6" t="s">
        <v>92</v>
      </c>
      <c r="X3" s="7">
        <f>SUM(O:O)</f>
        <v>0</v>
      </c>
    </row>
    <row r="4" spans="1:29" s="5" customFormat="1" ht="13.8" x14ac:dyDescent="0.3">
      <c r="A4" s="1"/>
      <c r="B4" s="2" t="s">
        <v>9</v>
      </c>
      <c r="C4" s="4"/>
      <c r="D4" s="1"/>
      <c r="E4" s="1"/>
      <c r="F4" s="2" t="s">
        <v>10</v>
      </c>
      <c r="G4" s="3" t="s">
        <v>94</v>
      </c>
      <c r="H4" s="1"/>
      <c r="I4" s="1"/>
      <c r="J4" s="1"/>
      <c r="K4" s="1"/>
      <c r="M4" s="92"/>
      <c r="N4" s="92"/>
      <c r="O4" s="92"/>
      <c r="P4" s="92"/>
      <c r="Q4" s="100"/>
      <c r="R4" s="99"/>
      <c r="S4" s="98"/>
      <c r="T4" s="97"/>
      <c r="W4" s="6" t="s">
        <v>92</v>
      </c>
      <c r="X4" s="7">
        <f>SUM(P:P)</f>
        <v>0</v>
      </c>
    </row>
    <row r="5" spans="1:29" s="5" customFormat="1" ht="13.8" x14ac:dyDescent="0.3">
      <c r="A5" s="1"/>
      <c r="B5" s="2" t="s">
        <v>11</v>
      </c>
      <c r="C5" s="4" t="s">
        <v>93</v>
      </c>
      <c r="D5" s="1"/>
      <c r="E5" s="2"/>
      <c r="F5" s="1"/>
      <c r="G5" s="1"/>
      <c r="H5" s="1"/>
      <c r="I5" s="1"/>
      <c r="J5" s="1"/>
      <c r="K5" s="1"/>
      <c r="M5" s="92"/>
      <c r="N5" s="92"/>
      <c r="O5" s="92"/>
      <c r="P5" s="92"/>
      <c r="Q5" s="100"/>
      <c r="R5" s="99"/>
      <c r="S5" s="98"/>
      <c r="T5" s="97"/>
      <c r="W5" s="6" t="s">
        <v>92</v>
      </c>
      <c r="X5" s="7">
        <f>SUM(Q:Q)</f>
        <v>0</v>
      </c>
    </row>
    <row r="6" spans="1:29" s="5" customFormat="1" ht="13.8" x14ac:dyDescent="0.3">
      <c r="A6" s="1"/>
      <c r="B6" s="1" t="s">
        <v>6</v>
      </c>
      <c r="C6" s="9"/>
      <c r="D6" s="1"/>
      <c r="E6" s="1"/>
      <c r="F6" s="1"/>
      <c r="G6" s="1"/>
      <c r="H6" s="1"/>
      <c r="I6" s="1"/>
      <c r="J6" s="1"/>
      <c r="K6" s="1"/>
      <c r="M6" s="92"/>
      <c r="N6" s="92"/>
      <c r="O6" s="92"/>
      <c r="P6" s="92"/>
      <c r="Q6" s="100"/>
      <c r="R6" s="99"/>
      <c r="S6" s="98"/>
      <c r="T6" s="97"/>
      <c r="W6" s="6" t="s">
        <v>91</v>
      </c>
      <c r="X6" s="7">
        <f>SUM(R:R)</f>
        <v>0</v>
      </c>
      <c r="Y6" s="67"/>
      <c r="Z6" s="40"/>
      <c r="AA6" s="67"/>
      <c r="AB6" s="67"/>
      <c r="AC6" s="85"/>
    </row>
    <row r="7" spans="1:29" s="5" customFormat="1" ht="13.8" x14ac:dyDescent="0.3">
      <c r="A7" s="1"/>
      <c r="B7" s="1"/>
      <c r="C7" s="1"/>
      <c r="D7" s="1"/>
      <c r="E7" s="1"/>
      <c r="F7" s="1"/>
      <c r="G7" s="1"/>
      <c r="H7" s="1"/>
      <c r="I7" s="1"/>
      <c r="J7" s="1"/>
      <c r="K7" s="1"/>
      <c r="M7" s="92"/>
      <c r="N7" s="92"/>
      <c r="O7" s="92"/>
      <c r="P7" s="92"/>
      <c r="Q7" s="100"/>
      <c r="R7" s="99"/>
      <c r="S7" s="98"/>
      <c r="T7" s="97"/>
      <c r="W7" s="6" t="s">
        <v>90</v>
      </c>
      <c r="X7" s="7">
        <f>SUM(S:S)</f>
        <v>0</v>
      </c>
      <c r="Y7" s="85"/>
      <c r="Z7" s="69"/>
      <c r="AA7" s="96"/>
      <c r="AB7" s="95"/>
      <c r="AC7" s="67"/>
    </row>
    <row r="8" spans="1:29" s="5" customFormat="1" ht="13.8" x14ac:dyDescent="0.3">
      <c r="A8" s="16"/>
      <c r="E8" s="6" t="s">
        <v>1</v>
      </c>
      <c r="F8" s="7" t="str">
        <f>$C$1</f>
        <v>R. Abbott</v>
      </c>
      <c r="H8" s="10"/>
      <c r="I8" s="6" t="s">
        <v>89</v>
      </c>
      <c r="J8" s="11" t="str">
        <f>$G$2</f>
        <v>AA-SM-026-008</v>
      </c>
      <c r="K8" s="12"/>
      <c r="L8" s="13"/>
      <c r="M8" s="92"/>
      <c r="N8" s="92"/>
      <c r="O8" s="92"/>
      <c r="P8" s="92"/>
      <c r="Q8" s="92"/>
      <c r="R8" s="92"/>
      <c r="S8" s="92"/>
      <c r="T8" s="92"/>
      <c r="Y8" s="67"/>
      <c r="Z8" s="83"/>
      <c r="AA8" s="40"/>
      <c r="AB8" s="94"/>
      <c r="AC8" s="67"/>
    </row>
    <row r="9" spans="1:29" s="5" customFormat="1" ht="13.8" x14ac:dyDescent="0.3">
      <c r="E9" s="6" t="s">
        <v>2</v>
      </c>
      <c r="F9" s="10" t="str">
        <f>$C$2</f>
        <v xml:space="preserve"> </v>
      </c>
      <c r="H9" s="10"/>
      <c r="I9" s="6" t="s">
        <v>88</v>
      </c>
      <c r="J9" s="12" t="str">
        <f>$G$3</f>
        <v>IR</v>
      </c>
      <c r="K9" s="12"/>
      <c r="L9" s="13"/>
      <c r="M9" s="92">
        <v>1</v>
      </c>
      <c r="N9" s="92"/>
      <c r="O9" s="92"/>
      <c r="P9" s="92"/>
      <c r="Q9" s="92"/>
      <c r="R9" s="92"/>
      <c r="S9" s="92"/>
      <c r="T9" s="92"/>
      <c r="Y9" s="67"/>
      <c r="Z9" s="93"/>
      <c r="AA9" s="67"/>
      <c r="AB9" s="67"/>
      <c r="AC9" s="67"/>
    </row>
    <row r="10" spans="1:29" s="5" customFormat="1" ht="13.8" x14ac:dyDescent="0.3">
      <c r="E10" s="6" t="s">
        <v>3</v>
      </c>
      <c r="F10" s="10" t="str">
        <f>$C$3</f>
        <v>18/09/2016</v>
      </c>
      <c r="H10" s="10"/>
      <c r="I10" s="6" t="s">
        <v>87</v>
      </c>
      <c r="J10" s="7" t="str">
        <f>L10&amp;" of "&amp;$G$1</f>
        <v>1 of 1</v>
      </c>
      <c r="K10" s="10"/>
      <c r="L10" s="13">
        <f>SUM($M$1:M9)</f>
        <v>1</v>
      </c>
      <c r="M10" s="92"/>
      <c r="N10" s="92"/>
      <c r="O10" s="92"/>
      <c r="P10" s="92"/>
      <c r="Q10" s="92"/>
      <c r="R10" s="92"/>
      <c r="S10" s="92"/>
      <c r="T10" s="92"/>
      <c r="Y10" s="67"/>
      <c r="Z10" s="67"/>
      <c r="AA10" s="67"/>
      <c r="AB10" s="67"/>
      <c r="AC10" s="67"/>
    </row>
    <row r="11" spans="1:29" s="5" customFormat="1" ht="15" x14ac:dyDescent="0.35">
      <c r="E11" s="6" t="s">
        <v>86</v>
      </c>
      <c r="F11" s="10" t="str">
        <f>$C$5</f>
        <v>STANDARD SPREADSHEET METHOD</v>
      </c>
      <c r="I11" s="14"/>
      <c r="J11" s="7"/>
      <c r="M11" s="92"/>
      <c r="N11" s="92"/>
      <c r="O11" s="92"/>
      <c r="P11" s="92"/>
      <c r="Q11" s="92"/>
      <c r="R11" s="92"/>
      <c r="S11" s="92"/>
      <c r="T11" s="92"/>
      <c r="W11" s="69" t="s">
        <v>85</v>
      </c>
      <c r="X11" s="67">
        <v>0</v>
      </c>
      <c r="Y11" s="67" t="s">
        <v>41</v>
      </c>
      <c r="Z11" s="67"/>
      <c r="AA11" s="67"/>
      <c r="AB11" s="67"/>
      <c r="AC11" s="67"/>
    </row>
    <row r="12" spans="1:29" s="40" customFormat="1" ht="16.2" x14ac:dyDescent="0.35">
      <c r="A12" s="42"/>
      <c r="B12" s="15" t="str">
        <f>$G$4</f>
        <v>SIMPLE BEAMS - CANTILEVERS - Triangular Distributed Load over Part Span, Peak at Free End</v>
      </c>
      <c r="C12" s="42"/>
      <c r="D12" s="42"/>
      <c r="E12" s="42"/>
      <c r="F12" s="5"/>
      <c r="G12" s="5"/>
      <c r="H12" s="5"/>
      <c r="I12" s="14"/>
      <c r="J12" s="7"/>
      <c r="K12" s="5"/>
      <c r="L12" s="5"/>
      <c r="M12" s="92"/>
      <c r="N12" s="92"/>
      <c r="O12" s="91"/>
      <c r="P12" s="91"/>
      <c r="Q12" s="91"/>
      <c r="R12" s="91"/>
      <c r="S12" s="91"/>
      <c r="T12" s="91"/>
      <c r="U12" s="41"/>
      <c r="W12" s="69" t="s">
        <v>84</v>
      </c>
      <c r="X12" s="67">
        <v>0</v>
      </c>
      <c r="Y12" s="67" t="s">
        <v>44</v>
      </c>
      <c r="Z12" s="67"/>
      <c r="AA12" s="67"/>
      <c r="AB12" s="67"/>
      <c r="AC12" s="90"/>
    </row>
    <row r="13" spans="1:29" s="39" customFormat="1" ht="15" x14ac:dyDescent="0.35">
      <c r="A13" s="87"/>
      <c r="B13" s="89" t="s">
        <v>83</v>
      </c>
      <c r="C13" s="89"/>
      <c r="D13" s="89"/>
      <c r="E13" s="87" t="s">
        <v>82</v>
      </c>
      <c r="F13" s="88"/>
      <c r="G13" s="88"/>
      <c r="H13" s="88"/>
      <c r="I13" s="87"/>
      <c r="J13" s="87"/>
      <c r="K13" s="87"/>
      <c r="M13" s="38"/>
      <c r="N13" s="38"/>
      <c r="O13" s="38"/>
      <c r="P13" s="38"/>
      <c r="Q13" s="38"/>
      <c r="R13" s="38"/>
      <c r="S13" s="38"/>
      <c r="T13" s="38"/>
      <c r="U13" s="37"/>
      <c r="W13" s="69" t="s">
        <v>81</v>
      </c>
      <c r="X13" s="69">
        <v>0</v>
      </c>
      <c r="Y13" s="67" t="s">
        <v>34</v>
      </c>
      <c r="Z13" s="40"/>
      <c r="AA13" s="40"/>
      <c r="AB13" s="40"/>
      <c r="AC13" s="40"/>
    </row>
    <row r="14" spans="1:29" s="40" customFormat="1" ht="15" x14ac:dyDescent="0.35">
      <c r="A14" s="67"/>
      <c r="B14" s="86"/>
      <c r="C14" s="67"/>
      <c r="D14" s="67"/>
      <c r="E14" s="85"/>
      <c r="G14" s="67"/>
      <c r="H14" s="67"/>
      <c r="I14" s="70"/>
      <c r="J14" s="70"/>
      <c r="K14" s="70"/>
      <c r="L14" s="41"/>
      <c r="M14" s="38"/>
      <c r="N14" s="38"/>
      <c r="O14" s="38"/>
      <c r="P14" s="38"/>
      <c r="Q14" s="38"/>
      <c r="R14" s="38"/>
      <c r="S14" s="38"/>
      <c r="T14" s="38"/>
      <c r="U14" s="37"/>
      <c r="V14" s="41"/>
      <c r="W14" s="69" t="s">
        <v>80</v>
      </c>
      <c r="X14" s="67">
        <v>0</v>
      </c>
      <c r="Y14" s="67" t="s">
        <v>39</v>
      </c>
    </row>
    <row r="15" spans="1:29" s="40" customFormat="1" ht="13.8" x14ac:dyDescent="0.3">
      <c r="K15" s="70"/>
      <c r="L15" s="41"/>
      <c r="M15" s="38"/>
      <c r="N15" s="38"/>
      <c r="O15" s="38"/>
      <c r="P15" s="38"/>
      <c r="Q15" s="38"/>
      <c r="R15" s="38"/>
      <c r="S15" s="38"/>
      <c r="T15" s="38"/>
      <c r="U15" s="37"/>
      <c r="V15" s="41"/>
    </row>
    <row r="16" spans="1:29" s="40" customFormat="1" ht="13.8" x14ac:dyDescent="0.3">
      <c r="F16" s="84" t="s">
        <v>79</v>
      </c>
      <c r="G16" s="67"/>
      <c r="H16" s="67"/>
      <c r="I16" s="70"/>
      <c r="J16" s="70"/>
      <c r="K16" s="70"/>
      <c r="L16" s="41"/>
      <c r="M16" s="38"/>
      <c r="N16" s="38"/>
      <c r="O16" s="38"/>
      <c r="P16" s="38"/>
      <c r="Q16" s="38"/>
      <c r="R16" s="38"/>
      <c r="S16" s="38"/>
      <c r="T16" s="38"/>
      <c r="U16" s="37"/>
      <c r="V16" s="41"/>
      <c r="Y16" s="40" t="e">
        <f>G19-#REF!</f>
        <v>#REF!</v>
      </c>
    </row>
    <row r="17" spans="1:36" s="40" customFormat="1" ht="15" x14ac:dyDescent="0.35">
      <c r="F17" s="69" t="s">
        <v>78</v>
      </c>
      <c r="G17" s="81">
        <v>10000000</v>
      </c>
      <c r="H17" s="67" t="s">
        <v>77</v>
      </c>
      <c r="I17" s="70"/>
      <c r="J17" s="70"/>
      <c r="L17" s="41"/>
      <c r="M17" s="38"/>
      <c r="N17" s="38"/>
      <c r="O17" s="38"/>
      <c r="P17" s="38"/>
      <c r="Q17" s="38"/>
      <c r="R17" s="38"/>
      <c r="S17" s="38"/>
      <c r="T17" s="38"/>
      <c r="U17" s="37"/>
      <c r="V17" s="41"/>
      <c r="W17" s="83" t="s">
        <v>76</v>
      </c>
      <c r="X17" s="83" t="s">
        <v>75</v>
      </c>
      <c r="Y17" s="83" t="s">
        <v>74</v>
      </c>
      <c r="Z17" s="83" t="s">
        <v>73</v>
      </c>
      <c r="AA17" s="83" t="s">
        <v>72</v>
      </c>
      <c r="AB17" s="83" t="s">
        <v>71</v>
      </c>
      <c r="AC17" s="83" t="s">
        <v>70</v>
      </c>
      <c r="AD17" s="83" t="s">
        <v>69</v>
      </c>
    </row>
    <row r="18" spans="1:36" s="40" customFormat="1" ht="13.8" x14ac:dyDescent="0.3">
      <c r="F18" s="69" t="s">
        <v>68</v>
      </c>
      <c r="G18" s="82">
        <v>0.1</v>
      </c>
      <c r="H18" s="67" t="s">
        <v>67</v>
      </c>
      <c r="I18" s="70"/>
      <c r="J18" s="70"/>
      <c r="L18" s="41"/>
      <c r="M18" s="38"/>
      <c r="N18" s="38"/>
      <c r="O18" s="38"/>
      <c r="P18" s="38"/>
      <c r="Q18" s="38"/>
      <c r="R18" s="38"/>
      <c r="S18" s="38"/>
      <c r="T18" s="38"/>
      <c r="U18" s="37"/>
      <c r="V18" s="41"/>
      <c r="W18" s="50">
        <f>X11</f>
        <v>0</v>
      </c>
      <c r="X18" s="50">
        <f>B26</f>
        <v>150</v>
      </c>
      <c r="Y18" s="50">
        <f>B32</f>
        <v>-1.3500000000000001E-3</v>
      </c>
      <c r="Z18" s="45">
        <f>X12</f>
        <v>0</v>
      </c>
      <c r="AA18" s="57">
        <f>F29</f>
        <v>-2.2239999999999999E-2</v>
      </c>
      <c r="AB18" s="45">
        <f>X13</f>
        <v>0</v>
      </c>
      <c r="AC18" s="45">
        <f>X14</f>
        <v>0</v>
      </c>
      <c r="AD18" s="45">
        <f>F33</f>
        <v>-900</v>
      </c>
    </row>
    <row r="19" spans="1:36" s="40" customFormat="1" ht="13.8" x14ac:dyDescent="0.3">
      <c r="F19" s="69" t="s">
        <v>66</v>
      </c>
      <c r="G19" s="81">
        <v>10</v>
      </c>
      <c r="H19" s="67" t="s">
        <v>65</v>
      </c>
      <c r="I19" s="70"/>
      <c r="J19" s="70"/>
      <c r="K19" s="70"/>
      <c r="L19" s="41"/>
      <c r="M19" s="38"/>
      <c r="N19" s="38"/>
      <c r="O19" s="38"/>
      <c r="P19" s="38"/>
      <c r="Q19" s="38"/>
      <c r="R19" s="38"/>
      <c r="S19" s="38"/>
      <c r="T19" s="38"/>
      <c r="U19" s="37"/>
      <c r="V19" s="41"/>
      <c r="W19" s="41"/>
      <c r="X19" s="41"/>
      <c r="Y19" s="41"/>
      <c r="Z19" s="48"/>
      <c r="AA19" s="48"/>
      <c r="AB19" s="48"/>
      <c r="AC19" s="50" t="s">
        <v>62</v>
      </c>
      <c r="AD19" s="50" t="s">
        <v>61</v>
      </c>
      <c r="AE19" s="58" t="s">
        <v>60</v>
      </c>
      <c r="AF19" s="55" t="s">
        <v>59</v>
      </c>
    </row>
    <row r="20" spans="1:36" s="40" customFormat="1" ht="13.8" x14ac:dyDescent="0.3">
      <c r="F20" s="69" t="s">
        <v>64</v>
      </c>
      <c r="G20" s="81">
        <v>50</v>
      </c>
      <c r="H20" s="67" t="s">
        <v>63</v>
      </c>
      <c r="J20" s="70"/>
      <c r="K20" s="70"/>
      <c r="L20" s="41"/>
      <c r="M20" s="38"/>
      <c r="N20" s="38"/>
      <c r="O20" s="38"/>
      <c r="P20" s="38"/>
      <c r="Q20" s="38"/>
      <c r="R20" s="38"/>
      <c r="S20" s="38"/>
      <c r="T20" s="38"/>
      <c r="U20" s="37"/>
      <c r="V20" s="41"/>
      <c r="W20" s="41"/>
      <c r="X20" s="50" t="s">
        <v>62</v>
      </c>
      <c r="Y20" s="50" t="s">
        <v>61</v>
      </c>
      <c r="Z20" s="58" t="s">
        <v>60</v>
      </c>
      <c r="AA20" s="55" t="s">
        <v>59</v>
      </c>
      <c r="AB20" s="55"/>
      <c r="AC20" s="45" t="s">
        <v>54</v>
      </c>
      <c r="AD20" s="45" t="s">
        <v>56</v>
      </c>
      <c r="AE20" s="45" t="s">
        <v>55</v>
      </c>
      <c r="AF20" s="80" t="s">
        <v>54</v>
      </c>
    </row>
    <row r="21" spans="1:36" s="40" customFormat="1" ht="13.8" x14ac:dyDescent="0.3">
      <c r="F21" s="69" t="s">
        <v>58</v>
      </c>
      <c r="G21" s="79">
        <v>2</v>
      </c>
      <c r="H21" s="67" t="s">
        <v>57</v>
      </c>
      <c r="K21" s="70"/>
      <c r="L21" s="41"/>
      <c r="M21" s="38"/>
      <c r="N21" s="38"/>
      <c r="O21" s="38"/>
      <c r="P21" s="38"/>
      <c r="Q21" s="38"/>
      <c r="R21" s="38"/>
      <c r="S21" s="38"/>
      <c r="T21" s="38"/>
      <c r="U21" s="37"/>
      <c r="V21" s="41"/>
      <c r="W21" s="41"/>
      <c r="X21" s="45" t="s">
        <v>54</v>
      </c>
      <c r="Y21" s="45" t="s">
        <v>56</v>
      </c>
      <c r="Z21" s="45" t="s">
        <v>55</v>
      </c>
      <c r="AA21" s="80" t="s">
        <v>54</v>
      </c>
      <c r="AB21" s="55"/>
      <c r="AC21" s="45">
        <v>0</v>
      </c>
      <c r="AD21" s="45">
        <v>0</v>
      </c>
      <c r="AE21" s="45">
        <v>0</v>
      </c>
    </row>
    <row r="22" spans="1:36" s="40" customFormat="1" ht="13.8" x14ac:dyDescent="0.3">
      <c r="F22" s="69" t="s">
        <v>53</v>
      </c>
      <c r="G22" s="79">
        <v>8</v>
      </c>
      <c r="H22" s="67" t="s">
        <v>52</v>
      </c>
      <c r="L22" s="41"/>
      <c r="M22" s="38"/>
      <c r="N22" s="38"/>
      <c r="O22" s="38"/>
      <c r="P22" s="38"/>
      <c r="Q22" s="38"/>
      <c r="R22" s="38"/>
      <c r="S22" s="38"/>
      <c r="T22" s="38"/>
      <c r="U22" s="37"/>
      <c r="V22" s="41"/>
      <c r="W22" s="45">
        <v>0</v>
      </c>
      <c r="X22" s="45">
        <v>0</v>
      </c>
      <c r="Y22" s="59">
        <f>IF(($G$19-X22)&gt;$G$22,0,IF(($G$19-X22)&gt;$G$21,-$G$23*(1-($G$19-$G$21-X22)^2/($G$22-$G$21)^2),-$G$23))</f>
        <v>0</v>
      </c>
      <c r="Z22" s="58">
        <f>IF(($G$19-X22)&gt;$G$22,0,IF(($G$19-X22)&gt;$G$21,-$G$23*(1/3)*(3*(X22-$G$19+$G$22)^2/($G$22-$G$21)-(X22-$G$19+$G$22)^3/($G$22-$G$21)^2),-(1/3)*$G$23*(-3*$G$19+3*X22+2*$G$22+$G$21)))</f>
        <v>0</v>
      </c>
      <c r="AA22" s="57">
        <f>IF(($G$19-X22)&gt;$G$22,-(1/60)*($G$23/($G$17*$G$18))*((5*$G$21^2+10*$G$22*$G$21+15*$G$22^2)*($G$19-X22)-$G$21^3-2*$G$21^2*$G$22-3*$G$21*$G$22^2-4*$G$22^3),IF(($G$19-X22)&gt;$G$21,-(1/60)*($G$23/($G$17*$G$18))*(($G$19-X22-$G$21)^5/($G$22-$G$21)^2-10*($G$19-X22)^3+(10*$G$21+20*$G$22)*($G$19-X22)^2),-(0.166666666666667)*$G$23/($G$17*$G$18)*(($G$21+2*$G$22)*($G$19-X22)^2-($G$19-X22)^3)))</f>
        <v>-2.2239999999999999E-2</v>
      </c>
      <c r="AB22" s="55"/>
      <c r="AC22" s="56">
        <f t="array" ref="AC22:AC55">IF(ISERROR(SMALL(X22:X55,ROW()-ROW(X21))),"",SMALL(X22:X55,ROW()-ROW(X21)))</f>
        <v>0</v>
      </c>
      <c r="AD22" s="62">
        <f>INDEX(Y22:Y55,MATCH(AC22,X22:X55,0))</f>
        <v>0</v>
      </c>
      <c r="AE22" s="62">
        <f>INDEX(Z22:Z55,MATCH(AC22,X22:X55,0))</f>
        <v>0</v>
      </c>
      <c r="AF22" s="55">
        <f>INDEX(AA22:AA55,MATCH(AC22,X22:X55,0))</f>
        <v>-2.2239999999999999E-2</v>
      </c>
      <c r="AH22" s="61"/>
      <c r="AI22" s="60"/>
      <c r="AJ22" s="60"/>
    </row>
    <row r="23" spans="1:36" s="40" customFormat="1" ht="13.8" x14ac:dyDescent="0.3">
      <c r="B23" s="78" t="s">
        <v>51</v>
      </c>
      <c r="C23" s="77"/>
      <c r="D23" s="76"/>
      <c r="F23" s="69" t="s">
        <v>50</v>
      </c>
      <c r="G23" s="40">
        <f>G20*(G22-G21)/2</f>
        <v>150</v>
      </c>
      <c r="H23" s="67" t="s">
        <v>49</v>
      </c>
      <c r="L23" s="41"/>
      <c r="M23" s="38"/>
      <c r="N23" s="38"/>
      <c r="O23" s="38"/>
      <c r="P23" s="38"/>
      <c r="Q23" s="38"/>
      <c r="R23" s="38"/>
      <c r="S23" s="38"/>
      <c r="T23" s="38"/>
      <c r="U23" s="37"/>
      <c r="V23" s="41"/>
      <c r="W23" s="50">
        <v>1</v>
      </c>
      <c r="X23" s="59">
        <f>G19/MAX(W22:W55)*W23</f>
        <v>0.33333333333333331</v>
      </c>
      <c r="Y23" s="59">
        <f>IF(($G$19-X23)&gt;$G$22,0,IF(($G$19-X23)&gt;$G$21,-$G$23*(1-($G$19-$G$21-X23)^2/($G$22-$G$21)^2),-$G$23))</f>
        <v>0</v>
      </c>
      <c r="Z23" s="58">
        <f>IF(($G$19-X23)&gt;$G$22,0,IF(($G$19-X23)&gt;$G$21,-$G$23*(1/3)*(3*(X23-$G$19+$G$22)^2/($G$22-$G$21)-(X23-$G$19+$G$22)^3/($G$22-$G$21)^2),-(1/3)*$G$23*(-3*$G$19+3*X23+2*$G$22+$G$21)))</f>
        <v>0</v>
      </c>
      <c r="AA23" s="57">
        <f>IF(($G$19-X23)&gt;$G$22,-(1/60)*($G$23/($G$17*$G$18))*((5*$G$21^2+10*$G$22*$G$21+15*$G$22^2)*($G$19-X23)-$G$21^3-2*$G$21^2*$G$22-3*$G$21*$G$22^2-4*$G$22^3),IF(($G$19-X23)&gt;$G$21,-(1/60)*($G$23/($G$17*$G$18))*(($G$19-X23-$G$21)^5/($G$22-$G$21)^2-10*($G$19-X23)^3+(10*$G$21+20*$G$22)*($G$19-X23)^2),-(0.166666666666667)*$G$23/($G$17*$G$18)*(($G$21+2*$G$22)*($G$19-X23)^2-($G$19-X23)^3)))</f>
        <v>-2.1289999999999996E-2</v>
      </c>
      <c r="AB23" s="55"/>
      <c r="AC23" s="56">
        <v>0.33333333333333331</v>
      </c>
      <c r="AD23" s="62">
        <f>INDEX(Y22:Y55,MATCH(AC23,X22:X55,0))</f>
        <v>0</v>
      </c>
      <c r="AE23" s="62">
        <f>INDEX(Z22:Z55,MATCH(AC23,X22:X55,0))</f>
        <v>0</v>
      </c>
      <c r="AF23" s="55">
        <f>INDEX(AA22:AA55,MATCH(AC23,X22:X55,0))</f>
        <v>-2.1289999999999996E-2</v>
      </c>
      <c r="AH23" s="61"/>
      <c r="AI23" s="60"/>
      <c r="AJ23" s="60"/>
    </row>
    <row r="24" spans="1:36" s="40" customFormat="1" ht="13.8" x14ac:dyDescent="0.3">
      <c r="L24" s="41"/>
      <c r="M24" s="38"/>
      <c r="N24" s="38"/>
      <c r="O24" s="38"/>
      <c r="P24" s="38"/>
      <c r="Q24" s="38"/>
      <c r="R24" s="38"/>
      <c r="S24" s="38"/>
      <c r="T24" s="38"/>
      <c r="U24" s="37"/>
      <c r="V24" s="41"/>
      <c r="W24" s="50">
        <v>2</v>
      </c>
      <c r="X24" s="59">
        <f>G19/MAX(W22:W55)*W24</f>
        <v>0.66666666666666663</v>
      </c>
      <c r="Y24" s="59">
        <f>IF(($G$19-X24)&gt;$G$22,0,IF(($G$19-X24)&gt;$G$21,-$G$23*(1-($G$19-$G$21-X24)^2/($G$22-$G$21)^2),-$G$23))</f>
        <v>0</v>
      </c>
      <c r="Z24" s="58">
        <f>IF(($G$19-X24)&gt;$G$22,0,IF(($G$19-X24)&gt;$G$21,-$G$23*(1/3)*(3*(X24-$G$19+$G$22)^2/($G$22-$G$21)-(X24-$G$19+$G$22)^3/($G$22-$G$21)^2),-(1/3)*$G$23*(-3*$G$19+3*X24+2*$G$22+$G$21)))</f>
        <v>0</v>
      </c>
      <c r="AA24" s="57">
        <f>IF(($G$19-X24)&gt;$G$22,-(1/60)*($G$23/($G$17*$G$18))*((5*$G$21^2+10*$G$22*$G$21+15*$G$22^2)*($G$19-X24)-$G$21^3-2*$G$21^2*$G$22-3*$G$21*$G$22^2-4*$G$22^3),IF(($G$19-X24)&gt;$G$21,-(1/60)*($G$23/($G$17*$G$18))*(($G$19-X24-$G$21)^5/($G$22-$G$21)^2-10*($G$19-X24)^3+(10*$G$21+20*$G$22)*($G$19-X24)^2),-(0.166666666666667)*$G$23/($G$17*$G$18)*(($G$21+2*$G$22)*($G$19-X24)^2-($G$19-X24)^3)))</f>
        <v>-2.0339999999999997E-2</v>
      </c>
      <c r="AB24" s="55"/>
      <c r="AC24" s="56">
        <v>0.66666666666666663</v>
      </c>
      <c r="AD24" s="62">
        <f>INDEX(Y22:Y55,MATCH(AC24,X22:X55,0))</f>
        <v>0</v>
      </c>
      <c r="AE24" s="62">
        <f>INDEX(Z22:Z55,MATCH(AC24,X22:X55,0))</f>
        <v>0</v>
      </c>
      <c r="AF24" s="55">
        <f>INDEX(AA22:AA55,MATCH(AC24,X22:X55,0))</f>
        <v>-2.0339999999999997E-2</v>
      </c>
      <c r="AH24" s="61"/>
      <c r="AI24" s="60"/>
      <c r="AJ24" s="60"/>
    </row>
    <row r="25" spans="1:36" s="40" customFormat="1" ht="15" x14ac:dyDescent="0.35">
      <c r="A25" s="69" t="s">
        <v>48</v>
      </c>
      <c r="B25" s="40" t="str">
        <f ca="1">[1]!xlv(B26)</f>
        <v>W</v>
      </c>
      <c r="E25" s="69" t="s">
        <v>47</v>
      </c>
      <c r="F25" s="75" t="str">
        <f ca="1">[1]!xlv(F29)</f>
        <v xml:space="preserve"> - (1 / 60) × (W / (E × I)) × ((5 × a² + 10 × b × a + 15 × b²) × L - a³ - 2 × a² × b - 3 × a × b² - 4 × b³)</v>
      </c>
      <c r="G25" s="75"/>
      <c r="H25" s="75"/>
      <c r="I25" s="75"/>
      <c r="J25" s="75"/>
      <c r="K25" s="75"/>
      <c r="L25" s="41"/>
      <c r="M25" s="38"/>
      <c r="N25" s="38"/>
      <c r="O25" s="38"/>
      <c r="P25" s="38"/>
      <c r="Q25" s="38"/>
      <c r="R25" s="38"/>
      <c r="S25" s="38"/>
      <c r="T25" s="38"/>
      <c r="U25" s="37"/>
      <c r="V25" s="41"/>
      <c r="W25" s="50">
        <v>3</v>
      </c>
      <c r="X25" s="59">
        <f>G19/MAX(W22:W55)*W25</f>
        <v>1</v>
      </c>
      <c r="Y25" s="59">
        <f>IF(($G$19-X25)&gt;$G$22,0,IF(($G$19-X25)&gt;$G$21,-$G$23*(1-($G$19-$G$21-X25)^2/($G$22-$G$21)^2),-$G$23))</f>
        <v>0</v>
      </c>
      <c r="Z25" s="58">
        <f>IF(($G$19-X25)&gt;$G$22,0,IF(($G$19-X25)&gt;$G$21,-$G$23*(1/3)*(3*(X25-$G$19+$G$22)^2/($G$22-$G$21)-(X25-$G$19+$G$22)^3/($G$22-$G$21)^2),-(1/3)*$G$23*(-3*$G$19+3*X25+2*$G$22+$G$21)))</f>
        <v>0</v>
      </c>
      <c r="AA25" s="57">
        <f>IF(($G$19-X25)&gt;$G$22,-(1/60)*($G$23/($G$17*$G$18))*((5*$G$21^2+10*$G$22*$G$21+15*$G$22^2)*($G$19-X25)-$G$21^3-2*$G$21^2*$G$22-3*$G$21*$G$22^2-4*$G$22^3),IF(($G$19-X25)&gt;$G$21,-(1/60)*($G$23/($G$17*$G$18))*(($G$19-X25-$G$21)^5/($G$22-$G$21)^2-10*($G$19-X25)^3+(10*$G$21+20*$G$22)*($G$19-X25)^2),-(0.166666666666667)*$G$23/($G$17*$G$18)*(($G$21+2*$G$22)*($G$19-X25)^2-($G$19-X25)^3)))</f>
        <v>-1.9389999999999998E-2</v>
      </c>
      <c r="AB25" s="55"/>
      <c r="AC25" s="56">
        <v>1</v>
      </c>
      <c r="AD25" s="62">
        <f>INDEX(Y22:Y55,MATCH(AC25,X22:X55,0))</f>
        <v>0</v>
      </c>
      <c r="AE25" s="62">
        <f>INDEX(Z22:Z55,MATCH(AC25,X22:X55,0))</f>
        <v>0</v>
      </c>
      <c r="AF25" s="55">
        <f>INDEX(AA22:AA55,MATCH(AC25,X22:X55,0))</f>
        <v>-1.9389999999999998E-2</v>
      </c>
      <c r="AH25" s="61"/>
      <c r="AI25" s="60"/>
      <c r="AJ25" s="60"/>
    </row>
    <row r="26" spans="1:36" s="40" customFormat="1" ht="13.8" x14ac:dyDescent="0.3">
      <c r="A26" s="69" t="s">
        <v>43</v>
      </c>
      <c r="B26" s="67">
        <f>G23</f>
        <v>150</v>
      </c>
      <c r="C26" s="67" t="s">
        <v>41</v>
      </c>
      <c r="F26" s="75"/>
      <c r="G26" s="75"/>
      <c r="H26" s="75"/>
      <c r="I26" s="75"/>
      <c r="J26" s="75"/>
      <c r="K26" s="75"/>
      <c r="L26" s="41"/>
      <c r="M26" s="38"/>
      <c r="N26" s="38"/>
      <c r="O26" s="38"/>
      <c r="P26" s="38"/>
      <c r="Q26" s="38"/>
      <c r="R26" s="38"/>
      <c r="S26" s="38"/>
      <c r="T26" s="38"/>
      <c r="U26" s="37"/>
      <c r="V26" s="41"/>
      <c r="W26" s="50">
        <v>4</v>
      </c>
      <c r="X26" s="59">
        <f>G19/MAX(W22:W55)*W26</f>
        <v>1.3333333333333333</v>
      </c>
      <c r="Y26" s="59">
        <f>IF(($G$19-X26)&gt;$G$22,0,IF(($G$19-X26)&gt;$G$21,-$G$23*(1-($G$19-$G$21-X26)^2/($G$22-$G$21)^2),-$G$23))</f>
        <v>0</v>
      </c>
      <c r="Z26" s="58">
        <f>IF(($G$19-X26)&gt;$G$22,0,IF(($G$19-X26)&gt;$G$21,-$G$23*(1/3)*(3*(X26-$G$19+$G$22)^2/($G$22-$G$21)-(X26-$G$19+$G$22)^3/($G$22-$G$21)^2),-(1/3)*$G$23*(-3*$G$19+3*X26+2*$G$22+$G$21)))</f>
        <v>0</v>
      </c>
      <c r="AA26" s="57">
        <f>IF(($G$19-X26)&gt;$G$22,-(1/60)*($G$23/($G$17*$G$18))*((5*$G$21^2+10*$G$22*$G$21+15*$G$22^2)*($G$19-X26)-$G$21^3-2*$G$21^2*$G$22-3*$G$21*$G$22^2-4*$G$22^3),IF(($G$19-X26)&gt;$G$21,-(1/60)*($G$23/($G$17*$G$18))*(($G$19-X26-$G$21)^5/($G$22-$G$21)^2-10*($G$19-X26)^3+(10*$G$21+20*$G$22)*($G$19-X26)^2),-(0.166666666666667)*$G$23/($G$17*$G$18)*(($G$21+2*$G$22)*($G$19-X26)^2-($G$19-X26)^3)))</f>
        <v>-1.8439999999999998E-2</v>
      </c>
      <c r="AB26" s="55"/>
      <c r="AC26" s="56">
        <v>1.3333333333333333</v>
      </c>
      <c r="AD26" s="62">
        <f>INDEX(Y22:Y55,MATCH(AC26,X22:X55,0))</f>
        <v>0</v>
      </c>
      <c r="AE26" s="62">
        <f>INDEX(Z22:Z55,MATCH(AC26,X22:X55,0))</f>
        <v>0</v>
      </c>
      <c r="AF26" s="55">
        <f>INDEX(AA22:AA55,MATCH(AC26,X22:X55,0))</f>
        <v>-1.8439999999999998E-2</v>
      </c>
      <c r="AH26" s="61"/>
      <c r="AI26" s="60"/>
      <c r="AJ26" s="60"/>
    </row>
    <row r="27" spans="1:36" s="40" customFormat="1" ht="13.8" x14ac:dyDescent="0.3">
      <c r="E27" s="69" t="s">
        <v>43</v>
      </c>
      <c r="F27" s="74" t="str">
        <f>[1]!xln(F29)</f>
        <v xml:space="preserve"> - (1 / 60) × (150 / ((1E+07) × 0.1)) × ((5 × 2² + 10 × 8 × 2 + 15 × 8²) × 10 - 2³ - 2 × 2² × 8 - 3 × 2 × 8² - 4 × 8³)</v>
      </c>
      <c r="G27" s="74"/>
      <c r="H27" s="74"/>
      <c r="I27" s="74"/>
      <c r="J27" s="74"/>
      <c r="K27" s="74"/>
      <c r="L27" s="41"/>
      <c r="M27" s="38"/>
      <c r="N27" s="38"/>
      <c r="O27" s="38"/>
      <c r="P27" s="38"/>
      <c r="Q27" s="38"/>
      <c r="R27" s="38"/>
      <c r="S27" s="38"/>
      <c r="T27" s="38"/>
      <c r="U27" s="37"/>
      <c r="V27" s="41"/>
      <c r="W27" s="50">
        <v>5</v>
      </c>
      <c r="X27" s="59">
        <f>G19/MAX(W22:W55)*W27</f>
        <v>1.6666666666666665</v>
      </c>
      <c r="Y27" s="59">
        <f>IF(($G$19-X27)&gt;$G$22,0,IF(($G$19-X27)&gt;$G$21,-$G$23*(1-($G$19-$G$21-X27)^2/($G$22-$G$21)^2),-$G$23))</f>
        <v>0</v>
      </c>
      <c r="Z27" s="58">
        <f>IF(($G$19-X27)&gt;$G$22,0,IF(($G$19-X27)&gt;$G$21,-$G$23*(1/3)*(3*(X27-$G$19+$G$22)^2/($G$22-$G$21)-(X27-$G$19+$G$22)^3/($G$22-$G$21)^2),-(1/3)*$G$23*(-3*$G$19+3*X27+2*$G$22+$G$21)))</f>
        <v>0</v>
      </c>
      <c r="AA27" s="57">
        <f>IF(($G$19-X27)&gt;$G$22,-(1/60)*($G$23/($G$17*$G$18))*((5*$G$21^2+10*$G$22*$G$21+15*$G$22^2)*($G$19-X27)-$G$21^3-2*$G$21^2*$G$22-3*$G$21*$G$22^2-4*$G$22^3),IF(($G$19-X27)&gt;$G$21,-(1/60)*($G$23/($G$17*$G$18))*(($G$19-X27-$G$21)^5/($G$22-$G$21)^2-10*($G$19-X27)^3+(10*$G$21+20*$G$22)*($G$19-X27)^2),-(0.166666666666667)*$G$23/($G$17*$G$18)*(($G$21+2*$G$22)*($G$19-X27)^2-($G$19-X27)^3)))</f>
        <v>-1.7489999999999999E-2</v>
      </c>
      <c r="AB27" s="55"/>
      <c r="AC27" s="56">
        <v>1.6666666666666665</v>
      </c>
      <c r="AD27" s="62">
        <f>INDEX(Y22:Y55,MATCH(AC27,X22:X55,0))</f>
        <v>0</v>
      </c>
      <c r="AE27" s="62">
        <f>INDEX(Z22:Z55,MATCH(AC27,X22:X55,0))</f>
        <v>0</v>
      </c>
      <c r="AF27" s="55">
        <f>INDEX(AA22:AA55,MATCH(AC27,X22:X55,0))</f>
        <v>-1.7489999999999999E-2</v>
      </c>
      <c r="AH27" s="61"/>
      <c r="AI27" s="60"/>
      <c r="AJ27" s="60"/>
    </row>
    <row r="28" spans="1:36" s="40" customFormat="1" ht="15" x14ac:dyDescent="0.35">
      <c r="A28" s="69" t="s">
        <v>46</v>
      </c>
      <c r="B28" s="73" t="str">
        <f ca="1">[1]!xlv(B32)</f>
        <v xml:space="preserve"> - W / (12 × E × I) × (3 × a² + 2 × a × b + b²)</v>
      </c>
      <c r="C28" s="73"/>
      <c r="D28" s="73"/>
      <c r="F28" s="74"/>
      <c r="G28" s="74"/>
      <c r="H28" s="74"/>
      <c r="I28" s="74"/>
      <c r="J28" s="74"/>
      <c r="K28" s="74"/>
      <c r="L28" s="41"/>
      <c r="M28" s="38"/>
      <c r="N28" s="38"/>
      <c r="O28" s="38"/>
      <c r="P28" s="38"/>
      <c r="Q28" s="38"/>
      <c r="R28" s="38"/>
      <c r="S28" s="38"/>
      <c r="T28" s="38"/>
      <c r="U28" s="37"/>
      <c r="V28" s="41"/>
      <c r="W28" s="50">
        <v>6</v>
      </c>
      <c r="X28" s="59">
        <f>G19/MAX(W22:W55)*W28</f>
        <v>2</v>
      </c>
      <c r="Y28" s="59">
        <f>IF(($G$19-X28)&gt;$G$22,0,IF(($G$19-X28)&gt;$G$21,-$G$23*(1-($G$19-$G$21-X28)^2/($G$22-$G$21)^2),-$G$23))</f>
        <v>0</v>
      </c>
      <c r="Z28" s="58">
        <f>IF(($G$19-X28)&gt;$G$22,0,IF(($G$19-X28)&gt;$G$21,-$G$23*(1/3)*(3*(X28-$G$19+$G$22)^2/($G$22-$G$21)-(X28-$G$19+$G$22)^3/($G$22-$G$21)^2),-(1/3)*$G$23*(-3*$G$19+3*X28+2*$G$22+$G$21)))</f>
        <v>0</v>
      </c>
      <c r="AA28" s="57">
        <f>IF(($G$19-X28)&gt;$G$22,-(1/60)*($G$23/($G$17*$G$18))*((5*$G$21^2+10*$G$22*$G$21+15*$G$22^2)*($G$19-X28)-$G$21^3-2*$G$21^2*$G$22-3*$G$21*$G$22^2-4*$G$22^3),IF(($G$19-X28)&gt;$G$21,-(1/60)*($G$23/($G$17*$G$18))*(($G$19-X28-$G$21)^5/($G$22-$G$21)^2-10*($G$19-X28)^3+(10*$G$21+20*$G$22)*($G$19-X28)^2),-(0.166666666666667)*$G$23/($G$17*$G$18)*(($G$21+2*$G$22)*($G$19-X28)^2-($G$19-X28)^3)))</f>
        <v>-1.6539999999999999E-2</v>
      </c>
      <c r="AB28" s="55"/>
      <c r="AC28" s="56">
        <v>2</v>
      </c>
      <c r="AD28" s="62">
        <f>INDEX(Y22:Y55,MATCH(AC28,X22:X55,0))</f>
        <v>0</v>
      </c>
      <c r="AE28" s="62">
        <f>INDEX(Z22:Z55,MATCH(AC28,X22:X55,0))</f>
        <v>0</v>
      </c>
      <c r="AF28" s="55">
        <f>INDEX(AA22:AA55,MATCH(AC28,X22:X55,0))</f>
        <v>-1.6539999999999999E-2</v>
      </c>
      <c r="AH28" s="61"/>
      <c r="AI28" s="60"/>
      <c r="AJ28" s="60"/>
    </row>
    <row r="29" spans="1:36" s="40" customFormat="1" ht="13.8" x14ac:dyDescent="0.3">
      <c r="B29" s="73"/>
      <c r="C29" s="73"/>
      <c r="D29" s="73"/>
      <c r="E29" s="69" t="s">
        <v>43</v>
      </c>
      <c r="F29" s="71">
        <f>-(1/60)*($G$23/($G$17*$G$18))*((5*$G$21^2+10*$G$22*$G$21+15*$G$22^2)*$G$19-$G$21^3-2*$G$21^2*$G$22-3*$G$21*$G$22^2-4*$G$22^3)</f>
        <v>-2.2239999999999999E-2</v>
      </c>
      <c r="G29" s="67" t="s">
        <v>34</v>
      </c>
      <c r="L29" s="41"/>
      <c r="M29" s="38"/>
      <c r="N29" s="38"/>
      <c r="O29" s="38"/>
      <c r="P29" s="38"/>
      <c r="Q29" s="38"/>
      <c r="R29" s="38"/>
      <c r="S29" s="38"/>
      <c r="T29" s="38"/>
      <c r="U29" s="37"/>
      <c r="V29" s="41"/>
      <c r="W29" s="50">
        <v>7</v>
      </c>
      <c r="X29" s="59">
        <f>G19/MAX(W22:W55)*W29</f>
        <v>2.333333333333333</v>
      </c>
      <c r="Y29" s="59">
        <f>IF(($G$19-X29)&gt;$G$22,0,IF(($G$19-X29)&gt;$G$21,-$G$23*(1-($G$19-$G$21-X29)^2/($G$22-$G$21)^2),-$G$23))</f>
        <v>-16.203703703703692</v>
      </c>
      <c r="Z29" s="58">
        <f>IF(($G$19-X29)&gt;$G$22,0,IF(($G$19-X29)&gt;$G$21,-$G$23*(1/3)*(3*(X29-$G$19+$G$22)^2/($G$22-$G$21)-(X29-$G$19+$G$22)^3/($G$22-$G$21)^2),-(1/3)*$G$23*(-3*$G$19+3*X29+2*$G$22+$G$21)))</f>
        <v>-2.7263374485596659</v>
      </c>
      <c r="AA29" s="57">
        <f>IF(($G$19-X29)&gt;$G$22,-(1/60)*($G$23/($G$17*$G$18))*((5*$G$21^2+10*$G$22*$G$21+15*$G$22^2)*($G$19-X29)-$G$21^3-2*$G$21^2*$G$22-3*$G$21*$G$22^2-4*$G$22^3),IF(($G$19-X29)&gt;$G$21,-(1/60)*($G$23/($G$17*$G$18))*(($G$19-X29-$G$21)^5/($G$22-$G$21)^2-10*($G$19-X29)^3+(10*$G$21+20*$G$22)*($G$19-X29)^2),-(0.166666666666667)*$G$23/($G$17*$G$18)*(($G$21+2*$G$22)*($G$19-X29)^2-($G$19-X29)^3)))</f>
        <v>-1.5590025434385002E-2</v>
      </c>
      <c r="AB29" s="55"/>
      <c r="AC29" s="56">
        <v>2</v>
      </c>
      <c r="AD29" s="62">
        <f>INDEX(Y22:Y55,MATCH(AC29,X22:X55,0))</f>
        <v>0</v>
      </c>
      <c r="AE29" s="62">
        <f>INDEX(Z22:Z55,MATCH(AC29,X22:X55,0))</f>
        <v>0</v>
      </c>
      <c r="AF29" s="55">
        <f>INDEX(AA22:AA55,MATCH(AC29,X22:X55,0))</f>
        <v>-1.6539999999999999E-2</v>
      </c>
      <c r="AH29" s="61"/>
      <c r="AI29" s="60"/>
      <c r="AJ29" s="60"/>
    </row>
    <row r="30" spans="1:36" s="40" customFormat="1" ht="13.8" x14ac:dyDescent="0.3">
      <c r="A30" s="69" t="s">
        <v>43</v>
      </c>
      <c r="B30" s="72" t="str">
        <f>[1]!xln(B32)</f>
        <v xml:space="preserve"> - 150 / (12 × (1E+07) × 0.1) × (3 × 2² + 2 × 2 × 8 + 8²)</v>
      </c>
      <c r="C30" s="72"/>
      <c r="D30" s="72"/>
      <c r="L30" s="41"/>
      <c r="M30" s="38"/>
      <c r="N30" s="38"/>
      <c r="O30" s="38"/>
      <c r="P30" s="38"/>
      <c r="Q30" s="38"/>
      <c r="R30" s="38"/>
      <c r="S30" s="38"/>
      <c r="T30" s="38"/>
      <c r="U30" s="37"/>
      <c r="V30" s="41"/>
      <c r="W30" s="50">
        <v>8</v>
      </c>
      <c r="X30" s="59">
        <f>G19/MAX(W22:W55)*W30</f>
        <v>2.6666666666666665</v>
      </c>
      <c r="Y30" s="59">
        <f>IF(($G$19-X30)&gt;$G$22,0,IF(($G$19-X30)&gt;$G$21,-$G$23*(1-($G$19-$G$21-X30)^2/($G$22-$G$21)^2),-$G$23))</f>
        <v>-31.481481481481456</v>
      </c>
      <c r="Z30" s="58">
        <f>IF(($G$19-X30)&gt;$G$22,0,IF(($G$19-X30)&gt;$G$21,-$G$23*(1/3)*(3*(X30-$G$19+$G$22)^2/($G$22-$G$21)-(X30-$G$19+$G$22)^3/($G$22-$G$21)^2),-(1/3)*$G$23*(-3*$G$19+3*X30+2*$G$22+$G$21)))</f>
        <v>-10.699588477366234</v>
      </c>
      <c r="AA30" s="57">
        <f>IF(($G$19-X30)&gt;$G$22,-(1/60)*($G$23/($G$17*$G$18))*((5*$G$21^2+10*$G$22*$G$21+15*$G$22^2)*($G$19-X30)-$G$21^3-2*$G$21^2*$G$22-3*$G$21*$G$22^2-4*$G$22^3),IF(($G$19-X30)&gt;$G$21,-(1/60)*($G$23/($G$17*$G$18))*(($G$19-X30-$G$21)^5/($G$22-$G$21)^2-10*($G$19-X30)^3+(10*$G$21+20*$G$22)*($G$19-X30)^2),-(0.166666666666667)*$G$23/($G$17*$G$18)*(($G$21+2*$G$22)*($G$19-X30)^2-($G$19-X30)^3)))</f>
        <v>-1.464040237768633E-2</v>
      </c>
      <c r="AB30" s="55"/>
      <c r="AC30" s="56">
        <v>2.333333333333333</v>
      </c>
      <c r="AD30" s="62">
        <f>INDEX(Y22:Y55,MATCH(AC30,X22:X55,0))</f>
        <v>-16.203703703703692</v>
      </c>
      <c r="AE30" s="62">
        <f>INDEX(Z22:Z55,MATCH(AC30,X22:X55,0))</f>
        <v>-2.7263374485596659</v>
      </c>
      <c r="AF30" s="55">
        <f>INDEX(AA22:AA55,MATCH(AC30,X22:X55,0))</f>
        <v>-1.5590025434385002E-2</v>
      </c>
      <c r="AH30" s="61"/>
      <c r="AI30" s="60"/>
      <c r="AJ30" s="60"/>
    </row>
    <row r="31" spans="1:36" s="40" customFormat="1" ht="15" x14ac:dyDescent="0.35">
      <c r="B31" s="72"/>
      <c r="C31" s="72"/>
      <c r="D31" s="72"/>
      <c r="E31" s="69" t="s">
        <v>45</v>
      </c>
      <c r="F31" s="67" t="str">
        <f ca="1">[1]!xlv(F33)</f>
        <v xml:space="preserve"> - (1 / 3) × W × (2 × b + a)</v>
      </c>
      <c r="G31" s="67"/>
      <c r="L31" s="41"/>
      <c r="M31" s="38"/>
      <c r="N31" s="38"/>
      <c r="O31" s="38"/>
      <c r="P31" s="38"/>
      <c r="Q31" s="38"/>
      <c r="R31" s="38"/>
      <c r="S31" s="38"/>
      <c r="T31" s="38"/>
      <c r="U31" s="37"/>
      <c r="V31" s="41"/>
      <c r="W31" s="50">
        <v>9</v>
      </c>
      <c r="X31" s="59">
        <f>G19/MAX(W22:W55)*W31</f>
        <v>3</v>
      </c>
      <c r="Y31" s="59">
        <f>IF(($G$19-X31)&gt;$G$22,0,IF(($G$19-X31)&gt;$G$21,-$G$23*(1-($G$19-$G$21-X31)^2/($G$22-$G$21)^2),-$G$23))</f>
        <v>-45.833333333333336</v>
      </c>
      <c r="Z31" s="58">
        <f>IF(($G$19-X31)&gt;$G$22,0,IF(($G$19-X31)&gt;$G$21,-$G$23*(1/3)*(3*(X31-$G$19+$G$22)^2/($G$22-$G$21)-(X31-$G$19+$G$22)^3/($G$22-$G$21)^2),-(1/3)*$G$23*(-3*$G$19+3*X31+2*$G$22+$G$21)))</f>
        <v>-23.611111111111111</v>
      </c>
      <c r="AA31" s="57">
        <f>IF(($G$19-X31)&gt;$G$22,-(1/60)*($G$23/($G$17*$G$18))*((5*$G$21^2+10*$G$22*$G$21+15*$G$22^2)*($G$19-X31)-$G$21^3-2*$G$21^2*$G$22-3*$G$21*$G$22^2-4*$G$22^3),IF(($G$19-X31)&gt;$G$21,-(1/60)*($G$23/($G$17*$G$18))*(($G$19-X31-$G$21)^5/($G$22-$G$21)^2-10*($G$19-X31)^3+(10*$G$21+20*$G$22)*($G$19-X31)^2),-(0.166666666666667)*$G$23/($G$17*$G$18)*(($G$21+2*$G$22)*($G$19-X31)^2-($G$19-X31)^3)))</f>
        <v>-1.3692013888888887E-2</v>
      </c>
      <c r="AB31" s="55"/>
      <c r="AC31" s="56">
        <v>2.6666666666666665</v>
      </c>
      <c r="AD31" s="62">
        <f>INDEX(Y22:Y55,MATCH(AC31,X22:X55,0))</f>
        <v>-31.481481481481456</v>
      </c>
      <c r="AE31" s="62">
        <f>INDEX(Z22:Z55,MATCH(AC31,X22:X55,0))</f>
        <v>-10.699588477366234</v>
      </c>
      <c r="AF31" s="55">
        <f>INDEX(AA22:AA55,MATCH(AC31,X22:X55,0))</f>
        <v>-1.464040237768633E-2</v>
      </c>
      <c r="AH31" s="61"/>
      <c r="AI31" s="60"/>
      <c r="AJ31" s="60"/>
    </row>
    <row r="32" spans="1:36" s="40" customFormat="1" ht="13.8" x14ac:dyDescent="0.3">
      <c r="A32" s="69" t="s">
        <v>43</v>
      </c>
      <c r="B32" s="71">
        <f>-G23/(12*G17*G18)*(3*G21^2+2*G21*G22+G22^2)</f>
        <v>-1.3500000000000001E-3</v>
      </c>
      <c r="C32" s="67" t="s">
        <v>44</v>
      </c>
      <c r="E32" s="69" t="s">
        <v>43</v>
      </c>
      <c r="F32" s="40" t="str">
        <f>[1]!xln(F33)</f>
        <v xml:space="preserve"> - (1 / 3) × 150 × (2 × 8 + 2)</v>
      </c>
      <c r="G32" s="67"/>
      <c r="J32" s="70"/>
      <c r="L32" s="41"/>
      <c r="M32" s="38"/>
      <c r="N32" s="38"/>
      <c r="O32" s="38"/>
      <c r="P32" s="38"/>
      <c r="Q32" s="38"/>
      <c r="R32" s="38"/>
      <c r="S32" s="38"/>
      <c r="T32" s="38"/>
      <c r="U32" s="37"/>
      <c r="V32" s="41"/>
      <c r="W32" s="50">
        <v>10</v>
      </c>
      <c r="X32" s="59">
        <f>G19/MAX(W22:W55)*W32</f>
        <v>3.333333333333333</v>
      </c>
      <c r="Y32" s="59">
        <f>IF(($G$19-X32)&gt;$G$22,0,IF(($G$19-X32)&gt;$G$21,-$G$23*(1-($G$19-$G$21-X32)^2/($G$22-$G$21)^2),-$G$23))</f>
        <v>-59.259259259259238</v>
      </c>
      <c r="Z32" s="58">
        <f>IF(($G$19-X32)&gt;$G$22,0,IF(($G$19-X32)&gt;$G$21,-$G$23*(1/3)*(3*(X32-$G$19+$G$22)^2/($G$22-$G$21)-(X32-$G$19+$G$22)^3/($G$22-$G$21)^2),-(1/3)*$G$23*(-3*$G$19+3*X32+2*$G$22+$G$21)))</f>
        <v>-41.152263374485578</v>
      </c>
      <c r="AA32" s="57">
        <f>IF(($G$19-X32)&gt;$G$22,-(1/60)*($G$23/($G$17*$G$18))*((5*$G$21^2+10*$G$22*$G$21+15*$G$22^2)*($G$19-X32)-$G$21^3-2*$G$21^2*$G$22-3*$G$21*$G$22^2-4*$G$22^3),IF(($G$19-X32)&gt;$G$21,-(1/60)*($G$23/($G$17*$G$18))*(($G$19-X32-$G$21)^5/($G$22-$G$21)^2-10*($G$19-X32)^3+(10*$G$21+20*$G$22)*($G$19-X32)^2),-(0.166666666666667)*$G$23/($G$17*$G$18)*(($G$21+2*$G$22)*($G$19-X32)^2-($G$19-X32)^3)))</f>
        <v>-1.2746291723822589E-2</v>
      </c>
      <c r="AB32" s="55"/>
      <c r="AC32" s="56">
        <v>3</v>
      </c>
      <c r="AD32" s="62">
        <f>INDEX(Y22:Y55,MATCH(AC32,X22:X55,0))</f>
        <v>-45.833333333333336</v>
      </c>
      <c r="AE32" s="62">
        <f>INDEX(Z22:Z55,MATCH(AC32,X22:X55,0))</f>
        <v>-23.611111111111111</v>
      </c>
      <c r="AF32" s="55">
        <f>INDEX(AA22:AA55,MATCH(AC32,X22:X55,0))</f>
        <v>-1.3692013888888887E-2</v>
      </c>
      <c r="AH32" s="61"/>
      <c r="AI32" s="60"/>
      <c r="AJ32" s="60"/>
    </row>
    <row r="33" spans="5:36" s="40" customFormat="1" ht="13.8" x14ac:dyDescent="0.3">
      <c r="E33" s="69" t="s">
        <v>43</v>
      </c>
      <c r="F33" s="68">
        <f>-(1/3)*G23*(2*G22+G21)</f>
        <v>-900</v>
      </c>
      <c r="G33" s="67" t="s">
        <v>39</v>
      </c>
      <c r="L33" s="41"/>
      <c r="M33" s="38"/>
      <c r="N33" s="38"/>
      <c r="O33" s="38"/>
      <c r="P33" s="38"/>
      <c r="Q33" s="38"/>
      <c r="R33" s="38"/>
      <c r="S33" s="38"/>
      <c r="T33" s="38"/>
      <c r="U33" s="37"/>
      <c r="V33" s="41"/>
      <c r="W33" s="50">
        <v>11</v>
      </c>
      <c r="X33" s="59">
        <f>G19/MAX(W22:W55)*W33</f>
        <v>3.6666666666666665</v>
      </c>
      <c r="Y33" s="59">
        <f>IF(($G$19-X33)&gt;$G$22,0,IF(($G$19-X33)&gt;$G$21,-$G$23*(1-($G$19-$G$21-X33)^2/($G$22-$G$21)^2),-$G$23))</f>
        <v>-71.759259259259238</v>
      </c>
      <c r="Z33" s="58">
        <f>IF(($G$19-X33)&gt;$G$22,0,IF(($G$19-X33)&gt;$G$21,-$G$23*(1/3)*(3*(X33-$G$19+$G$22)^2/($G$22-$G$21)-(X33-$G$19+$G$22)^3/($G$22-$G$21)^2),-(1/3)*$G$23*(-3*$G$19+3*X33+2*$G$22+$G$21)))</f>
        <v>-63.014403292181044</v>
      </c>
      <c r="AA33" s="57">
        <f>IF(($G$19-X33)&gt;$G$22,-(1/60)*($G$23/($G$17*$G$18))*((5*$G$21^2+10*$G$22*$G$21+15*$G$22^2)*($G$19-X33)-$G$21^3-2*$G$21^2*$G$22-3*$G$21*$G$22^2-4*$G$22^3),IF(($G$19-X33)&gt;$G$21,-(1/60)*($G$23/($G$17*$G$18))*(($G$19-X33-$G$21)^5/($G$22-$G$21)^2-10*($G$19-X33)^3+(10*$G$21+20*$G$22)*($G$19-X33)^2),-(0.166666666666667)*$G$23/($G$17*$G$18)*(($G$21+2*$G$22)*($G$19-X33)^2-($G$19-X33)^3)))</f>
        <v>-1.1805182041609514E-2</v>
      </c>
      <c r="AB33" s="55"/>
      <c r="AC33" s="56">
        <v>3.333333333333333</v>
      </c>
      <c r="AD33" s="62">
        <f>INDEX(Y22:Y55,MATCH(AC33,X22:X55,0))</f>
        <v>-59.259259259259238</v>
      </c>
      <c r="AE33" s="62">
        <f>INDEX(Z22:Z55,MATCH(AC33,X22:X55,0))</f>
        <v>-41.152263374485578</v>
      </c>
      <c r="AF33" s="55">
        <f>INDEX(AA22:AA55,MATCH(AC33,X22:X55,0))</f>
        <v>-1.2746291723822589E-2</v>
      </c>
      <c r="AH33" s="61"/>
      <c r="AI33" s="60"/>
      <c r="AJ33" s="60"/>
    </row>
    <row r="34" spans="5:36" s="40" customFormat="1" ht="13.8" x14ac:dyDescent="0.3">
      <c r="I34" s="66" t="s">
        <v>42</v>
      </c>
      <c r="J34" s="41"/>
      <c r="K34" s="41"/>
      <c r="L34" s="41"/>
      <c r="M34" s="38"/>
      <c r="N34" s="38"/>
      <c r="O34" s="38"/>
      <c r="P34" s="38"/>
      <c r="Q34" s="38"/>
      <c r="R34" s="38"/>
      <c r="S34" s="38"/>
      <c r="T34" s="38"/>
      <c r="U34" s="37"/>
      <c r="V34" s="41"/>
      <c r="W34" s="50">
        <v>12</v>
      </c>
      <c r="X34" s="59">
        <f>G19/MAX(W22:W55)*W34</f>
        <v>4</v>
      </c>
      <c r="Y34" s="59">
        <f>IF(($G$19-X34)&gt;$G$22,0,IF(($G$19-X34)&gt;$G$21,-$G$23*(1-($G$19-$G$21-X34)^2/($G$22-$G$21)^2),-$G$23))</f>
        <v>-83.333333333333343</v>
      </c>
      <c r="Z34" s="58">
        <f>IF(($G$19-X34)&gt;$G$22,0,IF(($G$19-X34)&gt;$G$21,-$G$23*(1/3)*(3*(X34-$G$19+$G$22)^2/($G$22-$G$21)-(X34-$G$19+$G$22)^3/($G$22-$G$21)^2),-(1/3)*$G$23*(-3*$G$19+3*X34+2*$G$22+$G$21)))</f>
        <v>-88.888888888888886</v>
      </c>
      <c r="AA34" s="57">
        <f>IF(($G$19-X34)&gt;$G$22,-(1/60)*($G$23/($G$17*$G$18))*((5*$G$21^2+10*$G$22*$G$21+15*$G$22^2)*($G$19-X34)-$G$21^3-2*$G$21^2*$G$22-3*$G$21*$G$22^2-4*$G$22^3),IF(($G$19-X34)&gt;$G$21,-(1/60)*($G$23/($G$17*$G$18))*(($G$19-X34-$G$21)^5/($G$22-$G$21)^2-10*($G$19-X34)^3+(10*$G$21+20*$G$22)*($G$19-X34)^2),-(0.166666666666667)*$G$23/($G$17*$G$18)*(($G$21+2*$G$22)*($G$19-X34)^2-($G$19-X34)^3)))</f>
        <v>-1.0871111111111109E-2</v>
      </c>
      <c r="AB34" s="55"/>
      <c r="AC34" s="56">
        <v>3.6666666666666665</v>
      </c>
      <c r="AD34" s="62">
        <f>INDEX(Y22:Y55,MATCH(AC34,X22:X55,0))</f>
        <v>-71.759259259259238</v>
      </c>
      <c r="AE34" s="62">
        <f>INDEX(Z22:Z55,MATCH(AC34,X22:X55,0))</f>
        <v>-63.014403292181044</v>
      </c>
      <c r="AF34" s="55">
        <f>INDEX(AA22:AA55,MATCH(AC34,X22:X55,0))</f>
        <v>-1.1805182041609514E-2</v>
      </c>
      <c r="AH34" s="61"/>
      <c r="AI34" s="60"/>
      <c r="AJ34" s="60"/>
    </row>
    <row r="35" spans="5:36" s="40" customFormat="1" ht="13.8" x14ac:dyDescent="0.3">
      <c r="I35" s="54" t="s">
        <v>36</v>
      </c>
      <c r="J35" s="65">
        <f>MAX(AD21:AD54)</f>
        <v>0</v>
      </c>
      <c r="K35" s="41" t="s">
        <v>41</v>
      </c>
      <c r="L35" s="41"/>
      <c r="M35" s="38"/>
      <c r="N35" s="38"/>
      <c r="O35" s="38"/>
      <c r="P35" s="38"/>
      <c r="Q35" s="38"/>
      <c r="R35" s="38"/>
      <c r="S35" s="38"/>
      <c r="T35" s="38"/>
      <c r="U35" s="37"/>
      <c r="V35" s="41"/>
      <c r="W35" s="50">
        <v>13</v>
      </c>
      <c r="X35" s="59">
        <f>G19/MAX(W22:W55)*W35</f>
        <v>4.333333333333333</v>
      </c>
      <c r="Y35" s="59">
        <f>IF(($G$19-X35)&gt;$G$22,0,IF(($G$19-X35)&gt;$G$21,-$G$23*(1-($G$19-$G$21-X35)^2/($G$22-$G$21)^2),-$G$23))</f>
        <v>-93.981481481481467</v>
      </c>
      <c r="Z35" s="58">
        <f>IF(($G$19-X35)&gt;$G$22,0,IF(($G$19-X35)&gt;$G$21,-$G$23*(1/3)*(3*(X35-$G$19+$G$22)^2/($G$22-$G$21)-(X35-$G$19+$G$22)^3/($G$22-$G$21)^2),-(1/3)*$G$23*(-3*$G$19+3*X35+2*$G$22+$G$21)))</f>
        <v>-118.46707818930038</v>
      </c>
      <c r="AA35" s="57">
        <f>IF(($G$19-X35)&gt;$G$22,-(1/60)*($G$23/($G$17*$G$18))*((5*$G$21^2+10*$G$22*$G$21+15*$G$22^2)*($G$19-X35)-$G$21^3-2*$G$21^2*$G$22-3*$G$21*$G$22^2-4*$G$22^3),IF(($G$19-X35)&gt;$G$21,-(1/60)*($G$23/($G$17*$G$18))*(($G$19-X35-$G$21)^5/($G$22-$G$21)^2-10*($G$19-X35)^3+(10*$G$21+20*$G$22)*($G$19-X35)^2),-(0.166666666666667)*$G$23/($G$17*$G$18)*(($G$21+2*$G$22)*($G$19-X35)^2-($G$19-X35)^3)))</f>
        <v>-9.9469510173754005E-3</v>
      </c>
      <c r="AB35" s="55"/>
      <c r="AC35" s="56">
        <v>4</v>
      </c>
      <c r="AD35" s="62">
        <f>INDEX(Y22:Y55,MATCH(AC35,X22:X55,0))</f>
        <v>-83.333333333333343</v>
      </c>
      <c r="AE35" s="62">
        <f>INDEX(Z22:Z55,MATCH(AC35,X22:X55,0))</f>
        <v>-88.888888888888886</v>
      </c>
      <c r="AF35" s="55">
        <f>INDEX(AA22:AA55,MATCH(AC35,X22:X55,0))</f>
        <v>-1.0871111111111109E-2</v>
      </c>
      <c r="AH35" s="61"/>
      <c r="AI35" s="60"/>
      <c r="AJ35" s="60"/>
    </row>
    <row r="36" spans="5:36" s="40" customFormat="1" ht="13.8" x14ac:dyDescent="0.3">
      <c r="I36" s="54" t="s">
        <v>35</v>
      </c>
      <c r="J36" s="65">
        <f>MIN(AD21:AD54)</f>
        <v>-150</v>
      </c>
      <c r="K36" s="41" t="s">
        <v>41</v>
      </c>
      <c r="L36" s="41"/>
      <c r="M36" s="38"/>
      <c r="N36" s="38"/>
      <c r="O36" s="38"/>
      <c r="P36" s="38"/>
      <c r="Q36" s="38"/>
      <c r="R36" s="38"/>
      <c r="S36" s="38"/>
      <c r="T36" s="38"/>
      <c r="U36" s="37"/>
      <c r="V36" s="41"/>
      <c r="W36" s="50">
        <v>14</v>
      </c>
      <c r="X36" s="59">
        <f>G19/MAX(W22:W55)*W36</f>
        <v>4.6666666666666661</v>
      </c>
      <c r="Y36" s="59">
        <f>IF(($G$19-X36)&gt;$G$22,0,IF(($G$19-X36)&gt;$G$21,-$G$23*(1-($G$19-$G$21-X36)^2/($G$22-$G$21)^2),-$G$23))</f>
        <v>-103.7037037037037</v>
      </c>
      <c r="Z36" s="58">
        <f>IF(($G$19-X36)&gt;$G$22,0,IF(($G$19-X36)&gt;$G$21,-$G$23*(1/3)*(3*(X36-$G$19+$G$22)^2/($G$22-$G$21)-(X36-$G$19+$G$22)^3/($G$22-$G$21)^2),-(1/3)*$G$23*(-3*$G$19+3*X36+2*$G$22+$G$21)))</f>
        <v>-151.44032921810694</v>
      </c>
      <c r="AA36" s="57">
        <f>IF(($G$19-X36)&gt;$G$22,-(1/60)*($G$23/($G$17*$G$18))*((5*$G$21^2+10*$G$22*$G$21+15*$G$22^2)*($G$19-X36)-$G$21^3-2*$G$21^2*$G$22-3*$G$21*$G$22^2-4*$G$22^3),IF(($G$19-X36)&gt;$G$21,-(1/60)*($G$23/($G$17*$G$18))*(($G$19-X36-$G$21)^5/($G$22-$G$21)^2-10*($G$19-X36)^3+(10*$G$21+20*$G$22)*($G$19-X36)^2),-(0.166666666666667)*$G$23/($G$17*$G$18)*(($G$21+2*$G$22)*($G$19-X36)^2-($G$19-X36)^3)))</f>
        <v>-9.0359853680841342E-3</v>
      </c>
      <c r="AB36" s="55"/>
      <c r="AC36" s="56">
        <v>4.333333333333333</v>
      </c>
      <c r="AD36" s="62">
        <f>INDEX(Y22:Y55,MATCH(AC36,X22:X55,0))</f>
        <v>-93.981481481481467</v>
      </c>
      <c r="AE36" s="62">
        <f>INDEX(Z22:Z55,MATCH(AC36,X22:X55,0))</f>
        <v>-118.46707818930038</v>
      </c>
      <c r="AF36" s="55">
        <f>INDEX(AA22:AA55,MATCH(AC36,X22:X55,0))</f>
        <v>-9.9469510173754005E-3</v>
      </c>
      <c r="AH36" s="61"/>
      <c r="AI36" s="60"/>
      <c r="AJ36" s="60"/>
    </row>
    <row r="37" spans="5:36" s="40" customFormat="1" ht="13.8" x14ac:dyDescent="0.3">
      <c r="I37" s="52" t="s">
        <v>37</v>
      </c>
      <c r="J37" s="41"/>
      <c r="K37" s="41"/>
      <c r="L37" s="41"/>
      <c r="M37" s="38"/>
      <c r="N37" s="38"/>
      <c r="O37" s="38"/>
      <c r="P37" s="38"/>
      <c r="Q37" s="38"/>
      <c r="R37" s="38"/>
      <c r="S37" s="38"/>
      <c r="T37" s="38"/>
      <c r="U37" s="37"/>
      <c r="V37" s="41"/>
      <c r="W37" s="50">
        <v>15</v>
      </c>
      <c r="X37" s="59">
        <f>G19/MAX(W22:W55)*W37</f>
        <v>5</v>
      </c>
      <c r="Y37" s="59">
        <f>IF(($G$19-X37)&gt;$G$22,0,IF(($G$19-X37)&gt;$G$21,-$G$23*(1-($G$19-$G$21-X37)^2/($G$22-$G$21)^2),-$G$23))</f>
        <v>-112.5</v>
      </c>
      <c r="Z37" s="58">
        <f>IF(($G$19-X37)&gt;$G$22,0,IF(($G$19-X37)&gt;$G$21,-$G$23*(1/3)*(3*(X37-$G$19+$G$22)^2/($G$22-$G$21)-(X37-$G$19+$G$22)^3/($G$22-$G$21)^2),-(1/3)*$G$23*(-3*$G$19+3*X37+2*$G$22+$G$21)))</f>
        <v>-187.5</v>
      </c>
      <c r="AA37" s="57">
        <f>IF(($G$19-X37)&gt;$G$22,-(1/60)*($G$23/($G$17*$G$18))*((5*$G$21^2+10*$G$22*$G$21+15*$G$22^2)*($G$19-X37)-$G$21^3-2*$G$21^2*$G$22-3*$G$21*$G$22^2-4*$G$22^3),IF(($G$19-X37)&gt;$G$21,-(1/60)*($G$23/($G$17*$G$18))*(($G$19-X37-$G$21)^5/($G$22-$G$21)^2-10*($G$19-X37)^3+(10*$G$21+20*$G$22)*($G$19-X37)^2),-(0.166666666666667)*$G$23/($G$17*$G$18)*(($G$21+2*$G$22)*($G$19-X37)^2-($G$19-X37)^3)))</f>
        <v>-8.1418749999999998E-3</v>
      </c>
      <c r="AB37" s="55"/>
      <c r="AC37" s="56">
        <v>4.6666666666666661</v>
      </c>
      <c r="AD37" s="62">
        <f>INDEX(Y22:Y55,MATCH(AC37,X22:X55,0))</f>
        <v>-103.7037037037037</v>
      </c>
      <c r="AE37" s="62">
        <f>INDEX(Z22:Z55,MATCH(AC37,X22:X55,0))</f>
        <v>-151.44032921810694</v>
      </c>
      <c r="AF37" s="55">
        <f>INDEX(AA22:AA55,MATCH(AC37,X22:X55,0))</f>
        <v>-9.0359853680841342E-3</v>
      </c>
      <c r="AH37" s="61"/>
      <c r="AI37" s="60"/>
      <c r="AJ37" s="60"/>
    </row>
    <row r="38" spans="5:36" s="40" customFormat="1" ht="13.8" x14ac:dyDescent="0.3">
      <c r="I38" s="54" t="s">
        <v>36</v>
      </c>
      <c r="J38" s="53">
        <f>INDEX(AC21:AC54,MATCH(J35,AD21:AD54,0))</f>
        <v>0</v>
      </c>
      <c r="K38" s="41" t="s">
        <v>34</v>
      </c>
      <c r="L38" s="41"/>
      <c r="M38" s="38"/>
      <c r="N38" s="38"/>
      <c r="O38" s="38"/>
      <c r="P38" s="38"/>
      <c r="Q38" s="38"/>
      <c r="R38" s="38"/>
      <c r="S38" s="38"/>
      <c r="T38" s="38"/>
      <c r="U38" s="37"/>
      <c r="V38" s="41"/>
      <c r="W38" s="50">
        <v>16</v>
      </c>
      <c r="X38" s="59">
        <f>G19/MAX(W22:W55)*W38</f>
        <v>5.333333333333333</v>
      </c>
      <c r="Y38" s="59">
        <f>IF(($G$19-X38)&gt;$G$22,0,IF(($G$19-X38)&gt;$G$21,-$G$23*(1-($G$19-$G$21-X38)^2/($G$22-$G$21)^2),-$G$23))</f>
        <v>-120.37037037037037</v>
      </c>
      <c r="Z38" s="58">
        <f>IF(($G$19-X38)&gt;$G$22,0,IF(($G$19-X38)&gt;$G$21,-$G$23*(1/3)*(3*(X38-$G$19+$G$22)^2/($G$22-$G$21)-(X38-$G$19+$G$22)^3/($G$22-$G$21)^2),-(1/3)*$G$23*(-3*$G$19+3*X38+2*$G$22+$G$21)))</f>
        <v>-226.33744855967075</v>
      </c>
      <c r="AA38" s="57">
        <f>IF(($G$19-X38)&gt;$G$22,-(1/60)*($G$23/($G$17*$G$18))*((5*$G$21^2+10*$G$22*$G$21+15*$G$22^2)*($G$19-X38)-$G$21^3-2*$G$21^2*$G$22-3*$G$21*$G$22^2-4*$G$22^3),IF(($G$19-X38)&gt;$G$21,-(1/60)*($G$23/($G$17*$G$18))*(($G$19-X38-$G$21)^5/($G$22-$G$21)^2-10*($G$19-X38)^3+(10*$G$21+20*$G$22)*($G$19-X38)^2),-(0.166666666666667)*$G$23/($G$17*$G$18)*(($G$21+2*$G$22)*($G$19-X38)^2-($G$19-X38)^3)))</f>
        <v>-7.2686236854138091E-3</v>
      </c>
      <c r="AB38" s="55"/>
      <c r="AC38" s="56">
        <v>5</v>
      </c>
      <c r="AD38" s="62">
        <f>INDEX(Y22:Y55,MATCH(AC38,X22:X55,0))</f>
        <v>-112.5</v>
      </c>
      <c r="AE38" s="62">
        <f>INDEX(Z22:Z55,MATCH(AC38,X22:X55,0))</f>
        <v>-187.5</v>
      </c>
      <c r="AF38" s="55">
        <f>INDEX(AA22:AA55,MATCH(AC38,X22:X55,0))</f>
        <v>-8.1418749999999998E-3</v>
      </c>
      <c r="AH38" s="61"/>
      <c r="AI38" s="60"/>
      <c r="AJ38" s="60"/>
    </row>
    <row r="39" spans="5:36" s="40" customFormat="1" ht="13.8" x14ac:dyDescent="0.3">
      <c r="I39" s="54" t="s">
        <v>35</v>
      </c>
      <c r="J39" s="53">
        <f>INDEX(AC21:AC54,MATCH(J36,AD21:AD54,0))</f>
        <v>8</v>
      </c>
      <c r="K39" s="52" t="s">
        <v>34</v>
      </c>
      <c r="L39" s="41"/>
      <c r="M39" s="38"/>
      <c r="N39" s="38"/>
      <c r="O39" s="38"/>
      <c r="P39" s="38"/>
      <c r="Q39" s="38"/>
      <c r="R39" s="38"/>
      <c r="S39" s="38"/>
      <c r="T39" s="38"/>
      <c r="U39" s="37"/>
      <c r="V39" s="41"/>
      <c r="W39" s="50">
        <v>17</v>
      </c>
      <c r="X39" s="59">
        <f>G19/MAX(W22:W55)*W39</f>
        <v>5.6666666666666661</v>
      </c>
      <c r="Y39" s="59">
        <f>IF(($G$19-X39)&gt;$G$22,0,IF(($G$19-X39)&gt;$G$21,-$G$23*(1-($G$19-$G$21-X39)^2/($G$22-$G$21)^2),-$G$23))</f>
        <v>-127.3148148148148</v>
      </c>
      <c r="Z39" s="58">
        <f>IF(($G$19-X39)&gt;$G$22,0,IF(($G$19-X39)&gt;$G$21,-$G$23*(1/3)*(3*(X39-$G$19+$G$22)^2/($G$22-$G$21)-(X39-$G$19+$G$22)^3/($G$22-$G$21)^2),-(1/3)*$G$23*(-3*$G$19+3*X39+2*$G$22+$G$21)))</f>
        <v>-267.64403292181055</v>
      </c>
      <c r="AA39" s="57">
        <f>IF(($G$19-X39)&gt;$G$22,-(1/60)*($G$23/($G$17*$G$18))*((5*$G$21^2+10*$G$22*$G$21+15*$G$22^2)*($G$19-X39)-$G$21^3-2*$G$21^2*$G$22-3*$G$21*$G$22^2-4*$G$22^3),IF(($G$19-X39)&gt;$G$21,-(1/60)*($G$23/($G$17*$G$18))*(($G$19-X39-$G$21)^5/($G$22-$G$21)^2-10*($G$19-X39)^3+(10*$G$21+20*$G$22)*($G$19-X39)^2),-(0.166666666666667)*$G$23/($G$17*$G$18)*(($G$21+2*$G$22)*($G$19-X39)^2-($G$19-X39)^3)))</f>
        <v>-6.4205438385916786E-3</v>
      </c>
      <c r="AB39" s="55"/>
      <c r="AC39" s="56">
        <v>5.333333333333333</v>
      </c>
      <c r="AD39" s="62">
        <f>INDEX(Y22:Y55,MATCH(AC39,X22:X55,0))</f>
        <v>-120.37037037037037</v>
      </c>
      <c r="AE39" s="62">
        <f>INDEX(Z22:Z55,MATCH(AC39,X22:X55,0))</f>
        <v>-226.33744855967075</v>
      </c>
      <c r="AF39" s="55">
        <f>INDEX(AA22:AA55,MATCH(AC39,X22:X55,0))</f>
        <v>-7.2686236854138091E-3</v>
      </c>
      <c r="AH39" s="61"/>
      <c r="AI39" s="60"/>
      <c r="AJ39" s="60"/>
    </row>
    <row r="40" spans="5:36" s="40" customFormat="1" ht="13.8" x14ac:dyDescent="0.3">
      <c r="L40" s="41"/>
      <c r="M40" s="38"/>
      <c r="N40" s="38"/>
      <c r="O40" s="38"/>
      <c r="P40" s="38"/>
      <c r="Q40" s="38"/>
      <c r="R40" s="38"/>
      <c r="S40" s="38"/>
      <c r="T40" s="38"/>
      <c r="U40" s="37"/>
      <c r="V40" s="41"/>
      <c r="W40" s="50">
        <v>18</v>
      </c>
      <c r="X40" s="59">
        <f>G19/MAX(W22:W55)*W40</f>
        <v>6</v>
      </c>
      <c r="Y40" s="59">
        <f>IF(($G$19-X40)&gt;$G$22,0,IF(($G$19-X40)&gt;$G$21,-$G$23*(1-($G$19-$G$21-X40)^2/($G$22-$G$21)^2),-$G$23))</f>
        <v>-133.33333333333331</v>
      </c>
      <c r="Z40" s="58">
        <f>IF(($G$19-X40)&gt;$G$22,0,IF(($G$19-X40)&gt;$G$21,-$G$23*(1/3)*(3*(X40-$G$19+$G$22)^2/($G$22-$G$21)-(X40-$G$19+$G$22)^3/($G$22-$G$21)^2),-(1/3)*$G$23*(-3*$G$19+3*X40+2*$G$22+$G$21)))</f>
        <v>-311.11111111111114</v>
      </c>
      <c r="AA40" s="57">
        <f>IF(($G$19-X40)&gt;$G$22,-(1/60)*($G$23/($G$17*$G$18))*((5*$G$21^2+10*$G$22*$G$21+15*$G$22^2)*($G$19-X40)-$G$21^3-2*$G$21^2*$G$22-3*$G$21*$G$22^2-4*$G$22^3),IF(($G$19-X40)&gt;$G$21,-(1/60)*($G$23/($G$17*$G$18))*(($G$19-X40-$G$21)^5/($G$22-$G$21)^2-10*($G$19-X40)^3+(10*$G$21+20*$G$22)*($G$19-X40)^2),-(0.166666666666667)*$G$23/($G$17*$G$18)*(($G$21+2*$G$22)*($G$19-X40)^2-($G$19-X40)^3)))</f>
        <v>-5.6022222222222211E-3</v>
      </c>
      <c r="AB40" s="55"/>
      <c r="AC40" s="56">
        <v>5.6666666666666661</v>
      </c>
      <c r="AD40" s="62">
        <f>INDEX(Y22:Y55,MATCH(AC40,X22:X55,0))</f>
        <v>-127.3148148148148</v>
      </c>
      <c r="AE40" s="62">
        <f>INDEX(Z22:Z55,MATCH(AC40,X22:X55,0))</f>
        <v>-267.64403292181055</v>
      </c>
      <c r="AF40" s="55">
        <f>INDEX(AA22:AA55,MATCH(AC40,X22:X55,0))</f>
        <v>-6.4205438385916786E-3</v>
      </c>
      <c r="AH40" s="61"/>
      <c r="AI40" s="60"/>
      <c r="AJ40" s="60"/>
    </row>
    <row r="41" spans="5:36" s="40" customFormat="1" ht="13.8" x14ac:dyDescent="0.3">
      <c r="I41" s="64" t="s">
        <v>40</v>
      </c>
      <c r="J41" s="41"/>
      <c r="K41" s="41"/>
      <c r="L41" s="41"/>
      <c r="M41" s="38"/>
      <c r="N41" s="38"/>
      <c r="O41" s="38"/>
      <c r="P41" s="38"/>
      <c r="Q41" s="38"/>
      <c r="R41" s="38"/>
      <c r="S41" s="38"/>
      <c r="T41" s="38"/>
      <c r="U41" s="37"/>
      <c r="V41" s="41"/>
      <c r="W41" s="50">
        <v>19</v>
      </c>
      <c r="X41" s="59">
        <f>G19/MAX(W22:W55)*W41</f>
        <v>6.333333333333333</v>
      </c>
      <c r="Y41" s="59">
        <f>IF(($G$19-X41)&gt;$G$22,0,IF(($G$19-X41)&gt;$G$21,-$G$23*(1-($G$19-$G$21-X41)^2/($G$22-$G$21)^2),-$G$23))</f>
        <v>-138.42592592592592</v>
      </c>
      <c r="Z41" s="58">
        <f>IF(($G$19-X41)&gt;$G$22,0,IF(($G$19-X41)&gt;$G$21,-$G$23*(1/3)*(3*(X41-$G$19+$G$22)^2/($G$22-$G$21)-(X41-$G$19+$G$22)^3/($G$22-$G$21)^2),-(1/3)*$G$23*(-3*$G$19+3*X41+2*$G$22+$G$21)))</f>
        <v>-356.4300411522633</v>
      </c>
      <c r="AA41" s="57">
        <f>IF(($G$19-X41)&gt;$G$22,-(1/60)*($G$23/($G$17*$G$18))*((5*$G$21^2+10*$G$22*$G$21+15*$G$22^2)*($G$19-X41)-$G$21^3-2*$G$21^2*$G$22-3*$G$21*$G$22^2-4*$G$22^3),IF(($G$19-X41)&gt;$G$21,-(1/60)*($G$23/($G$17*$G$18))*(($G$19-X41-$G$21)^5/($G$22-$G$21)^2-10*($G$19-X41)^3+(10*$G$21+20*$G$22)*($G$19-X41)^2),-(0.166666666666667)*$G$23/($G$17*$G$18)*(($G$21+2*$G$22)*($G$19-X41)^2-($G$19-X41)^3)))</f>
        <v>-4.8184856538637409E-3</v>
      </c>
      <c r="AB41" s="45"/>
      <c r="AC41" s="56">
        <v>6</v>
      </c>
      <c r="AD41" s="62">
        <f>INDEX(Y22:Y55,MATCH(AC41,X22:X55,0))</f>
        <v>-133.33333333333331</v>
      </c>
      <c r="AE41" s="62">
        <f>INDEX(Z22:Z55,MATCH(AC41,X22:X55,0))</f>
        <v>-311.11111111111114</v>
      </c>
      <c r="AF41" s="55">
        <f>INDEX(AA22:AA55,MATCH(AC41,X22:X55,0))</f>
        <v>-5.6022222222222211E-3</v>
      </c>
      <c r="AH41" s="61"/>
      <c r="AI41" s="60"/>
      <c r="AJ41" s="60"/>
    </row>
    <row r="42" spans="5:36" s="40" customFormat="1" ht="13.8" x14ac:dyDescent="0.3">
      <c r="I42" s="54" t="s">
        <v>36</v>
      </c>
      <c r="J42" s="65">
        <f>MAX(AE21:AE54)</f>
        <v>0</v>
      </c>
      <c r="K42" s="41" t="s">
        <v>39</v>
      </c>
      <c r="L42" s="41"/>
      <c r="M42" s="38"/>
      <c r="N42" s="38"/>
      <c r="O42" s="38"/>
      <c r="P42" s="38"/>
      <c r="Q42" s="38"/>
      <c r="R42" s="38"/>
      <c r="S42" s="38"/>
      <c r="T42" s="38"/>
      <c r="U42" s="37"/>
      <c r="V42" s="41"/>
      <c r="W42" s="50">
        <v>20</v>
      </c>
      <c r="X42" s="59">
        <f>G19/MAX(W22:W55)*W42</f>
        <v>6.6666666666666661</v>
      </c>
      <c r="Y42" s="59">
        <f>IF(($G$19-X42)&gt;$G$22,0,IF(($G$19-X42)&gt;$G$21,-$G$23*(1-($G$19-$G$21-X42)^2/($G$22-$G$21)^2),-$G$23))</f>
        <v>-142.59259259259258</v>
      </c>
      <c r="Z42" s="58">
        <f>IF(($G$19-X42)&gt;$G$22,0,IF(($G$19-X42)&gt;$G$21,-$G$23*(1/3)*(3*(X42-$G$19+$G$22)^2/($G$22-$G$21)-(X42-$G$19+$G$22)^3/($G$22-$G$21)^2),-(1/3)*$G$23*(-3*$G$19+3*X42+2*$G$22+$G$21)))</f>
        <v>-403.29218106995876</v>
      </c>
      <c r="AA42" s="57">
        <f>IF(($G$19-X42)&gt;$G$22,-(1/60)*($G$23/($G$17*$G$18))*((5*$G$21^2+10*$G$22*$G$21+15*$G$22^2)*($G$19-X42)-$G$21^3-2*$G$21^2*$G$22-3*$G$21*$G$22^2-4*$G$22^3),IF(($G$19-X42)&gt;$G$21,-(1/60)*($G$23/($G$17*$G$18))*(($G$19-X42-$G$21)^5/($G$22-$G$21)^2-10*($G$19-X42)^3+(10*$G$21+20*$G$22)*($G$19-X42)^2),-(0.166666666666667)*$G$23/($G$17*$G$18)*(($G$21+2*$G$22)*($G$19-X42)^2-($G$19-X42)^3)))</f>
        <v>-4.074366712391404E-3</v>
      </c>
      <c r="AB42" s="45"/>
      <c r="AC42" s="56">
        <v>6.333333333333333</v>
      </c>
      <c r="AD42" s="62">
        <f>INDEX(Y22:Y55,MATCH(AC42,X22:X55,0))</f>
        <v>-138.42592592592592</v>
      </c>
      <c r="AE42" s="62">
        <f>INDEX(Z22:Z55,MATCH(AC42,X22:X55,0))</f>
        <v>-356.4300411522633</v>
      </c>
      <c r="AF42" s="55">
        <f>INDEX(AA22:AA55,MATCH(AC42,X22:X55,0))</f>
        <v>-4.8184856538637409E-3</v>
      </c>
      <c r="AH42" s="61"/>
      <c r="AI42" s="60"/>
      <c r="AJ42" s="60"/>
    </row>
    <row r="43" spans="5:36" s="40" customFormat="1" ht="13.8" x14ac:dyDescent="0.3">
      <c r="I43" s="54" t="s">
        <v>35</v>
      </c>
      <c r="J43" s="65">
        <f>MIN(AE21:AE54)</f>
        <v>-900</v>
      </c>
      <c r="K43" s="41" t="s">
        <v>39</v>
      </c>
      <c r="L43" s="41"/>
      <c r="M43" s="38"/>
      <c r="N43" s="38"/>
      <c r="O43" s="38"/>
      <c r="P43" s="38"/>
      <c r="Q43" s="38"/>
      <c r="R43" s="38"/>
      <c r="S43" s="38"/>
      <c r="T43" s="38"/>
      <c r="U43" s="37"/>
      <c r="V43" s="41"/>
      <c r="W43" s="50">
        <v>21</v>
      </c>
      <c r="X43" s="59">
        <f>G19/MAX(W22:W55)*W43</f>
        <v>7</v>
      </c>
      <c r="Y43" s="59">
        <f>IF(($G$19-X43)&gt;$G$22,0,IF(($G$19-X43)&gt;$G$21,-$G$23*(1-($G$19-$G$21-X43)^2/($G$22-$G$21)^2),-$G$23))</f>
        <v>-145.83333333333334</v>
      </c>
      <c r="Z43" s="58">
        <f>IF(($G$19-X43)&gt;$G$22,0,IF(($G$19-X43)&gt;$G$21,-$G$23*(1/3)*(3*(X43-$G$19+$G$22)^2/($G$22-$G$21)-(X43-$G$19+$G$22)^3/($G$22-$G$21)^2),-(1/3)*$G$23*(-3*$G$19+3*X43+2*$G$22+$G$21)))</f>
        <v>-451.38888888888891</v>
      </c>
      <c r="AA43" s="57">
        <f>IF(($G$19-X43)&gt;$G$22,-(1/60)*($G$23/($G$17*$G$18))*((5*$G$21^2+10*$G$22*$G$21+15*$G$22^2)*($G$19-X43)-$G$21^3-2*$G$21^2*$G$22-3*$G$21*$G$22^2-4*$G$22^3),IF(($G$19-X43)&gt;$G$21,-(1/60)*($G$23/($G$17*$G$18))*(($G$19-X43-$G$21)^5/($G$22-$G$21)^2-10*($G$19-X43)^3+(10*$G$21+20*$G$22)*($G$19-X43)^2),-(0.166666666666667)*$G$23/($G$17*$G$18)*(($G$21+2*$G$22)*($G$19-X43)^2-($G$19-X43)^3)))</f>
        <v>-3.3750694444444444E-3</v>
      </c>
      <c r="AB43" s="45"/>
      <c r="AC43" s="56">
        <v>6.6666666666666661</v>
      </c>
      <c r="AD43" s="62">
        <f>INDEX(Y22:Y55,MATCH(AC43,X22:X55,0))</f>
        <v>-142.59259259259258</v>
      </c>
      <c r="AE43" s="62">
        <f>INDEX(Z22:Z55,MATCH(AC43,X22:X55,0))</f>
        <v>-403.29218106995876</v>
      </c>
      <c r="AF43" s="55">
        <f>INDEX(AA22:AA55,MATCH(AC43,X22:X55,0))</f>
        <v>-4.074366712391404E-3</v>
      </c>
      <c r="AH43" s="61"/>
      <c r="AI43" s="60"/>
      <c r="AJ43" s="60"/>
    </row>
    <row r="44" spans="5:36" s="40" customFormat="1" ht="13.8" x14ac:dyDescent="0.3">
      <c r="I44" s="52" t="s">
        <v>37</v>
      </c>
      <c r="J44" s="41"/>
      <c r="K44" s="41"/>
      <c r="L44" s="41"/>
      <c r="M44" s="38"/>
      <c r="N44" s="38"/>
      <c r="O44" s="38"/>
      <c r="P44" s="38"/>
      <c r="Q44" s="38"/>
      <c r="R44" s="38"/>
      <c r="S44" s="38"/>
      <c r="T44" s="38"/>
      <c r="U44" s="37"/>
      <c r="V44" s="41"/>
      <c r="W44" s="50">
        <v>22</v>
      </c>
      <c r="X44" s="59">
        <f>G19/MAX(W22:W55)*W44</f>
        <v>7.333333333333333</v>
      </c>
      <c r="Y44" s="59">
        <f>IF(($G$19-X44)&gt;$G$22,0,IF(($G$19-X44)&gt;$G$21,-$G$23*(1-($G$19-$G$21-X44)^2/($G$22-$G$21)^2),-$G$23))</f>
        <v>-148.14814814814815</v>
      </c>
      <c r="Z44" s="58">
        <f>IF(($G$19-X44)&gt;$G$22,0,IF(($G$19-X44)&gt;$G$21,-$G$23*(1/3)*(3*(X44-$G$19+$G$22)^2/($G$22-$G$21)-(X44-$G$19+$G$22)^3/($G$22-$G$21)^2),-(1/3)*$G$23*(-3*$G$19+3*X44+2*$G$22+$G$21)))</f>
        <v>-500.41152263374488</v>
      </c>
      <c r="AA44" s="57">
        <f>IF(($G$19-X44)&gt;$G$22,-(1/60)*($G$23/($G$17*$G$18))*((5*$G$21^2+10*$G$22*$G$21+15*$G$22^2)*($G$19-X44)-$G$21^3-2*$G$21^2*$G$22-3*$G$21*$G$22^2-4*$G$22^3),IF(($G$19-X44)&gt;$G$21,-(1/60)*($G$23/($G$17*$G$18))*(($G$19-X44-$G$21)^5/($G$22-$G$21)^2-10*($G$19-X44)^3+(10*$G$21+20*$G$22)*($G$19-X44)^2),-(0.166666666666667)*$G$23/($G$17*$G$18)*(($G$21+2*$G$22)*($G$19-X44)^2-($G$19-X44)^3)))</f>
        <v>-2.7259350708733424E-3</v>
      </c>
      <c r="AB44" s="45"/>
      <c r="AC44" s="56">
        <v>7</v>
      </c>
      <c r="AD44" s="62">
        <f>INDEX(Y22:Y55,MATCH(AC44,X22:X55,0))</f>
        <v>-145.83333333333334</v>
      </c>
      <c r="AE44" s="62">
        <f>INDEX(Z22:Z55,MATCH(AC44,X22:X55,0))</f>
        <v>-451.38888888888891</v>
      </c>
      <c r="AF44" s="55">
        <f>INDEX(AA22:AA55,MATCH(AC44,X22:X55,0))</f>
        <v>-3.3750694444444444E-3</v>
      </c>
      <c r="AH44" s="61"/>
      <c r="AI44" s="60"/>
      <c r="AJ44" s="60"/>
    </row>
    <row r="45" spans="5:36" s="40" customFormat="1" ht="13.8" x14ac:dyDescent="0.3">
      <c r="I45" s="54" t="s">
        <v>36</v>
      </c>
      <c r="J45" s="53">
        <f>INDEX(AC21:AC54,MATCH(J42,AE21:AE54,0))</f>
        <v>0</v>
      </c>
      <c r="K45" s="41" t="s">
        <v>34</v>
      </c>
      <c r="L45" s="41"/>
      <c r="M45" s="38"/>
      <c r="N45" s="38"/>
      <c r="O45" s="38"/>
      <c r="P45" s="38"/>
      <c r="Q45" s="38"/>
      <c r="R45" s="38"/>
      <c r="S45" s="38"/>
      <c r="T45" s="38"/>
      <c r="U45" s="37"/>
      <c r="V45" s="41"/>
      <c r="W45" s="50">
        <v>23</v>
      </c>
      <c r="X45" s="59">
        <f>G19/MAX(W22:W55)*W45</f>
        <v>7.6666666666666661</v>
      </c>
      <c r="Y45" s="59">
        <f>IF(($G$19-X45)&gt;$G$22,0,IF(($G$19-X45)&gt;$G$21,-$G$23*(1-($G$19-$G$21-X45)^2/($G$22-$G$21)^2),-$G$23))</f>
        <v>-149.53703703703704</v>
      </c>
      <c r="Z45" s="58">
        <f>IF(($G$19-X45)&gt;$G$22,0,IF(($G$19-X45)&gt;$G$21,-$G$23*(1/3)*(3*(X45-$G$19+$G$22)^2/($G$22-$G$21)-(X45-$G$19+$G$22)^3/($G$22-$G$21)^2),-(1/3)*$G$23*(-3*$G$19+3*X45+2*$G$22+$G$21)))</f>
        <v>-550.05144032921805</v>
      </c>
      <c r="AA45" s="57">
        <f>IF(($G$19-X45)&gt;$G$22,-(1/60)*($G$23/($G$17*$G$18))*((5*$G$21^2+10*$G$22*$G$21+15*$G$22^2)*($G$19-X45)-$G$21^3-2*$G$21^2*$G$22-3*$G$21*$G$22^2-4*$G$22^3),IF(($G$19-X45)&gt;$G$21,-(1/60)*($G$23/($G$17*$G$18))*(($G$19-X45-$G$21)^5/($G$22-$G$21)^2-10*($G$19-X45)^3+(10*$G$21+20*$G$22)*($G$19-X45)^2),-(0.166666666666667)*$G$23/($G$17*$G$18)*(($G$21+2*$G$22)*($G$19-X45)^2-($G$19-X45)^3)))</f>
        <v>-2.1324076931870154E-3</v>
      </c>
      <c r="AB45" s="45"/>
      <c r="AC45" s="56">
        <v>7.333333333333333</v>
      </c>
      <c r="AD45" s="62">
        <f>INDEX(Y22:Y55,MATCH(AC45,X22:X55,0))</f>
        <v>-148.14814814814815</v>
      </c>
      <c r="AE45" s="62">
        <f>INDEX(Z22:Z55,MATCH(AC45,X22:X55,0))</f>
        <v>-500.41152263374488</v>
      </c>
      <c r="AF45" s="55">
        <f>INDEX(AA22:AA55,MATCH(AC45,X22:X55,0))</f>
        <v>-2.7259350708733424E-3</v>
      </c>
      <c r="AH45" s="61"/>
      <c r="AI45" s="60"/>
      <c r="AJ45" s="60"/>
    </row>
    <row r="46" spans="5:36" s="40" customFormat="1" ht="13.8" x14ac:dyDescent="0.3">
      <c r="I46" s="54" t="s">
        <v>35</v>
      </c>
      <c r="J46" s="53">
        <f>INDEX(AC21:AC54,MATCH(J43,AE21:AE54,0))</f>
        <v>10</v>
      </c>
      <c r="K46" s="52" t="s">
        <v>34</v>
      </c>
      <c r="L46" s="41"/>
      <c r="M46" s="38"/>
      <c r="N46" s="38"/>
      <c r="O46" s="38"/>
      <c r="P46" s="38"/>
      <c r="Q46" s="38"/>
      <c r="R46" s="38"/>
      <c r="S46" s="38"/>
      <c r="T46" s="38"/>
      <c r="U46" s="37"/>
      <c r="V46" s="41"/>
      <c r="W46" s="50">
        <v>24</v>
      </c>
      <c r="X46" s="59">
        <f>G19/MAX(W22:W55)*W46</f>
        <v>8</v>
      </c>
      <c r="Y46" s="59">
        <f>IF(($G$19-X46)&gt;$G$22,0,IF(($G$19-X46)&gt;$G$21,-$G$23*(1-($G$19-$G$21-X46)^2/($G$22-$G$21)^2),-$G$23))</f>
        <v>-150</v>
      </c>
      <c r="Z46" s="58">
        <f>IF(($G$19-X46)&gt;$G$22,0,IF(($G$19-X46)&gt;$G$21,-$G$23*(1/3)*(3*(X46-$G$19+$G$22)^2/($G$22-$G$21)-(X46-$G$19+$G$22)^3/($G$22-$G$21)^2),-(1/3)*$G$23*(-3*$G$19+3*X46+2*$G$22+$G$21)))</f>
        <v>-600</v>
      </c>
      <c r="AA46" s="57">
        <f>IF(($G$19-X46)&gt;$G$22,-(1/60)*($G$23/($G$17*$G$18))*((5*$G$21^2+10*$G$22*$G$21+15*$G$22^2)*($G$19-X46)-$G$21^3-2*$G$21^2*$G$22-3*$G$21*$G$22^2-4*$G$22^3),IF(($G$19-X46)&gt;$G$21,-(1/60)*($G$23/($G$17*$G$18))*(($G$19-X46-$G$21)^5/($G$22-$G$21)^2-10*($G$19-X46)^3+(10*$G$21+20*$G$22)*($G$19-X46)^2),-(0.166666666666667)*$G$23/($G$17*$G$18)*(($G$21+2*$G$22)*($G$19-X46)^2-($G$19-X46)^3)))</f>
        <v>-1.6000000000000031E-3</v>
      </c>
      <c r="AB46" s="45"/>
      <c r="AC46" s="56">
        <v>7.6666666666666661</v>
      </c>
      <c r="AD46" s="62">
        <f>INDEX(Y22:Y55,MATCH(AC46,X22:X55,0))</f>
        <v>-149.53703703703704</v>
      </c>
      <c r="AE46" s="62">
        <f>INDEX(Z22:Z55,MATCH(AC46,X22:X55,0))</f>
        <v>-550.05144032921805</v>
      </c>
      <c r="AF46" s="55">
        <f>INDEX(AA22:AA55,MATCH(AC46,X22:X55,0))</f>
        <v>-2.1324076931870154E-3</v>
      </c>
      <c r="AH46" s="61"/>
      <c r="AI46" s="60"/>
      <c r="AJ46" s="60"/>
    </row>
    <row r="47" spans="5:36" s="40" customFormat="1" ht="13.8" x14ac:dyDescent="0.3">
      <c r="L47" s="41"/>
      <c r="M47" s="38"/>
      <c r="N47" s="38"/>
      <c r="O47" s="38"/>
      <c r="P47" s="38"/>
      <c r="Q47" s="38"/>
      <c r="R47" s="38"/>
      <c r="S47" s="38"/>
      <c r="T47" s="38"/>
      <c r="U47" s="37"/>
      <c r="V47" s="41"/>
      <c r="W47" s="50">
        <v>25</v>
      </c>
      <c r="X47" s="59">
        <f>G19/MAX(W22:W55)*W47</f>
        <v>8.3333333333333321</v>
      </c>
      <c r="Y47" s="59">
        <f>IF(($G$19-X47)&gt;$G$22,0,IF(($G$19-X47)&gt;$G$21,-$G$23*(1-($G$19-$G$21-X47)^2/($G$22-$G$21)^2),-$G$23))</f>
        <v>-150</v>
      </c>
      <c r="Z47" s="58">
        <f>IF(($G$19-X47)&gt;$G$22,0,IF(($G$19-X47)&gt;$G$21,-$G$23*(1/3)*(3*(X47-$G$19+$G$22)^2/($G$22-$G$21)-(X47-$G$19+$G$22)^3/($G$22-$G$21)^2),-(1/3)*$G$23*(-3*$G$19+3*X47+2*$G$22+$G$21)))</f>
        <v>-649.99999999999977</v>
      </c>
      <c r="AA47" s="57">
        <f>IF(($G$19-X47)&gt;$G$22,-(1/60)*($G$23/($G$17*$G$18))*((5*$G$21^2+10*$G$22*$G$21+15*$G$22^2)*($G$19-X47)-$G$21^3-2*$G$21^2*$G$22-3*$G$21*$G$22^2-4*$G$22^3),IF(($G$19-X47)&gt;$G$21,-(1/60)*($G$23/($G$17*$G$18))*(($G$19-X47-$G$21)^5/($G$22-$G$21)^2-10*($G$19-X47)^3+(10*$G$21+20*$G$22)*($G$19-X47)^2),-(0.166666666666667)*$G$23/($G$17*$G$18)*(($G$21+2*$G$22)*($G$19-X47)^2-($G$19-X47)^3)))</f>
        <v>-1.134259259259263E-3</v>
      </c>
      <c r="AB47" s="45"/>
      <c r="AC47" s="56">
        <v>8</v>
      </c>
      <c r="AD47" s="62">
        <f>INDEX(Y22:Y55,MATCH(AC47,X22:X55,0))</f>
        <v>-150</v>
      </c>
      <c r="AE47" s="62">
        <f>INDEX(Z22:Z55,MATCH(AC47,X22:X55,0))</f>
        <v>-600</v>
      </c>
      <c r="AF47" s="55">
        <f>INDEX(AA22:AA55,MATCH(AC47,X22:X55,0))</f>
        <v>-1.6000000000000031E-3</v>
      </c>
      <c r="AH47" s="61"/>
      <c r="AI47" s="60"/>
      <c r="AJ47" s="60"/>
    </row>
    <row r="48" spans="5:36" s="40" customFormat="1" ht="13.8" x14ac:dyDescent="0.3">
      <c r="L48" s="41"/>
      <c r="M48" s="38"/>
      <c r="N48" s="38"/>
      <c r="O48" s="38"/>
      <c r="P48" s="38"/>
      <c r="Q48" s="38"/>
      <c r="R48" s="38"/>
      <c r="S48" s="38"/>
      <c r="T48" s="38"/>
      <c r="U48" s="37"/>
      <c r="V48" s="41"/>
      <c r="W48" s="50">
        <v>26</v>
      </c>
      <c r="X48" s="59">
        <f>G19/MAX(W22:W55)*W48</f>
        <v>8.6666666666666661</v>
      </c>
      <c r="Y48" s="59">
        <f>IF(($G$19-X48)&gt;$G$22,0,IF(($G$19-X48)&gt;$G$21,-$G$23*(1-($G$19-$G$21-X48)^2/($G$22-$G$21)^2),-$G$23))</f>
        <v>-150</v>
      </c>
      <c r="Z48" s="58">
        <f>IF(($G$19-X48)&gt;$G$22,0,IF(($G$19-X48)&gt;$G$21,-$G$23*(1/3)*(3*(X48-$G$19+$G$22)^2/($G$22-$G$21)-(X48-$G$19+$G$22)^3/($G$22-$G$21)^2),-(1/3)*$G$23*(-3*$G$19+3*X48+2*$G$22+$G$21)))</f>
        <v>-700</v>
      </c>
      <c r="AA48" s="57">
        <f>IF(($G$19-X48)&gt;$G$22,-(1/60)*($G$23/($G$17*$G$18))*((5*$G$21^2+10*$G$22*$G$21+15*$G$22^2)*($G$19-X48)-$G$21^3-2*$G$21^2*$G$22-3*$G$21*$G$22^2-4*$G$22^3),IF(($G$19-X48)&gt;$G$21,-(1/60)*($G$23/($G$17*$G$18))*(($G$19-X48-$G$21)^5/($G$22-$G$21)^2-10*($G$19-X48)^3+(10*$G$21+20*$G$22)*($G$19-X48)^2),-(0.166666666666667)*$G$23/($G$17*$G$18)*(($G$21+2*$G$22)*($G$19-X48)^2-($G$19-X48)^3)))</f>
        <v>-7.4074074074074276E-4</v>
      </c>
      <c r="AB48" s="45"/>
      <c r="AC48" s="56">
        <v>8</v>
      </c>
      <c r="AD48" s="62">
        <f>INDEX(Y22:Y55,MATCH(AC48,X22:X55,0))</f>
        <v>-150</v>
      </c>
      <c r="AE48" s="62">
        <f>INDEX(Z22:Z55,MATCH(AC48,X22:X55,0))</f>
        <v>-600</v>
      </c>
      <c r="AF48" s="55">
        <f>INDEX(AA22:AA55,MATCH(AC48,X22:X55,0))</f>
        <v>-1.6000000000000031E-3</v>
      </c>
      <c r="AH48" s="61"/>
      <c r="AI48" s="60"/>
      <c r="AJ48" s="60"/>
    </row>
    <row r="49" spans="1:36" s="40" customFormat="1" ht="13.8" x14ac:dyDescent="0.3">
      <c r="L49" s="41"/>
      <c r="M49" s="38"/>
      <c r="N49" s="38"/>
      <c r="O49" s="38"/>
      <c r="P49" s="38"/>
      <c r="Q49" s="38"/>
      <c r="R49" s="38"/>
      <c r="S49" s="38"/>
      <c r="T49" s="38"/>
      <c r="U49" s="37"/>
      <c r="V49" s="41"/>
      <c r="W49" s="50">
        <v>27</v>
      </c>
      <c r="X49" s="59">
        <f>G19/MAX(W22:W55)*W49</f>
        <v>9</v>
      </c>
      <c r="Y49" s="59">
        <f>IF(($G$19-X49)&gt;$G$22,0,IF(($G$19-X49)&gt;$G$21,-$G$23*(1-($G$19-$G$21-X49)^2/($G$22-$G$21)^2),-$G$23))</f>
        <v>-150</v>
      </c>
      <c r="Z49" s="58">
        <f>IF(($G$19-X49)&gt;$G$22,0,IF(($G$19-X49)&gt;$G$21,-$G$23*(1/3)*(3*(X49-$G$19+$G$22)^2/($G$22-$G$21)-(X49-$G$19+$G$22)^3/($G$22-$G$21)^2),-(1/3)*$G$23*(-3*$G$19+3*X49+2*$G$22+$G$21)))</f>
        <v>-750</v>
      </c>
      <c r="AA49" s="57">
        <f>IF(($G$19-X49)&gt;$G$22,-(1/60)*($G$23/($G$17*$G$18))*((5*$G$21^2+10*$G$22*$G$21+15*$G$22^2)*($G$19-X49)-$G$21^3-2*$G$21^2*$G$22-3*$G$21*$G$22^2-4*$G$22^3),IF(($G$19-X49)&gt;$G$21,-(1/60)*($G$23/($G$17*$G$18))*(($G$19-X49-$G$21)^5/($G$22-$G$21)^2-10*($G$19-X49)^3+(10*$G$21+20*$G$22)*($G$19-X49)^2),-(0.166666666666667)*$G$23/($G$17*$G$18)*(($G$21+2*$G$22)*($G$19-X49)^2-($G$19-X49)^3)))</f>
        <v>-4.2500000000000084E-4</v>
      </c>
      <c r="AB49" s="45"/>
      <c r="AC49" s="56">
        <v>8.3333333333333321</v>
      </c>
      <c r="AD49" s="62">
        <f>INDEX(Y22:Y55,MATCH(AC49,X22:X55,0))</f>
        <v>-150</v>
      </c>
      <c r="AE49" s="62">
        <f>INDEX(Z22:Z55,MATCH(AC49,X22:X55,0))</f>
        <v>-649.99999999999977</v>
      </c>
      <c r="AF49" s="55">
        <f>INDEX(AA22:AA55,MATCH(AC49,X22:X55,0))</f>
        <v>-1.134259259259263E-3</v>
      </c>
      <c r="AH49" s="61"/>
      <c r="AI49" s="60"/>
      <c r="AJ49" s="60"/>
    </row>
    <row r="50" spans="1:36" s="40" customFormat="1" ht="13.8" x14ac:dyDescent="0.3">
      <c r="I50" s="41"/>
      <c r="J50" s="41"/>
      <c r="K50" s="41"/>
      <c r="L50" s="41"/>
      <c r="M50" s="38"/>
      <c r="N50" s="38"/>
      <c r="O50" s="38"/>
      <c r="P50" s="38"/>
      <c r="Q50" s="38"/>
      <c r="R50" s="38"/>
      <c r="S50" s="38"/>
      <c r="T50" s="38"/>
      <c r="U50" s="37"/>
      <c r="V50" s="41"/>
      <c r="W50" s="50">
        <v>28</v>
      </c>
      <c r="X50" s="59">
        <f>G19/MAX(W22:W55)*W50</f>
        <v>9.3333333333333321</v>
      </c>
      <c r="Y50" s="59">
        <f>IF(($G$19-X50)&gt;$G$22,0,IF(($G$19-X50)&gt;$G$21,-$G$23*(1-($G$19-$G$21-X50)^2/($G$22-$G$21)^2),-$G$23))</f>
        <v>-150</v>
      </c>
      <c r="Z50" s="58">
        <f>IF(($G$19-X50)&gt;$G$22,0,IF(($G$19-X50)&gt;$G$21,-$G$23*(1/3)*(3*(X50-$G$19+$G$22)^2/($G$22-$G$21)-(X50-$G$19+$G$22)^3/($G$22-$G$21)^2),-(1/3)*$G$23*(-3*$G$19+3*X50+2*$G$22+$G$21)))</f>
        <v>-799.99999999999977</v>
      </c>
      <c r="AA50" s="57">
        <f>IF(($G$19-X50)&gt;$G$22,-(1/60)*($G$23/($G$17*$G$18))*((5*$G$21^2+10*$G$22*$G$21+15*$G$22^2)*($G$19-X50)-$G$21^3-2*$G$21^2*$G$22-3*$G$21*$G$22^2-4*$G$22^3),IF(($G$19-X50)&gt;$G$21,-(1/60)*($G$23/($G$17*$G$18))*(($G$19-X50-$G$21)^5/($G$22-$G$21)^2-10*($G$19-X50)^3+(10*$G$21+20*$G$22)*($G$19-X50)^2),-(0.166666666666667)*$G$23/($G$17*$G$18)*(($G$21+2*$G$22)*($G$19-X50)^2-($G$19-X50)^3)))</f>
        <v>-1.9259259259259365E-4</v>
      </c>
      <c r="AB50" s="45"/>
      <c r="AC50" s="56">
        <v>8.6666666666666661</v>
      </c>
      <c r="AD50" s="62">
        <f>INDEX(Y22:Y55,MATCH(AC50,X22:X55,0))</f>
        <v>-150</v>
      </c>
      <c r="AE50" s="62">
        <f>INDEX(Z22:Z55,MATCH(AC50,X22:X55,0))</f>
        <v>-700</v>
      </c>
      <c r="AF50" s="55">
        <f>INDEX(AA22:AA55,MATCH(AC50,X22:X55,0))</f>
        <v>-7.4074074074074276E-4</v>
      </c>
      <c r="AH50" s="61"/>
      <c r="AI50" s="60"/>
      <c r="AJ50" s="60"/>
    </row>
    <row r="51" spans="1:36" s="40" customFormat="1" ht="13.8" x14ac:dyDescent="0.3">
      <c r="I51" s="64" t="s">
        <v>38</v>
      </c>
      <c r="J51" s="41"/>
      <c r="K51" s="41"/>
      <c r="L51" s="41"/>
      <c r="M51" s="38"/>
      <c r="N51" s="38"/>
      <c r="O51" s="38"/>
      <c r="P51" s="38"/>
      <c r="Q51" s="38"/>
      <c r="R51" s="38"/>
      <c r="S51" s="38"/>
      <c r="T51" s="38"/>
      <c r="U51" s="37"/>
      <c r="V51" s="41"/>
      <c r="W51" s="50">
        <v>29</v>
      </c>
      <c r="X51" s="59">
        <f>G19/MAX(W22:W55)*W51</f>
        <v>9.6666666666666661</v>
      </c>
      <c r="Y51" s="59">
        <f>IF(($G$19-X51)&gt;$G$22,0,IF(($G$19-X51)&gt;$G$21,-$G$23*(1-($G$19-$G$21-X51)^2/($G$22-$G$21)^2),-$G$23))</f>
        <v>-150</v>
      </c>
      <c r="Z51" s="58">
        <f>IF(($G$19-X51)&gt;$G$22,0,IF(($G$19-X51)&gt;$G$21,-$G$23*(1/3)*(3*(X51-$G$19+$G$22)^2/($G$22-$G$21)-(X51-$G$19+$G$22)^3/($G$22-$G$21)^2),-(1/3)*$G$23*(-3*$G$19+3*X51+2*$G$22+$G$21)))</f>
        <v>-850</v>
      </c>
      <c r="AA51" s="57">
        <f>IF(($G$19-X51)&gt;$G$22,-(1/60)*($G$23/($G$17*$G$18))*((5*$G$21^2+10*$G$22*$G$21+15*$G$22^2)*($G$19-X51)-$G$21^3-2*$G$21^2*$G$22-3*$G$21*$G$22^2-4*$G$22^3),IF(($G$19-X51)&gt;$G$21,-(1/60)*($G$23/($G$17*$G$18))*(($G$19-X51-$G$21)^5/($G$22-$G$21)^2-10*($G$19-X51)^3+(10*$G$21+20*$G$22)*($G$19-X51)^2),-(0.166666666666667)*$G$23/($G$17*$G$18)*(($G$21+2*$G$22)*($G$19-X51)^2-($G$19-X51)^3)))</f>
        <v>-4.9074074074074346E-5</v>
      </c>
      <c r="AB51" s="45"/>
      <c r="AC51" s="56">
        <v>9</v>
      </c>
      <c r="AD51" s="62">
        <f>INDEX(Y22:Y55,MATCH(AC51,X22:X55,0))</f>
        <v>-150</v>
      </c>
      <c r="AE51" s="62">
        <f>INDEX(Z22:Z55,MATCH(AC51,X22:X55,0))</f>
        <v>-750</v>
      </c>
      <c r="AF51" s="55">
        <f>INDEX(AA22:AA55,MATCH(AC51,X22:X55,0))</f>
        <v>-4.2500000000000084E-4</v>
      </c>
      <c r="AH51" s="61"/>
      <c r="AI51" s="60"/>
      <c r="AJ51" s="60"/>
    </row>
    <row r="52" spans="1:36" s="40" customFormat="1" ht="13.8" x14ac:dyDescent="0.3">
      <c r="I52" s="54" t="s">
        <v>36</v>
      </c>
      <c r="J52" s="63">
        <f>MAX(AF21:AF54)</f>
        <v>0</v>
      </c>
      <c r="K52" s="41" t="s">
        <v>34</v>
      </c>
      <c r="L52" s="41"/>
      <c r="M52" s="38"/>
      <c r="N52" s="38"/>
      <c r="O52" s="38"/>
      <c r="P52" s="38"/>
      <c r="Q52" s="38"/>
      <c r="R52" s="38"/>
      <c r="S52" s="38"/>
      <c r="T52" s="38"/>
      <c r="U52" s="37"/>
      <c r="V52" s="41"/>
      <c r="W52" s="50">
        <v>30</v>
      </c>
      <c r="X52" s="59">
        <f>G19/MAX(W22:W55)*W52</f>
        <v>10</v>
      </c>
      <c r="Y52" s="59">
        <f>IF(($G$19-X52)&gt;$G$22,0,IF(($G$19-X52)&gt;$G$21,-$G$23*(1-($G$19-$G$21-X52)^2/($G$22-$G$21)^2),-$G$23))</f>
        <v>-150</v>
      </c>
      <c r="Z52" s="58">
        <f>IF(($G$19-X52)&gt;$G$22,0,IF(($G$19-X52)&gt;$G$21,-$G$23*(1/3)*(3*(X52-$G$19+$G$22)^2/($G$22-$G$21)-(X52-$G$19+$G$22)^3/($G$22-$G$21)^2),-(1/3)*$G$23*(-3*$G$19+3*X52+2*$G$22+$G$21)))</f>
        <v>-900</v>
      </c>
      <c r="AA52" s="57">
        <f>IF(($G$19-X52)&gt;$G$22,-(1/60)*($G$23/($G$17*$G$18))*((5*$G$21^2+10*$G$22*$G$21+15*$G$22^2)*($G$19-X52)-$G$21^3-2*$G$21^2*$G$22-3*$G$21*$G$22^2-4*$G$22^3),IF(($G$19-X52)&gt;$G$21,-(1/60)*($G$23/($G$17*$G$18))*(($G$19-X52-$G$21)^5/($G$22-$G$21)^2-10*($G$19-X52)^3+(10*$G$21+20*$G$22)*($G$19-X52)^2),-(0.166666666666667)*$G$23/($G$17*$G$18)*(($G$21+2*$G$22)*($G$19-X52)^2-($G$19-X52)^3)))</f>
        <v>0</v>
      </c>
      <c r="AB52" s="45"/>
      <c r="AC52" s="56">
        <v>9.3333333333333321</v>
      </c>
      <c r="AD52" s="62">
        <f>INDEX(Y22:Y55,MATCH(AC52,X22:X55,0))</f>
        <v>-150</v>
      </c>
      <c r="AE52" s="62">
        <f>INDEX(Z22:Z55,MATCH(AC52,X22:X55,0))</f>
        <v>-799.99999999999977</v>
      </c>
      <c r="AF52" s="55">
        <f>INDEX(AA22:AA55,MATCH(AC52,X22:X55,0))</f>
        <v>-1.9259259259259365E-4</v>
      </c>
      <c r="AH52" s="61"/>
      <c r="AI52" s="60"/>
      <c r="AJ52" s="60"/>
    </row>
    <row r="53" spans="1:36" s="40" customFormat="1" ht="13.8" x14ac:dyDescent="0.3">
      <c r="I53" s="54" t="s">
        <v>35</v>
      </c>
      <c r="J53" s="63">
        <f>MIN(AF21:AF54)</f>
        <v>-2.2239999999999999E-2</v>
      </c>
      <c r="K53" s="52" t="s">
        <v>34</v>
      </c>
      <c r="L53" s="41"/>
      <c r="M53" s="38"/>
      <c r="N53" s="38"/>
      <c r="O53" s="38"/>
      <c r="P53" s="38"/>
      <c r="Q53" s="38"/>
      <c r="R53" s="38"/>
      <c r="S53" s="38"/>
      <c r="T53" s="38"/>
      <c r="U53" s="37"/>
      <c r="V53" s="41"/>
      <c r="W53" s="41"/>
      <c r="X53" s="59">
        <f>X52</f>
        <v>10</v>
      </c>
      <c r="Y53" s="50"/>
      <c r="Z53" s="45"/>
      <c r="AA53" s="57"/>
      <c r="AB53" s="45"/>
      <c r="AC53" s="56">
        <v>9.6666666666666661</v>
      </c>
      <c r="AD53" s="62">
        <f>INDEX(Y22:Y55,MATCH(AC53,X22:X55,0))</f>
        <v>-150</v>
      </c>
      <c r="AE53" s="62">
        <f>INDEX(Z22:Z55,MATCH(AC53,X22:X55,0))</f>
        <v>-850</v>
      </c>
      <c r="AF53" s="55">
        <f>INDEX(AA23:AA56,MATCH(AC53,X23:X56,0))</f>
        <v>-4.9074074074074346E-5</v>
      </c>
      <c r="AH53" s="61"/>
      <c r="AI53" s="60"/>
      <c r="AJ53" s="60"/>
    </row>
    <row r="54" spans="1:36" s="40" customFormat="1" ht="13.8" x14ac:dyDescent="0.3">
      <c r="I54" s="52" t="s">
        <v>37</v>
      </c>
      <c r="J54" s="41"/>
      <c r="K54" s="41"/>
      <c r="L54" s="41"/>
      <c r="M54" s="38"/>
      <c r="N54" s="38"/>
      <c r="O54" s="38"/>
      <c r="P54" s="38"/>
      <c r="Q54" s="38"/>
      <c r="R54" s="38"/>
      <c r="S54" s="38"/>
      <c r="T54" s="38"/>
      <c r="U54" s="37"/>
      <c r="V54" s="41"/>
      <c r="W54" s="41"/>
      <c r="X54" s="59">
        <f>G19-G21</f>
        <v>8</v>
      </c>
      <c r="Y54" s="59">
        <f>IF(($G$19-X54)&gt;$G$22,0,IF(($G$19-X54)&gt;$G$21,-$G$23*(1-($G$19-$G$21-X54)^2/($G$22-$G$21)^2),-$G$23))</f>
        <v>-150</v>
      </c>
      <c r="Z54" s="58">
        <f>IF(($G$19-X54)&gt;$G$22,0,IF(($G$19-X54)&gt;$G$21,-$G$23*(1/3)*(3*(X54-$G$19+$G$22)^2/($G$22-$G$21)-(X54-$G$19+$G$22)^3/($G$22-$G$21)^2),-(1/3)*$G$23*(-3*$G$19+3*X54+2*$G$22+$G$21)))</f>
        <v>-600</v>
      </c>
      <c r="AA54" s="57">
        <f>IF(($G$19-X54)&gt;$G$22,-(1/60)*($G$23/($G$17*$G$18))*((5*$G$21^2+10*$G$22*$G$21+15*$G$22^2)*($G$19-X54)-$G$21^3-2*$G$21^2*$G$22-3*$G$21*$G$22^2-4*$G$22^3),IF(($G$19-X54)&gt;$G$21,-(1/60)*($G$23/($G$17*$G$18))*(($G$19-X54-$G$21)^5/($G$22-$G$21)^2-10*($G$19-X54)^3+(10*$G$21+20*$G$22)*($G$19-X54)^2),-(0.166666666666667)*$G$23/($G$17*$G$18)*(($G$21+2*$G$22)*($G$19-X54)^2-($G$19-X54)^3)))</f>
        <v>-1.6000000000000031E-3</v>
      </c>
      <c r="AB54" s="45"/>
      <c r="AC54" s="56">
        <v>10</v>
      </c>
      <c r="AD54" s="62">
        <f>INDEX(Y22:Y55,MATCH(AC54,X22:X55,0))</f>
        <v>-150</v>
      </c>
      <c r="AE54" s="62">
        <f>INDEX(Z22:Z55,MATCH(AC54,X22:X55,0))</f>
        <v>-900</v>
      </c>
      <c r="AF54" s="55">
        <f>INDEX(AA24:AA57,MATCH(AC54,X24:X57,0))</f>
        <v>0</v>
      </c>
      <c r="AH54" s="61"/>
      <c r="AI54" s="60"/>
      <c r="AJ54" s="60"/>
    </row>
    <row r="55" spans="1:36" s="40" customFormat="1" ht="13.8" x14ac:dyDescent="0.3">
      <c r="I55" s="54" t="s">
        <v>36</v>
      </c>
      <c r="J55" s="53">
        <f>INDEX(AC21:AC54,MATCH(J52,AF21:AF54,0))</f>
        <v>10</v>
      </c>
      <c r="K55" s="41" t="s">
        <v>34</v>
      </c>
      <c r="L55" s="41"/>
      <c r="M55" s="38"/>
      <c r="N55" s="38"/>
      <c r="O55" s="38"/>
      <c r="P55" s="38"/>
      <c r="Q55" s="38"/>
      <c r="R55" s="38"/>
      <c r="S55" s="38"/>
      <c r="T55" s="38"/>
      <c r="U55" s="37"/>
      <c r="V55" s="41"/>
      <c r="W55" s="41"/>
      <c r="X55" s="59">
        <f>G19-G22</f>
        <v>2</v>
      </c>
      <c r="Y55" s="59">
        <f>IF(($G$19-X55)&gt;$G$22,0,IF(($G$19-X55)&gt;$G$21,-$G$23*(1-($G$19-$G$21-X55)^2/($G$22-$G$21)^2),-$G$23))</f>
        <v>0</v>
      </c>
      <c r="Z55" s="58">
        <f>IF(($G$19-X55)&gt;$G$22,0,IF(($G$19-X55)&gt;$G$21,-$G$23*(1/3)*(3*(X55-$G$19+$G$22)^2/($G$22-$G$21)-(X55-$G$19+$G$22)^3/($G$22-$G$21)^2),-(1/3)*$G$23*(-3*$G$19+3*X55+2*$G$22+$G$21)))</f>
        <v>0</v>
      </c>
      <c r="AA55" s="57">
        <f>IF(($G$19-X55)&gt;$G$22,-(1/60)*($G$23/($G$17*$G$18))*((5*$G$21^2+10*$G$22*$G$21+15*$G$22^2)*($G$19-X55)-$G$21^3-2*$G$21^2*$G$22-3*$G$21*$G$22^2-4*$G$22^3),IF(($G$19-X55)&gt;$G$21,-(1/60)*($G$23/($G$17*$G$18))*(($G$19-X55-$G$21)^5/($G$22-$G$21)^2-10*($G$19-X55)^3+(10*$G$21+20*$G$22)*($G$19-X55)^2),-(0.166666666666667)*$G$23/($G$17*$G$18)*(($G$21+2*$G$22)*($G$19-X55)^2-($G$19-X55)^3)))</f>
        <v>-1.6539999999999999E-2</v>
      </c>
      <c r="AB55" s="45"/>
      <c r="AC55" s="56">
        <v>10</v>
      </c>
      <c r="AD55" s="45">
        <v>0</v>
      </c>
      <c r="AE55" s="45">
        <v>0</v>
      </c>
      <c r="AF55" s="55"/>
      <c r="AH55" s="51"/>
    </row>
    <row r="56" spans="1:36" s="40" customFormat="1" ht="13.8" x14ac:dyDescent="0.3">
      <c r="I56" s="54" t="s">
        <v>35</v>
      </c>
      <c r="J56" s="53">
        <f>INDEX(AC21:AC54,MATCH(J53,AF21:AF54,0))</f>
        <v>0</v>
      </c>
      <c r="K56" s="52" t="s">
        <v>34</v>
      </c>
      <c r="L56" s="41"/>
      <c r="M56" s="38"/>
      <c r="N56" s="38"/>
      <c r="O56" s="38"/>
      <c r="P56" s="38"/>
      <c r="Q56" s="38"/>
      <c r="R56" s="38"/>
      <c r="S56" s="38"/>
      <c r="T56" s="38"/>
      <c r="U56" s="37"/>
      <c r="V56" s="41"/>
      <c r="W56" s="41"/>
      <c r="X56" s="41"/>
      <c r="Y56" s="41"/>
      <c r="AH56" s="51"/>
    </row>
    <row r="57" spans="1:36" s="40" customFormat="1" ht="13.8" x14ac:dyDescent="0.3">
      <c r="I57" s="41"/>
      <c r="J57" s="41"/>
      <c r="K57" s="41"/>
      <c r="L57" s="41"/>
      <c r="M57" s="38"/>
      <c r="N57" s="38"/>
      <c r="O57" s="38"/>
      <c r="P57" s="38"/>
      <c r="Q57" s="38"/>
      <c r="R57" s="38"/>
      <c r="S57" s="38"/>
      <c r="T57" s="38"/>
      <c r="U57" s="37"/>
      <c r="V57" s="41"/>
      <c r="W57" s="41"/>
      <c r="X57" s="41"/>
      <c r="Y57" s="41"/>
      <c r="AD57" s="45"/>
      <c r="AE57" s="45"/>
      <c r="AF57" s="45"/>
    </row>
    <row r="58" spans="1:36"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c r="AE58" s="45"/>
      <c r="AF58" s="45"/>
    </row>
    <row r="59" spans="1:36"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6"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6"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5">
    <mergeCell ref="B13:D13"/>
    <mergeCell ref="F25:K26"/>
    <mergeCell ref="F27:K28"/>
    <mergeCell ref="B28:D29"/>
    <mergeCell ref="B30:D31"/>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 (2)</vt:lpstr>
      <vt:lpstr>'READ ME'!Print_Area</vt:lpstr>
      <vt:lpstr>'TRIANGLE LOAD PART SPAN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2016-09-18T19:33:47Z</dcterms:modified>
  <cp:category>Engineering Spreadsheets</cp:category>
</cp:coreProperties>
</file>