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56" yWindow="-108" windowWidth="20412" windowHeight="12312" tabRatio="797" activeTab="1"/>
  </bookViews>
  <sheets>
    <sheet name="READ ME" sheetId="40" r:id="rId1"/>
    <sheet name="DIST LOAD PART SPAN" sheetId="41" r:id="rId2"/>
  </sheets>
  <externalReferences>
    <externalReference r:id="rId3"/>
  </externalReferences>
  <definedNames>
    <definedName name="_xlnm.Print_Area" localSheetId="1">'DIST LOAD PART SPAN'!$A$8:$K$61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X1" i="41" l="1"/>
  <c r="G1" i="41" s="1"/>
  <c r="J10" i="41" s="1"/>
  <c r="X2" i="41"/>
  <c r="X3" i="41"/>
  <c r="X4" i="41"/>
  <c r="X5" i="41"/>
  <c r="X6" i="41"/>
  <c r="X7" i="41"/>
  <c r="F8" i="41"/>
  <c r="J8" i="41"/>
  <c r="F9" i="41"/>
  <c r="J9" i="41"/>
  <c r="F10" i="41"/>
  <c r="L10" i="41"/>
  <c r="F11" i="41"/>
  <c r="B12" i="41"/>
  <c r="Y16" i="41"/>
  <c r="W18" i="41"/>
  <c r="Z18" i="41"/>
  <c r="AB18" i="41"/>
  <c r="AC18" i="41"/>
  <c r="Y22" i="41"/>
  <c r="Z22" i="41"/>
  <c r="AA22" i="41"/>
  <c r="G23" i="41"/>
  <c r="X23" i="41"/>
  <c r="AA23" i="41" s="1"/>
  <c r="X24" i="41"/>
  <c r="Y24" i="41" s="1"/>
  <c r="Z24" i="41" l="1"/>
  <c r="Z23" i="41"/>
  <c r="Y23" i="41"/>
  <c r="AA24" i="41"/>
  <c r="X25" i="41"/>
  <c r="Z25" i="41" s="1"/>
  <c r="B26" i="41"/>
  <c r="B25" i="41"/>
  <c r="AA25" i="41" l="1"/>
  <c r="Y25" i="41"/>
  <c r="X18" i="41"/>
  <c r="X26" i="41"/>
  <c r="Y26" i="41" s="1"/>
  <c r="X27" i="41"/>
  <c r="Y27" i="41" s="1"/>
  <c r="AA27" i="41" l="1"/>
  <c r="Z27" i="41"/>
  <c r="Z26" i="41"/>
  <c r="AA26" i="41"/>
  <c r="F28" i="41"/>
  <c r="X28" i="41"/>
  <c r="F26" i="41"/>
  <c r="F25" i="41"/>
  <c r="AA28" i="41" l="1"/>
  <c r="Z28" i="41"/>
  <c r="Y28" i="41"/>
  <c r="AA18" i="41"/>
  <c r="X29" i="41"/>
  <c r="Y29" i="41" s="1"/>
  <c r="AA29" i="41" l="1"/>
  <c r="Z29" i="41"/>
  <c r="X30" i="41"/>
  <c r="Y30" i="41" s="1"/>
  <c r="B31" i="41"/>
  <c r="B29" i="41"/>
  <c r="B28" i="41"/>
  <c r="AA30" i="41" l="1"/>
  <c r="Z30" i="41"/>
  <c r="AC22" i="41" a="1"/>
  <c r="AC36" i="41" s="1"/>
  <c r="Y18" i="41"/>
  <c r="X31" i="41"/>
  <c r="Z31" i="41" s="1"/>
  <c r="Y31" i="41"/>
  <c r="F32" i="41"/>
  <c r="X32" i="41"/>
  <c r="AA32" i="41" s="1"/>
  <c r="X33" i="41"/>
  <c r="AA33" i="41" s="1"/>
  <c r="X34" i="41"/>
  <c r="AA34" i="41" s="1"/>
  <c r="X35" i="41"/>
  <c r="Z35" i="41" s="1"/>
  <c r="Y35" i="41"/>
  <c r="AA35" i="41"/>
  <c r="X36" i="41"/>
  <c r="Y36" i="41" s="1"/>
  <c r="Z36" i="41"/>
  <c r="AA36" i="41"/>
  <c r="X37" i="41"/>
  <c r="Y37" i="41" s="1"/>
  <c r="Z37" i="41"/>
  <c r="AA37" i="41"/>
  <c r="X38" i="41"/>
  <c r="AA38" i="41" s="1"/>
  <c r="Y38" i="41"/>
  <c r="Z38" i="41"/>
  <c r="X39" i="41"/>
  <c r="Z39" i="41" s="1"/>
  <c r="Y39" i="41"/>
  <c r="X40" i="41"/>
  <c r="Z40" i="41" s="1"/>
  <c r="Y40" i="41"/>
  <c r="X41" i="41"/>
  <c r="Z41" i="41" s="1"/>
  <c r="Y41" i="41"/>
  <c r="X42" i="41"/>
  <c r="Y42" i="41" s="1"/>
  <c r="X43" i="41"/>
  <c r="AA43" i="41" s="1"/>
  <c r="Y43" i="41"/>
  <c r="Z43" i="41"/>
  <c r="X44" i="41"/>
  <c r="AA44" i="41" s="1"/>
  <c r="Y44" i="41"/>
  <c r="Z44" i="41"/>
  <c r="X45" i="41"/>
  <c r="Z45" i="41" s="1"/>
  <c r="Y45" i="41"/>
  <c r="X46" i="41"/>
  <c r="AA46" i="41" s="1"/>
  <c r="X47" i="41"/>
  <c r="AA47" i="41" s="1"/>
  <c r="X48" i="41"/>
  <c r="AA48" i="41" s="1"/>
  <c r="X49" i="41"/>
  <c r="AA49" i="41" s="1"/>
  <c r="X50" i="41"/>
  <c r="AA50" i="41" s="1"/>
  <c r="X51" i="41"/>
  <c r="AA51" i="41" s="1"/>
  <c r="X52" i="41"/>
  <c r="Z52" i="41" s="1"/>
  <c r="Y52" i="41"/>
  <c r="AA52" i="41"/>
  <c r="X53" i="41"/>
  <c r="X54" i="41"/>
  <c r="Z54" i="41" s="1"/>
  <c r="Y54" i="41"/>
  <c r="X55" i="41"/>
  <c r="AA55" i="41" s="1"/>
  <c r="F31" i="41"/>
  <c r="F30" i="41"/>
  <c r="AD36" i="41" l="1"/>
  <c r="AE36" i="41"/>
  <c r="AF36" i="41"/>
  <c r="AC49" i="41"/>
  <c r="Z49" i="41"/>
  <c r="Z47" i="41"/>
  <c r="Z46" i="41"/>
  <c r="AC44" i="41"/>
  <c r="AC43" i="41"/>
  <c r="Z34" i="41"/>
  <c r="Z33" i="41"/>
  <c r="Z32" i="41"/>
  <c r="AA31" i="41"/>
  <c r="AC50" i="41"/>
  <c r="AC48" i="41"/>
  <c r="Z55" i="41"/>
  <c r="AA54" i="41"/>
  <c r="Z51" i="41"/>
  <c r="Z50" i="41"/>
  <c r="Z48" i="41"/>
  <c r="AA45" i="41"/>
  <c r="Y55" i="41"/>
  <c r="Y51" i="41"/>
  <c r="Y50" i="41"/>
  <c r="Y49" i="41"/>
  <c r="Y48" i="41"/>
  <c r="Y47" i="41"/>
  <c r="Y46" i="41"/>
  <c r="AC42" i="41"/>
  <c r="Y34" i="41"/>
  <c r="Y33" i="41"/>
  <c r="Y32" i="41"/>
  <c r="AA42" i="41"/>
  <c r="AC40" i="41"/>
  <c r="AC39" i="41"/>
  <c r="AA40" i="41"/>
  <c r="AD18" i="41"/>
  <c r="AC41" i="41"/>
  <c r="Z42" i="41"/>
  <c r="AA41" i="41"/>
  <c r="AA39" i="41"/>
  <c r="AC38" i="41"/>
  <c r="AC37" i="41"/>
  <c r="AC22" i="41"/>
  <c r="AC23" i="41"/>
  <c r="AC24" i="41"/>
  <c r="AC25" i="41"/>
  <c r="AC26" i="41"/>
  <c r="AC27" i="41"/>
  <c r="AC28" i="41"/>
  <c r="AC29" i="41"/>
  <c r="AC30" i="41"/>
  <c r="AC46" i="41"/>
  <c r="AC52" i="41"/>
  <c r="AC35" i="41"/>
  <c r="AC55" i="41"/>
  <c r="AC51" i="41"/>
  <c r="AC47" i="41"/>
  <c r="AC34" i="41"/>
  <c r="AC33" i="41"/>
  <c r="AC32" i="41"/>
  <c r="AC54" i="41"/>
  <c r="AC53" i="41"/>
  <c r="AC45" i="41"/>
  <c r="AC31" i="41"/>
  <c r="C12" i="40"/>
  <c r="AF53" i="41" l="1"/>
  <c r="AE53" i="41"/>
  <c r="AD53" i="41"/>
  <c r="AE48" i="41"/>
  <c r="AF48" i="41"/>
  <c r="AD48" i="41"/>
  <c r="AD31" i="41"/>
  <c r="AE31" i="41"/>
  <c r="AF31" i="41"/>
  <c r="AD44" i="41"/>
  <c r="AF44" i="41"/>
  <c r="AE44" i="41"/>
  <c r="AD25" i="41"/>
  <c r="AE25" i="41"/>
  <c r="AF25" i="41"/>
  <c r="AD24" i="41"/>
  <c r="AE24" i="41"/>
  <c r="AF24" i="41"/>
  <c r="AF41" i="41"/>
  <c r="AD41" i="41"/>
  <c r="AE41" i="41"/>
  <c r="AE50" i="41"/>
  <c r="AF50" i="41"/>
  <c r="AD50" i="41"/>
  <c r="AF45" i="41"/>
  <c r="AD45" i="41"/>
  <c r="AE45" i="41"/>
  <c r="AE26" i="41"/>
  <c r="AF26" i="41"/>
  <c r="AD26" i="41"/>
  <c r="AD35" i="41"/>
  <c r="AE35" i="41"/>
  <c r="AF35" i="41"/>
  <c r="AE32" i="41"/>
  <c r="AF32" i="41"/>
  <c r="AD32" i="41"/>
  <c r="AD46" i="41"/>
  <c r="AE46" i="41"/>
  <c r="AF46" i="41"/>
  <c r="AD23" i="41"/>
  <c r="AE23" i="41"/>
  <c r="AF23" i="41"/>
  <c r="AE42" i="41"/>
  <c r="AD42" i="41"/>
  <c r="AF42" i="41"/>
  <c r="AD54" i="41"/>
  <c r="AE54" i="41"/>
  <c r="AF54" i="41"/>
  <c r="AD33" i="41"/>
  <c r="AE33" i="41"/>
  <c r="AF33" i="41"/>
  <c r="AF30" i="41"/>
  <c r="AD30" i="41"/>
  <c r="AE30" i="41"/>
  <c r="AE22" i="41"/>
  <c r="AF22" i="41"/>
  <c r="AD22" i="41"/>
  <c r="AD49" i="41"/>
  <c r="AE49" i="41"/>
  <c r="AF49" i="41"/>
  <c r="AD52" i="41"/>
  <c r="AE52" i="41"/>
  <c r="AF52" i="41"/>
  <c r="AD34" i="41"/>
  <c r="AE34" i="41"/>
  <c r="AF34" i="41"/>
  <c r="AD29" i="41"/>
  <c r="AE29" i="41"/>
  <c r="AF29" i="41"/>
  <c r="AD37" i="41"/>
  <c r="AE37" i="41"/>
  <c r="AF37" i="41"/>
  <c r="AF39" i="41"/>
  <c r="AD39" i="41"/>
  <c r="AE39" i="41"/>
  <c r="AD47" i="41"/>
  <c r="AE47" i="41"/>
  <c r="AF47" i="41"/>
  <c r="AD28" i="41"/>
  <c r="AF28" i="41"/>
  <c r="AE28" i="41"/>
  <c r="AD38" i="41"/>
  <c r="AE38" i="41"/>
  <c r="AF38" i="41"/>
  <c r="AF40" i="41"/>
  <c r="AD40" i="41"/>
  <c r="AE40" i="41"/>
  <c r="AD51" i="41"/>
  <c r="AE51" i="41"/>
  <c r="AF51" i="41"/>
  <c r="AE27" i="41"/>
  <c r="AF27" i="41"/>
  <c r="AD27" i="41"/>
  <c r="AD43" i="41"/>
  <c r="AF43" i="41"/>
  <c r="AE43" i="41"/>
  <c r="J42" i="41" l="1"/>
  <c r="J45" i="41" s="1"/>
  <c r="J43" i="41"/>
  <c r="J46" i="41" s="1"/>
  <c r="J52" i="41"/>
  <c r="J55" i="41" s="1"/>
  <c r="J53" i="41"/>
  <c r="J56" i="41" s="1"/>
  <c r="J35" i="41"/>
  <c r="J38" i="41" s="1"/>
  <c r="J36" i="41"/>
  <c r="J39" i="41" s="1"/>
</calcChain>
</file>

<file path=xl/sharedStrings.xml><?xml version="1.0" encoding="utf-8"?>
<sst xmlns="http://schemas.openxmlformats.org/spreadsheetml/2006/main" count="175" uniqueCount="107">
  <si>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</si>
  <si>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</si>
  <si>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</si>
  <si>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</si>
  <si>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</si>
  <si>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</si>
  <si>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</si>
  <si>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</si>
  <si>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</si>
  <si>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</si>
  <si>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</si>
  <si>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</si>
  <si>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</si>
  <si>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</si>
  <si>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</si>
  <si>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</si>
  <si>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</si>
  <si>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</si>
  <si>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</si>
  <si>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</si>
  <si>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</si>
  <si>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</si>
  <si>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</si>
  <si>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</si>
  <si>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</si>
  <si>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</si>
  <si>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</si>
  <si>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</si>
  <si>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</si>
  <si>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</si>
  <si>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</si>
  <si>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</si>
  <si>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</si>
  <si>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</si>
  <si>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</si>
  <si>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</si>
  <si>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</si>
  <si>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</si>
  <si>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</si>
  <si>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</si>
  <si>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</si>
  <si>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</si>
  <si>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</si>
  <si>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</si>
  <si>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</si>
  <si>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M</t>
    </r>
    <r>
      <rPr>
        <b/>
        <vertAlign val="subscript"/>
        <sz val="10"/>
        <color theme="1"/>
        <rFont val="Calibri"/>
        <family val="2"/>
        <scheme val="minor"/>
      </rPr>
      <t>D</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</si>
  <si>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</si>
  <si>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</si>
  <si>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r>
      <t>R</t>
    </r>
    <r>
      <rPr>
        <b/>
        <vertAlign val="subscript"/>
        <sz val="10"/>
        <color theme="1"/>
        <rFont val="Calibri"/>
        <family val="2"/>
        <scheme val="minor"/>
      </rPr>
      <t>D</t>
    </r>
    <r>
      <rPr>
        <sz val="10"/>
        <color theme="1"/>
        <rFont val="Calibri"/>
        <family val="2"/>
        <scheme val="minor"/>
      </rPr>
      <t xml:space="preserve"> =</t>
    </r>
  </si>
  <si>
    <t>lb (Total Applied Load)</t>
  </si>
  <si>
    <t>W =</t>
  </si>
  <si>
    <t>Results</t>
  </si>
  <si>
    <t>in (Position at end of distributed load)</t>
  </si>
  <si>
    <t>b =</t>
  </si>
  <si>
    <t>(in)</t>
  </si>
  <si>
    <t>(inlb)</t>
  </si>
  <si>
    <t>(lb)</t>
  </si>
  <si>
    <t>in (Position at start of distributed load)</t>
  </si>
  <si>
    <t>a =</t>
  </si>
  <si>
    <t>y</t>
  </si>
  <si>
    <t>M</t>
  </si>
  <si>
    <t>V</t>
  </si>
  <si>
    <t>L</t>
  </si>
  <si>
    <t>lb/in (distributed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</si>
  <si>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</si>
  <si>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</si>
  <si>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</si>
  <si>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</si>
  <si>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</si>
  <si>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</si>
  <si>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</si>
  <si>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</si>
  <si>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</si>
  <si>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</si>
  <si>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</si>
  <si>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</si>
  <si>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</si>
  <si>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</si>
  <si>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</si>
  <si>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</si>
  <si>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</si>
  <si>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</si>
  <si>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</si>
  <si>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</si>
  <si>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</si>
  <si>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</si>
  <si>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</si>
  <si>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</si>
  <si>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</si>
  <si>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</si>
  <si>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</si>
  <si>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</si>
  <si>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</si>
  <si>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</si>
  <si>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Constant Distributed Load over Part Span</t>
  </si>
  <si>
    <t>IR</t>
  </si>
  <si>
    <t>18/09/2016</t>
  </si>
  <si>
    <t>Total Title No:</t>
  </si>
  <si>
    <t>No</t>
  </si>
  <si>
    <t>Title</t>
  </si>
  <si>
    <t>AA-SM-026-004</t>
  </si>
  <si>
    <t>Total Sheet Pages:</t>
  </si>
  <si>
    <t>Running Counts</t>
  </si>
  <si>
    <t>Table</t>
  </si>
  <si>
    <t>Fig</t>
  </si>
  <si>
    <t>Sub</t>
  </si>
  <si>
    <t xml:space="preserve">Page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</si>
</sst>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
    <numFmt numFmtId="166" formatCode="0.0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3">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165" fontId="5" fillId="0" borderId="0" xfId="0" applyNumberFormat="1" applyFont="1"/>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166" fontId="5" fillId="0" borderId="0" xfId="0" applyNumberFormat="1" applyFont="1" applyAlignment="1">
      <alignment horizontal="center"/>
    </xf>
    <xf numFmtId="2" fontId="2" fillId="0" borderId="0" xfId="1" applyNumberFormat="1" applyBorder="1" applyAlignment="1">
      <alignment horizontal="center"/>
    </xf>
    <xf numFmtId="2" fontId="5" fillId="0" borderId="0" xfId="0" applyNumberFormat="1" applyFont="1" applyAlignment="1">
      <alignment horizontal="center"/>
    </xf>
    <xf numFmtId="2" fontId="5" fillId="0" borderId="0" xfId="0" applyNumberFormat="1" applyFont="1" applyBorder="1" applyAlignment="1">
      <alignment horizontal="center"/>
    </xf>
    <xf numFmtId="1" fontId="5" fillId="0" borderId="0" xfId="0" applyNumberFormat="1" applyFont="1" applyAlignment="1">
      <alignment horizontal="center"/>
    </xf>
    <xf numFmtId="165"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6" fontId="15" fillId="0" borderId="0" xfId="0" applyNumberFormat="1" applyFont="1"/>
    <xf numFmtId="0" fontId="5" fillId="0" borderId="0" xfId="0" applyFont="1" applyAlignment="1">
      <alignment horizontal="left" wrapText="1"/>
    </xf>
    <xf numFmtId="165" fontId="15" fillId="0" borderId="0" xfId="0" applyNumberFormat="1" applyFont="1"/>
    <xf numFmtId="0" fontId="5" fillId="0" borderId="0" xfId="0" applyFont="1" applyAlignment="1">
      <alignment horizontal="left" vertical="top" wrapText="1"/>
    </xf>
    <xf numFmtId="0" fontId="15" fillId="0" borderId="0" xfId="0" applyFont="1" applyAlignme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8" fillId="0" borderId="0" xfId="0" applyFont="1" applyAlignment="1">
      <alignment horizontal="left"/>
    </xf>
    <xf numFmtId="2" fontId="19" fillId="0" borderId="0" xfId="0" applyNumberFormat="1" applyFont="1"/>
    <xf numFmtId="0" fontId="5" fillId="0" borderId="0" xfId="0" applyFont="1" applyFill="1" applyBorder="1" applyAlignment="1">
      <alignment horizontal="center"/>
    </xf>
    <xf numFmtId="0" fontId="19" fillId="0" borderId="0" xfId="0" applyFont="1"/>
    <xf numFmtId="165" fontId="5" fillId="0" borderId="0" xfId="0" applyNumberFormat="1" applyFont="1" applyAlignment="1">
      <alignment horizontal="center"/>
    </xf>
    <xf numFmtId="166" fontId="19" fillId="0" borderId="0" xfId="0" applyNumberFormat="1" applyFont="1"/>
    <xf numFmtId="0" fontId="15" fillId="0" borderId="0" xfId="0" applyFont="1" applyAlignment="1">
      <alignment horizontal="center"/>
    </xf>
    <xf numFmtId="0" fontId="18" fillId="0" borderId="0" xfId="0" applyFont="1"/>
    <xf numFmtId="0" fontId="15" fillId="0" borderId="0" xfId="0" applyFont="1" applyFill="1"/>
    <xf numFmtId="0" fontId="20" fillId="0" borderId="0" xfId="0" applyFont="1"/>
    <xf numFmtId="0" fontId="15" fillId="0" borderId="0" xfId="1" applyFont="1"/>
    <xf numFmtId="0" fontId="18" fillId="0" borderId="0" xfId="1" applyFont="1"/>
    <xf numFmtId="0" fontId="21" fillId="0" borderId="0" xfId="6" applyFont="1" applyAlignment="1">
      <alignment horizontal="left"/>
    </xf>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'DIST LOAD PART SPAN'!$AD$19:$AD$20</c:f>
              <c:strCache>
                <c:ptCount val="2"/>
                <c:pt idx="0">
                  <c:v>V</c:v>
                </c:pt>
                <c:pt idx="1">
                  <c:v>(lb)</c:v>
                </c:pt>
              </c:strCache>
            </c:strRef>
          </c:tx>
          <c:spPr>
            <a:ln w="15875">
              <a:solidFill>
                <a:schemeClr val="tx1"/>
              </a:solidFill>
            </a:ln>
          </c:spPr>
          <c:marker>
            <c:symbol val="none"/>
          </c:marker>
          <c:xVal>
            <c:numRef>
              <c:f>'DIST LOAD PART SPAN'!$AC$21:$AC$55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c:v>
                </c:pt>
                <c:pt idx="19">
                  <c:v>5.333333333333333</c:v>
                </c:pt>
                <c:pt idx="20">
                  <c:v>5.6666666666666661</c:v>
                </c:pt>
                <c:pt idx="21">
                  <c:v>6</c:v>
                </c:pt>
                <c:pt idx="22">
                  <c:v>6.333333333333333</c:v>
                </c:pt>
                <c:pt idx="23">
                  <c:v>6.6666666666666661</c:v>
                </c:pt>
                <c:pt idx="24">
                  <c:v>7</c:v>
                </c:pt>
                <c:pt idx="25">
                  <c:v>7.333333333333333</c:v>
                </c:pt>
                <c:pt idx="26">
                  <c:v>7.6666666666666661</c:v>
                </c:pt>
                <c:pt idx="27">
                  <c:v>8</c:v>
                </c:pt>
                <c:pt idx="28">
                  <c:v>8.3333333333333321</c:v>
                </c:pt>
                <c:pt idx="29">
                  <c:v>8.6666666666666661</c:v>
                </c:pt>
                <c:pt idx="30">
                  <c:v>9</c:v>
                </c:pt>
                <c:pt idx="31">
                  <c:v>9.3333333333333321</c:v>
                </c:pt>
                <c:pt idx="32">
                  <c:v>9.6666666666666661</c:v>
                </c:pt>
                <c:pt idx="33">
                  <c:v>10</c:v>
                </c:pt>
                <c:pt idx="34">
                  <c:v>10</c:v>
                </c:pt>
              </c:numCache>
            </c:numRef>
          </c:xVal>
          <c:yVal>
            <c:numRef>
              <c:f>'DIST LOAD PART SPAN'!$AD$21:$AD$55</c:f>
              <c:numCache>
                <c:formatCode>0</c:formatCode>
                <c:ptCount val="35"/>
                <c:pt idx="0" formatCode="General">
                  <c:v>0</c:v>
                </c:pt>
                <c:pt idx="1">
                  <c:v>0</c:v>
                </c:pt>
                <c:pt idx="2">
                  <c:v>0</c:v>
                </c:pt>
                <c:pt idx="3">
                  <c:v>0</c:v>
                </c:pt>
                <c:pt idx="4">
                  <c:v>0</c:v>
                </c:pt>
                <c:pt idx="5">
                  <c:v>0</c:v>
                </c:pt>
                <c:pt idx="6">
                  <c:v>0</c:v>
                </c:pt>
                <c:pt idx="7">
                  <c:v>0</c:v>
                </c:pt>
                <c:pt idx="8">
                  <c:v>0</c:v>
                </c:pt>
                <c:pt idx="9">
                  <c:v>-16.66666666666665</c:v>
                </c:pt>
                <c:pt idx="10">
                  <c:v>-33.3333333333333</c:v>
                </c:pt>
                <c:pt idx="11">
                  <c:v>-50</c:v>
                </c:pt>
                <c:pt idx="12">
                  <c:v>-66.666666666666657</c:v>
                </c:pt>
                <c:pt idx="13">
                  <c:v>-83.3333333333333</c:v>
                </c:pt>
                <c:pt idx="14">
                  <c:v>-100</c:v>
                </c:pt>
                <c:pt idx="15">
                  <c:v>-116.66666666666666</c:v>
                </c:pt>
                <c:pt idx="16">
                  <c:v>-133.33333333333331</c:v>
                </c:pt>
                <c:pt idx="17">
                  <c:v>-150</c:v>
                </c:pt>
                <c:pt idx="18">
                  <c:v>-150</c:v>
                </c:pt>
                <c:pt idx="19">
                  <c:v>-150</c:v>
                </c:pt>
                <c:pt idx="20">
                  <c:v>-150</c:v>
                </c:pt>
                <c:pt idx="21">
                  <c:v>-150</c:v>
                </c:pt>
                <c:pt idx="22">
                  <c:v>-150</c:v>
                </c:pt>
                <c:pt idx="23">
                  <c:v>-150</c:v>
                </c:pt>
                <c:pt idx="24">
                  <c:v>-150</c:v>
                </c:pt>
                <c:pt idx="25">
                  <c:v>-150</c:v>
                </c:pt>
                <c:pt idx="26">
                  <c:v>-150</c:v>
                </c:pt>
                <c:pt idx="27">
                  <c:v>-150</c:v>
                </c:pt>
                <c:pt idx="28">
                  <c:v>-150</c:v>
                </c:pt>
                <c:pt idx="29">
                  <c:v>-150</c:v>
                </c:pt>
                <c:pt idx="30">
                  <c:v>-150</c:v>
                </c:pt>
                <c:pt idx="31">
                  <c:v>-150</c:v>
                </c:pt>
                <c:pt idx="32">
                  <c:v>-150</c:v>
                </c:pt>
                <c:pt idx="33">
                  <c:v>-150</c:v>
                </c:pt>
                <c:pt idx="34" formatCode="General">
                  <c:v>0</c:v>
                </c:pt>
              </c:numCache>
            </c:numRef>
          </c:yVal>
          <c:smooth val="0"/>
          <c:extLst>
            <c:ext xmlns:c16="http://schemas.microsoft.com/office/drawing/2014/chart" uri="{C3380CC4-5D6E-409C-BE32-E72D297353CC}">
              <c16:uniqueId val="{00000000-691A-4844-8FC6-F3AF21E3A8C3}"/>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'DIST LOAD PART SPAN'!$AE$19:$AE$20</c:f>
              <c:strCache>
                <c:ptCount val="2"/>
                <c:pt idx="0">
                  <c:v>M</c:v>
                </c:pt>
                <c:pt idx="1">
                  <c:v>(inlb)</c:v>
                </c:pt>
              </c:strCache>
            </c:strRef>
          </c:tx>
          <c:spPr>
            <a:ln w="15875">
              <a:solidFill>
                <a:prstClr val="black"/>
              </a:solidFill>
              <a:prstDash val="dash"/>
            </a:ln>
          </c:spPr>
          <c:marker>
            <c:symbol val="none"/>
          </c:marker>
          <c:xVal>
            <c:numRef>
              <c:f>'DIST LOAD PART SPAN'!$AC$21:$AC$55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c:v>
                </c:pt>
                <c:pt idx="19">
                  <c:v>5.333333333333333</c:v>
                </c:pt>
                <c:pt idx="20">
                  <c:v>5.6666666666666661</c:v>
                </c:pt>
                <c:pt idx="21">
                  <c:v>6</c:v>
                </c:pt>
                <c:pt idx="22">
                  <c:v>6.333333333333333</c:v>
                </c:pt>
                <c:pt idx="23">
                  <c:v>6.6666666666666661</c:v>
                </c:pt>
                <c:pt idx="24">
                  <c:v>7</c:v>
                </c:pt>
                <c:pt idx="25">
                  <c:v>7.333333333333333</c:v>
                </c:pt>
                <c:pt idx="26">
                  <c:v>7.6666666666666661</c:v>
                </c:pt>
                <c:pt idx="27">
                  <c:v>8</c:v>
                </c:pt>
                <c:pt idx="28">
                  <c:v>8.3333333333333321</c:v>
                </c:pt>
                <c:pt idx="29">
                  <c:v>8.6666666666666661</c:v>
                </c:pt>
                <c:pt idx="30">
                  <c:v>9</c:v>
                </c:pt>
                <c:pt idx="31">
                  <c:v>9.3333333333333321</c:v>
                </c:pt>
                <c:pt idx="32">
                  <c:v>9.6666666666666661</c:v>
                </c:pt>
                <c:pt idx="33">
                  <c:v>10</c:v>
                </c:pt>
                <c:pt idx="34">
                  <c:v>10</c:v>
                </c:pt>
              </c:numCache>
            </c:numRef>
          </c:xVal>
          <c:yVal>
            <c:numRef>
              <c:f>'DIST LOAD PART SPAN'!$AE$21:$AE$55</c:f>
              <c:numCache>
                <c:formatCode>0</c:formatCode>
                <c:ptCount val="35"/>
                <c:pt idx="0" formatCode="General">
                  <c:v>0</c:v>
                </c:pt>
                <c:pt idx="1">
                  <c:v>0</c:v>
                </c:pt>
                <c:pt idx="2">
                  <c:v>0</c:v>
                </c:pt>
                <c:pt idx="3">
                  <c:v>0</c:v>
                </c:pt>
                <c:pt idx="4">
                  <c:v>0</c:v>
                </c:pt>
                <c:pt idx="5">
                  <c:v>0</c:v>
                </c:pt>
                <c:pt idx="6">
                  <c:v>0</c:v>
                </c:pt>
                <c:pt idx="7">
                  <c:v>0</c:v>
                </c:pt>
                <c:pt idx="8">
                  <c:v>0</c:v>
                </c:pt>
                <c:pt idx="9">
                  <c:v>-2.7777777777777728</c:v>
                </c:pt>
                <c:pt idx="10">
                  <c:v>-11.111111111111091</c:v>
                </c:pt>
                <c:pt idx="11">
                  <c:v>-25</c:v>
                </c:pt>
                <c:pt idx="12">
                  <c:v>-44.444444444444429</c:v>
                </c:pt>
                <c:pt idx="13">
                  <c:v>-69.4444444444444</c:v>
                </c:pt>
                <c:pt idx="14">
                  <c:v>-100</c:v>
                </c:pt>
                <c:pt idx="15">
                  <c:v>-136.11111111111109</c:v>
                </c:pt>
                <c:pt idx="16">
                  <c:v>-177.77777777777771</c:v>
                </c:pt>
                <c:pt idx="17">
                  <c:v>-225</c:v>
                </c:pt>
                <c:pt idx="18">
                  <c:v>-225</c:v>
                </c:pt>
                <c:pt idx="19">
                  <c:v>-274.99999999999994</c:v>
                </c:pt>
                <c:pt idx="20">
                  <c:v>-324.99999999999989</c:v>
                </c:pt>
                <c:pt idx="21">
                  <c:v>-375</c:v>
                </c:pt>
                <c:pt idx="22">
                  <c:v>-424.99999999999994</c:v>
                </c:pt>
                <c:pt idx="23">
                  <c:v>-474.99999999999989</c:v>
                </c:pt>
                <c:pt idx="24">
                  <c:v>-525</c:v>
                </c:pt>
                <c:pt idx="25">
                  <c:v>-575</c:v>
                </c:pt>
                <c:pt idx="26">
                  <c:v>-624.99999999999989</c:v>
                </c:pt>
                <c:pt idx="27">
                  <c:v>-675</c:v>
                </c:pt>
                <c:pt idx="28">
                  <c:v>-724.99999999999977</c:v>
                </c:pt>
                <c:pt idx="29">
                  <c:v>-774.99999999999989</c:v>
                </c:pt>
                <c:pt idx="30">
                  <c:v>-825</c:v>
                </c:pt>
                <c:pt idx="31">
                  <c:v>-874.99999999999977</c:v>
                </c:pt>
                <c:pt idx="32">
                  <c:v>-924.99999999999989</c:v>
                </c:pt>
                <c:pt idx="33">
                  <c:v>-975</c:v>
                </c:pt>
                <c:pt idx="34" formatCode="General">
                  <c:v>0</c:v>
                </c:pt>
              </c:numCache>
            </c:numRef>
          </c:yVal>
          <c:smooth val="0"/>
          <c:extLst>
            <c:ext xmlns:c16="http://schemas.microsoft.com/office/drawing/2014/chart" uri="{C3380CC4-5D6E-409C-BE32-E72D297353CC}">
              <c16:uniqueId val="{00000001-691A-4844-8FC6-F3AF21E3A8C3}"/>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'DIST LOAD PART SPAN'!$AF$19:$AF$20</c:f>
              <c:strCache>
                <c:ptCount val="2"/>
                <c:pt idx="0">
                  <c:v>y</c:v>
                </c:pt>
                <c:pt idx="1">
                  <c:v>(in)</c:v>
                </c:pt>
              </c:strCache>
            </c:strRef>
          </c:tx>
          <c:spPr>
            <a:ln w="15875">
              <a:solidFill>
                <a:prstClr val="black"/>
              </a:solidFill>
            </a:ln>
          </c:spPr>
          <c:marker>
            <c:symbol val="none"/>
          </c:marker>
          <c:xVal>
            <c:numRef>
              <c:f>'DIST LOAD PART SPAN'!$AC$22:$AC$54</c:f>
              <c:numCache>
                <c:formatCode>0.00</c:formatCode>
                <c:ptCount val="33"/>
                <c:pt idx="0">
                  <c:v>0</c:v>
                </c:pt>
                <c:pt idx="1">
                  <c:v>0.33333333333333331</c:v>
                </c:pt>
                <c:pt idx="2">
                  <c:v>0.66666666666666663</c:v>
                </c:pt>
                <c:pt idx="3">
                  <c:v>1</c:v>
                </c:pt>
                <c:pt idx="4">
                  <c:v>1.3333333333333333</c:v>
                </c:pt>
                <c:pt idx="5">
                  <c:v>1.6666666666666665</c:v>
                </c:pt>
                <c:pt idx="6">
                  <c:v>2</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8.3333333333333321</c:v>
                </c:pt>
                <c:pt idx="28">
                  <c:v>8.6666666666666661</c:v>
                </c:pt>
                <c:pt idx="29">
                  <c:v>9</c:v>
                </c:pt>
                <c:pt idx="30">
                  <c:v>9.3333333333333321</c:v>
                </c:pt>
                <c:pt idx="31">
                  <c:v>9.6666666666666661</c:v>
                </c:pt>
                <c:pt idx="32">
                  <c:v>10</c:v>
                </c:pt>
              </c:numCache>
            </c:numRef>
          </c:xVal>
          <c:yVal>
            <c:numRef>
              <c:f>'DIST LOAD PART SPAN'!$AF$22:$AF$54</c:f>
              <c:numCache>
                <c:formatCode>0.000</c:formatCode>
                <c:ptCount val="33"/>
                <c:pt idx="0">
                  <c:v>-2.5018750000000003E-2</c:v>
                </c:pt>
                <c:pt idx="1">
                  <c:v>-2.394375E-2</c:v>
                </c:pt>
                <c:pt idx="2">
                  <c:v>-2.286875E-2</c:v>
                </c:pt>
                <c:pt idx="3">
                  <c:v>-2.1793750000000001E-2</c:v>
                </c:pt>
                <c:pt idx="4">
                  <c:v>-2.0718750000000001E-2</c:v>
                </c:pt>
                <c:pt idx="5">
                  <c:v>-1.9643750000000001E-2</c:v>
                </c:pt>
                <c:pt idx="6">
                  <c:v>-1.8568750000000002E-2</c:v>
                </c:pt>
                <c:pt idx="7">
                  <c:v>-1.8568750000000002E-2</c:v>
                </c:pt>
                <c:pt idx="8">
                  <c:v>-1.7493775720164608E-2</c:v>
                </c:pt>
                <c:pt idx="9">
                  <c:v>-1.6419161522633747E-2</c:v>
                </c:pt>
                <c:pt idx="10">
                  <c:v>-1.5345833333333335E-2</c:v>
                </c:pt>
                <c:pt idx="11">
                  <c:v>-1.4275334362139919E-2</c:v>
                </c:pt>
                <c:pt idx="12">
                  <c:v>-1.3209825102880664E-2</c:v>
                </c:pt>
                <c:pt idx="13">
                  <c:v>-1.2152083333333334E-2</c:v>
                </c:pt>
                <c:pt idx="14">
                  <c:v>-1.1105504115226339E-2</c:v>
                </c:pt>
                <c:pt idx="15">
                  <c:v>-1.0074099794238685E-2</c:v>
                </c:pt>
                <c:pt idx="16">
                  <c:v>-9.0625000000000011E-3</c:v>
                </c:pt>
                <c:pt idx="17">
                  <c:v>-9.0625000000000011E-3</c:v>
                </c:pt>
                <c:pt idx="18">
                  <c:v>-8.0759259259259274E-3</c:v>
                </c:pt>
                <c:pt idx="19">
                  <c:v>-7.119907407407409E-3</c:v>
                </c:pt>
                <c:pt idx="20">
                  <c:v>-6.2000000000000006E-3</c:v>
                </c:pt>
                <c:pt idx="21">
                  <c:v>-5.3217592592592596E-3</c:v>
                </c:pt>
                <c:pt idx="22">
                  <c:v>-4.4907407407407422E-3</c:v>
                </c:pt>
                <c:pt idx="23">
                  <c:v>-3.7125000000000001E-3</c:v>
                </c:pt>
                <c:pt idx="24">
                  <c:v>-2.9925925925925931E-3</c:v>
                </c:pt>
                <c:pt idx="25">
                  <c:v>-2.3365740740740755E-3</c:v>
                </c:pt>
                <c:pt idx="26">
                  <c:v>-1.75E-3</c:v>
                </c:pt>
                <c:pt idx="27">
                  <c:v>-1.2384259259259275E-3</c:v>
                </c:pt>
                <c:pt idx="28">
                  <c:v>-8.0740740740740816E-4</c:v>
                </c:pt>
                <c:pt idx="29">
                  <c:v>-4.6250000000000002E-4</c:v>
                </c:pt>
                <c:pt idx="30">
                  <c:v>-2.0925925925926003E-4</c:v>
                </c:pt>
                <c:pt idx="31">
                  <c:v>-5.3240740740740934E-5</c:v>
                </c:pt>
                <c:pt idx="32">
                  <c:v>0</c:v>
                </c:pt>
              </c:numCache>
            </c:numRef>
          </c:yVal>
          <c:smooth val="0"/>
          <c:extLst>
            <c:ext xmlns:c16="http://schemas.microsoft.com/office/drawing/2014/chart" uri="{C3380CC4-5D6E-409C-BE32-E72D297353CC}">
              <c16:uniqueId val="{00000000-A199-4DE1-B8A8-D8BD20AE4B36}"/>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32</xdr:row>
      <xdr:rowOff>163496</xdr:rowOff>
    </xdr:from>
    <xdr:to>
      <xdr:col>8</xdr:col>
      <xdr:colOff>0</xdr:colOff>
      <xdr:row>44</xdr:row>
      <xdr:rowOff>41031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40822</xdr:colOff>
      <xdr:row>7</xdr:row>
      <xdr:rowOff>40821</xdr:rowOff>
    </xdr:from>
    <xdr:ext cx="2484424" cy="482301"/>
    <xdr:pic>
      <xdr:nvPicPr>
        <xdr:cNvPr id="4" name="Picture 3">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484424" cy="482301"/>
        </a:xfrm>
        <a:prstGeom prst="rect">
          <a:avLst/>
        </a:prstGeom>
      </xdr:spPr>
    </xdr:pic>
    <xdr:clientData/>
  </xdr:oneCellAnchor>
  <xdr:twoCellAnchor>
    <xdr:from>
      <xdr:col>3</xdr:col>
      <xdr:colOff>4432</xdr:colOff>
      <xdr:row>18</xdr:row>
      <xdr:rowOff>38353</xdr:rowOff>
    </xdr:from>
    <xdr:to>
      <xdr:col>3</xdr:col>
      <xdr:colOff>51888</xdr:colOff>
      <xdr:row>19</xdr:row>
      <xdr:rowOff>131370</xdr:rowOff>
    </xdr:to>
    <xdr:grpSp>
      <xdr:nvGrpSpPr>
        <xdr:cNvPr id="5" name="Group 48"/>
        <xdr:cNvGrpSpPr>
          <a:grpSpLocks/>
        </xdr:cNvGrpSpPr>
      </xdr:nvGrpSpPr>
      <xdr:grpSpPr bwMode="auto">
        <a:xfrm flipH="1">
          <a:off x="1924672" y="3284473"/>
          <a:ext cx="47456" cy="268277"/>
          <a:chOff x="242" y="4023"/>
          <a:chExt cx="5" cy="26"/>
        </a:xfrm>
      </xdr:grpSpPr>
      <xdr:sp macro="" textlink="">
        <xdr:nvSpPr>
          <xdr:cNvPr id="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lientData/>
  </xdr:twoCellAnchor>
  <xdr:twoCellAnchor>
    <xdr:from>
      <xdr:col>1</xdr:col>
      <xdr:colOff>4258</xdr:colOff>
      <xdr:row>14</xdr:row>
      <xdr:rowOff>148702</xdr:rowOff>
    </xdr:from>
    <xdr:to>
      <xdr:col>1</xdr:col>
      <xdr:colOff>4258</xdr:colOff>
      <xdr:row>16</xdr:row>
      <xdr:rowOff>141514</xdr:rowOff>
    </xdr:to>
    <xdr:cxnSp macro="">
      <xdr:nvCxnSpPr>
        <xdr:cNvPr id="12" name="Straight Connector 11"/>
        <xdr:cNvCxnSpPr/>
      </xdr:nvCxnSpPr>
      <xdr:spPr bwMode="auto">
        <a:xfrm>
          <a:off x="629098" y="2602342"/>
          <a:ext cx="0" cy="3433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650923</xdr:colOff>
      <xdr:row>19</xdr:row>
      <xdr:rowOff>156492</xdr:rowOff>
    </xdr:from>
    <xdr:to>
      <xdr:col>2</xdr:col>
      <xdr:colOff>650923</xdr:colOff>
      <xdr:row>21</xdr:row>
      <xdr:rowOff>159024</xdr:rowOff>
    </xdr:to>
    <xdr:cxnSp macro="">
      <xdr:nvCxnSpPr>
        <xdr:cNvPr id="13" name="Straight Arrow Connector 12"/>
        <xdr:cNvCxnSpPr/>
      </xdr:nvCxnSpPr>
      <xdr:spPr bwMode="auto">
        <a:xfrm flipV="1">
          <a:off x="1877743" y="3486432"/>
          <a:ext cx="0" cy="35305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615191</xdr:colOff>
      <xdr:row>20</xdr:row>
      <xdr:rowOff>61473</xdr:rowOff>
    </xdr:from>
    <xdr:to>
      <xdr:col>3</xdr:col>
      <xdr:colOff>273818</xdr:colOff>
      <xdr:row>21</xdr:row>
      <xdr:rowOff>156349</xdr:rowOff>
    </xdr:to>
    <xdr:sp macro="" textlink="">
      <xdr:nvSpPr>
        <xdr:cNvPr id="14" name="TextBox 13"/>
        <xdr:cNvSpPr txBox="1"/>
      </xdr:nvSpPr>
      <xdr:spPr>
        <a:xfrm>
          <a:off x="1864871" y="3566673"/>
          <a:ext cx="283467"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D</a:t>
          </a:r>
        </a:p>
      </xdr:txBody>
    </xdr:sp>
    <xdr:clientData/>
  </xdr:twoCellAnchor>
  <xdr:twoCellAnchor>
    <xdr:from>
      <xdr:col>1</xdr:col>
      <xdr:colOff>4258</xdr:colOff>
      <xdr:row>15</xdr:row>
      <xdr:rowOff>11192</xdr:rowOff>
    </xdr:from>
    <xdr:to>
      <xdr:col>2</xdr:col>
      <xdr:colOff>650923</xdr:colOff>
      <xdr:row>15</xdr:row>
      <xdr:rowOff>11192</xdr:rowOff>
    </xdr:to>
    <xdr:cxnSp macro="">
      <xdr:nvCxnSpPr>
        <xdr:cNvPr id="15" name="Straight Arrow Connector 14"/>
        <xdr:cNvCxnSpPr/>
      </xdr:nvCxnSpPr>
      <xdr:spPr bwMode="auto">
        <a:xfrm>
          <a:off x="629098" y="2640092"/>
          <a:ext cx="124864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3</xdr:col>
      <xdr:colOff>20141</xdr:colOff>
      <xdr:row>18</xdr:row>
      <xdr:rowOff>13146</xdr:rowOff>
    </xdr:from>
    <xdr:to>
      <xdr:col>3</xdr:col>
      <xdr:colOff>354954</xdr:colOff>
      <xdr:row>20</xdr:row>
      <xdr:rowOff>37326</xdr:rowOff>
    </xdr:to>
    <xdr:sp macro="" textlink="">
      <xdr:nvSpPr>
        <xdr:cNvPr id="16" name="Arc 15"/>
        <xdr:cNvSpPr/>
      </xdr:nvSpPr>
      <xdr:spPr bwMode="auto">
        <a:xfrm>
          <a:off x="1894661" y="3167826"/>
          <a:ext cx="334813" cy="374700"/>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3</xdr:col>
      <xdr:colOff>273459</xdr:colOff>
      <xdr:row>19</xdr:row>
      <xdr:rowOff>27225</xdr:rowOff>
    </xdr:from>
    <xdr:to>
      <xdr:col>4</xdr:col>
      <xdr:colOff>5788</xdr:colOff>
      <xdr:row>20</xdr:row>
      <xdr:rowOff>122101</xdr:rowOff>
    </xdr:to>
    <xdr:sp macro="" textlink="">
      <xdr:nvSpPr>
        <xdr:cNvPr id="17" name="TextBox 16"/>
        <xdr:cNvSpPr txBox="1"/>
      </xdr:nvSpPr>
      <xdr:spPr>
        <a:xfrm>
          <a:off x="2147979" y="3357165"/>
          <a:ext cx="357169" cy="2701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D</a:t>
          </a:r>
        </a:p>
      </xdr:txBody>
    </xdr:sp>
    <xdr:clientData/>
  </xdr:twoCellAnchor>
  <xdr:twoCellAnchor>
    <xdr:from>
      <xdr:col>0</xdr:col>
      <xdr:colOff>344556</xdr:colOff>
      <xdr:row>18</xdr:row>
      <xdr:rowOff>100966</xdr:rowOff>
    </xdr:from>
    <xdr:to>
      <xdr:col>0</xdr:col>
      <xdr:colOff>603322</xdr:colOff>
      <xdr:row>20</xdr:row>
      <xdr:rowOff>23563</xdr:rowOff>
    </xdr:to>
    <xdr:sp macro="" textlink="">
      <xdr:nvSpPr>
        <xdr:cNvPr id="18" name="TextBox 17"/>
        <xdr:cNvSpPr txBox="1"/>
      </xdr:nvSpPr>
      <xdr:spPr>
        <a:xfrm>
          <a:off x="344556" y="3255646"/>
          <a:ext cx="2587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clientData/>
  </xdr:twoCellAnchor>
  <xdr:twoCellAnchor>
    <xdr:from>
      <xdr:col>0</xdr:col>
      <xdr:colOff>397596</xdr:colOff>
      <xdr:row>14</xdr:row>
      <xdr:rowOff>104021</xdr:rowOff>
    </xdr:from>
    <xdr:to>
      <xdr:col>1</xdr:col>
      <xdr:colOff>27249</xdr:colOff>
      <xdr:row>16</xdr:row>
      <xdr:rowOff>26618</xdr:rowOff>
    </xdr:to>
    <xdr:sp macro="" textlink="">
      <xdr:nvSpPr>
        <xdr:cNvPr id="19" name="TextBox 18"/>
        <xdr:cNvSpPr txBox="1"/>
      </xdr:nvSpPr>
      <xdr:spPr>
        <a:xfrm>
          <a:off x="397596" y="2557661"/>
          <a:ext cx="254493"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93126</xdr:colOff>
      <xdr:row>19</xdr:row>
      <xdr:rowOff>692</xdr:rowOff>
    </xdr:from>
    <xdr:to>
      <xdr:col>4</xdr:col>
      <xdr:colOff>75942</xdr:colOff>
      <xdr:row>19</xdr:row>
      <xdr:rowOff>692</xdr:rowOff>
    </xdr:to>
    <xdr:cxnSp macro="">
      <xdr:nvCxnSpPr>
        <xdr:cNvPr id="20" name="Straight Connector 19"/>
        <xdr:cNvCxnSpPr/>
      </xdr:nvCxnSpPr>
      <xdr:spPr bwMode="auto">
        <a:xfrm flipH="1">
          <a:off x="1967646" y="3330632"/>
          <a:ext cx="60765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551402</xdr:colOff>
      <xdr:row>17</xdr:row>
      <xdr:rowOff>98330</xdr:rowOff>
    </xdr:from>
    <xdr:to>
      <xdr:col>4</xdr:col>
      <xdr:colOff>185528</xdr:colOff>
      <xdr:row>19</xdr:row>
      <xdr:rowOff>20927</xdr:rowOff>
    </xdr:to>
    <xdr:sp macro="" textlink="">
      <xdr:nvSpPr>
        <xdr:cNvPr id="21" name="TextBox 20"/>
        <xdr:cNvSpPr txBox="1"/>
      </xdr:nvSpPr>
      <xdr:spPr>
        <a:xfrm>
          <a:off x="2425922" y="3077750"/>
          <a:ext cx="258966"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654626</xdr:colOff>
      <xdr:row>14</xdr:row>
      <xdr:rowOff>148702</xdr:rowOff>
    </xdr:from>
    <xdr:to>
      <xdr:col>2</xdr:col>
      <xdr:colOff>654626</xdr:colOff>
      <xdr:row>18</xdr:row>
      <xdr:rowOff>3179</xdr:rowOff>
    </xdr:to>
    <xdr:cxnSp macro="">
      <xdr:nvCxnSpPr>
        <xdr:cNvPr id="22" name="Straight Connector 21"/>
        <xdr:cNvCxnSpPr/>
      </xdr:nvCxnSpPr>
      <xdr:spPr bwMode="auto">
        <a:xfrm>
          <a:off x="1873826" y="2602342"/>
          <a:ext cx="0" cy="55551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536424</xdr:colOff>
      <xdr:row>13</xdr:row>
      <xdr:rowOff>154557</xdr:rowOff>
    </xdr:from>
    <xdr:to>
      <xdr:col>2</xdr:col>
      <xdr:colOff>136807</xdr:colOff>
      <xdr:row>15</xdr:row>
      <xdr:rowOff>61113</xdr:rowOff>
    </xdr:to>
    <xdr:sp macro="" textlink="">
      <xdr:nvSpPr>
        <xdr:cNvPr id="23" name="TextBox 22"/>
        <xdr:cNvSpPr txBox="1"/>
      </xdr:nvSpPr>
      <xdr:spPr>
        <a:xfrm>
          <a:off x="1161264" y="2432937"/>
          <a:ext cx="225223" cy="2570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3</xdr:col>
      <xdr:colOff>60219</xdr:colOff>
      <xdr:row>14</xdr:row>
      <xdr:rowOff>104037</xdr:rowOff>
    </xdr:from>
    <xdr:to>
      <xdr:col>3</xdr:col>
      <xdr:colOff>617037</xdr:colOff>
      <xdr:row>16</xdr:row>
      <xdr:rowOff>26347</xdr:rowOff>
    </xdr:to>
    <xdr:sp macro="" textlink="">
      <xdr:nvSpPr>
        <xdr:cNvPr id="24" name="TextBox 23"/>
        <xdr:cNvSpPr txBox="1"/>
      </xdr:nvSpPr>
      <xdr:spPr>
        <a:xfrm>
          <a:off x="1934739" y="2557677"/>
          <a:ext cx="556818" cy="2728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W=w(b-a)</a:t>
          </a:r>
          <a:endParaRPr lang="en-CA" sz="1000" baseline="-25000"/>
        </a:p>
      </xdr:txBody>
    </xdr:sp>
    <xdr:clientData/>
  </xdr:twoCellAnchor>
  <xdr:twoCellAnchor>
    <xdr:from>
      <xdr:col>1</xdr:col>
      <xdr:colOff>4258</xdr:colOff>
      <xdr:row>19</xdr:row>
      <xdr:rowOff>692</xdr:rowOff>
    </xdr:from>
    <xdr:to>
      <xdr:col>3</xdr:col>
      <xdr:colOff>6052</xdr:colOff>
      <xdr:row>19</xdr:row>
      <xdr:rowOff>124558</xdr:rowOff>
    </xdr:to>
    <xdr:sp macro="" textlink="">
      <xdr:nvSpPr>
        <xdr:cNvPr id="25" name="Freeform: Shape 24"/>
        <xdr:cNvSpPr/>
      </xdr:nvSpPr>
      <xdr:spPr bwMode="auto">
        <a:xfrm>
          <a:off x="629098" y="3330632"/>
          <a:ext cx="125147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512496</xdr:colOff>
      <xdr:row>19</xdr:row>
      <xdr:rowOff>170027</xdr:rowOff>
    </xdr:from>
    <xdr:to>
      <xdr:col>1</xdr:col>
      <xdr:colOff>154992</xdr:colOff>
      <xdr:row>21</xdr:row>
      <xdr:rowOff>92625</xdr:rowOff>
    </xdr:to>
    <xdr:sp macro="" textlink="">
      <xdr:nvSpPr>
        <xdr:cNvPr id="26" name="TextBox 25"/>
        <xdr:cNvSpPr txBox="1"/>
      </xdr:nvSpPr>
      <xdr:spPr>
        <a:xfrm>
          <a:off x="512496" y="3499967"/>
          <a:ext cx="267336" cy="273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1</xdr:col>
      <xdr:colOff>309861</xdr:colOff>
      <xdr:row>19</xdr:row>
      <xdr:rowOff>29731</xdr:rowOff>
    </xdr:from>
    <xdr:to>
      <xdr:col>1</xdr:col>
      <xdr:colOff>575209</xdr:colOff>
      <xdr:row>20</xdr:row>
      <xdr:rowOff>125224</xdr:rowOff>
    </xdr:to>
    <xdr:sp macro="" textlink="">
      <xdr:nvSpPr>
        <xdr:cNvPr id="27" name="TextBox 26"/>
        <xdr:cNvSpPr txBox="1"/>
      </xdr:nvSpPr>
      <xdr:spPr>
        <a:xfrm>
          <a:off x="934701" y="3359671"/>
          <a:ext cx="265348" cy="270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1</xdr:col>
      <xdr:colOff>0</xdr:colOff>
      <xdr:row>19</xdr:row>
      <xdr:rowOff>0</xdr:rowOff>
    </xdr:from>
    <xdr:to>
      <xdr:col>3</xdr:col>
      <xdr:colOff>6052</xdr:colOff>
      <xdr:row>19</xdr:row>
      <xdr:rowOff>692</xdr:rowOff>
    </xdr:to>
    <xdr:cxnSp macro="">
      <xdr:nvCxnSpPr>
        <xdr:cNvPr id="28" name="Straight Arrow Connector 27"/>
        <xdr:cNvCxnSpPr>
          <a:stCxn id="25" idx="0"/>
          <a:endCxn id="18" idx="1"/>
        </xdr:cNvCxnSpPr>
      </xdr:nvCxnSpPr>
      <xdr:spPr bwMode="auto">
        <a:xfrm flipH="1" flipV="1">
          <a:off x="624840" y="3329940"/>
          <a:ext cx="125573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lientData/>
  </xdr:twoCellAnchor>
  <xdr:twoCellAnchor>
    <xdr:from>
      <xdr:col>1</xdr:col>
      <xdr:colOff>436268</xdr:colOff>
      <xdr:row>16</xdr:row>
      <xdr:rowOff>178567</xdr:rowOff>
    </xdr:from>
    <xdr:to>
      <xdr:col>1</xdr:col>
      <xdr:colOff>436268</xdr:colOff>
      <xdr:row>19</xdr:row>
      <xdr:rowOff>1007</xdr:rowOff>
    </xdr:to>
    <xdr:cxnSp macro="">
      <xdr:nvCxnSpPr>
        <xdr:cNvPr id="29" name="Straight Arrow Connector 28"/>
        <xdr:cNvCxnSpPr/>
      </xdr:nvCxnSpPr>
      <xdr:spPr bwMode="auto">
        <a:xfrm>
          <a:off x="1061108"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579597</xdr:colOff>
      <xdr:row>16</xdr:row>
      <xdr:rowOff>178567</xdr:rowOff>
    </xdr:from>
    <xdr:to>
      <xdr:col>1</xdr:col>
      <xdr:colOff>579597</xdr:colOff>
      <xdr:row>19</xdr:row>
      <xdr:rowOff>1007</xdr:rowOff>
    </xdr:to>
    <xdr:cxnSp macro="">
      <xdr:nvCxnSpPr>
        <xdr:cNvPr id="30" name="Straight Arrow Connector 29"/>
        <xdr:cNvCxnSpPr/>
      </xdr:nvCxnSpPr>
      <xdr:spPr bwMode="auto">
        <a:xfrm>
          <a:off x="1204437"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83391</xdr:colOff>
      <xdr:row>16</xdr:row>
      <xdr:rowOff>178567</xdr:rowOff>
    </xdr:from>
    <xdr:to>
      <xdr:col>2</xdr:col>
      <xdr:colOff>83391</xdr:colOff>
      <xdr:row>19</xdr:row>
      <xdr:rowOff>1007</xdr:rowOff>
    </xdr:to>
    <xdr:cxnSp macro="">
      <xdr:nvCxnSpPr>
        <xdr:cNvPr id="31" name="Straight Arrow Connector 30"/>
        <xdr:cNvCxnSpPr/>
      </xdr:nvCxnSpPr>
      <xdr:spPr bwMode="auto">
        <a:xfrm>
          <a:off x="1333071"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226720</xdr:colOff>
      <xdr:row>16</xdr:row>
      <xdr:rowOff>178567</xdr:rowOff>
    </xdr:from>
    <xdr:to>
      <xdr:col>2</xdr:col>
      <xdr:colOff>226720</xdr:colOff>
      <xdr:row>19</xdr:row>
      <xdr:rowOff>1007</xdr:rowOff>
    </xdr:to>
    <xdr:cxnSp macro="">
      <xdr:nvCxnSpPr>
        <xdr:cNvPr id="32" name="Straight Arrow Connector 31"/>
        <xdr:cNvCxnSpPr/>
      </xdr:nvCxnSpPr>
      <xdr:spPr bwMode="auto">
        <a:xfrm>
          <a:off x="1476400"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2</xdr:col>
      <xdr:colOff>370049</xdr:colOff>
      <xdr:row>16</xdr:row>
      <xdr:rowOff>178567</xdr:rowOff>
    </xdr:from>
    <xdr:to>
      <xdr:col>2</xdr:col>
      <xdr:colOff>370049</xdr:colOff>
      <xdr:row>19</xdr:row>
      <xdr:rowOff>1007</xdr:rowOff>
    </xdr:to>
    <xdr:cxnSp macro="">
      <xdr:nvCxnSpPr>
        <xdr:cNvPr id="33" name="Straight Arrow Connector 32"/>
        <xdr:cNvCxnSpPr/>
      </xdr:nvCxnSpPr>
      <xdr:spPr bwMode="auto">
        <a:xfrm>
          <a:off x="1619729" y="2982727"/>
          <a:ext cx="0" cy="3482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437147</xdr:colOff>
      <xdr:row>16</xdr:row>
      <xdr:rowOff>176893</xdr:rowOff>
    </xdr:from>
    <xdr:to>
      <xdr:col>2</xdr:col>
      <xdr:colOff>368969</xdr:colOff>
      <xdr:row>16</xdr:row>
      <xdr:rowOff>176893</xdr:rowOff>
    </xdr:to>
    <xdr:cxnSp macro="">
      <xdr:nvCxnSpPr>
        <xdr:cNvPr id="34" name="Straight Connector 33"/>
        <xdr:cNvCxnSpPr/>
      </xdr:nvCxnSpPr>
      <xdr:spPr bwMode="auto">
        <a:xfrm>
          <a:off x="1061987" y="2981053"/>
          <a:ext cx="55666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245692</xdr:colOff>
      <xdr:row>18</xdr:row>
      <xdr:rowOff>166089</xdr:rowOff>
    </xdr:from>
    <xdr:to>
      <xdr:col>2</xdr:col>
      <xdr:colOff>511040</xdr:colOff>
      <xdr:row>20</xdr:row>
      <xdr:rowOff>85119</xdr:rowOff>
    </xdr:to>
    <xdr:sp macro="" textlink="">
      <xdr:nvSpPr>
        <xdr:cNvPr id="35" name="TextBox 34"/>
        <xdr:cNvSpPr txBox="1"/>
      </xdr:nvSpPr>
      <xdr:spPr>
        <a:xfrm>
          <a:off x="1495372" y="3320769"/>
          <a:ext cx="265348" cy="26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lientData/>
  </xdr:twoCellAnchor>
  <xdr:twoCellAnchor>
    <xdr:from>
      <xdr:col>3</xdr:col>
      <xdr:colOff>29124</xdr:colOff>
      <xdr:row>17</xdr:row>
      <xdr:rowOff>65825</xdr:rowOff>
    </xdr:from>
    <xdr:to>
      <xdr:col>3</xdr:col>
      <xdr:colOff>294472</xdr:colOff>
      <xdr:row>18</xdr:row>
      <xdr:rowOff>161318</xdr:rowOff>
    </xdr:to>
    <xdr:sp macro="" textlink="">
      <xdr:nvSpPr>
        <xdr:cNvPr id="36" name="TextBox 35"/>
        <xdr:cNvSpPr txBox="1"/>
      </xdr:nvSpPr>
      <xdr:spPr>
        <a:xfrm>
          <a:off x="1903644" y="3045245"/>
          <a:ext cx="265348" cy="2707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clientData/>
  </xdr:twoCellAnchor>
  <xdr:twoCellAnchor>
    <xdr:from>
      <xdr:col>1</xdr:col>
      <xdr:colOff>433972</xdr:colOff>
      <xdr:row>15</xdr:row>
      <xdr:rowOff>96253</xdr:rowOff>
    </xdr:from>
    <xdr:to>
      <xdr:col>1</xdr:col>
      <xdr:colOff>433972</xdr:colOff>
      <xdr:row>16</xdr:row>
      <xdr:rowOff>145524</xdr:rowOff>
    </xdr:to>
    <xdr:cxnSp macro="">
      <xdr:nvCxnSpPr>
        <xdr:cNvPr id="37" name="Straight Connector 36"/>
        <xdr:cNvCxnSpPr/>
      </xdr:nvCxnSpPr>
      <xdr:spPr bwMode="auto">
        <a:xfrm>
          <a:off x="1058812" y="2725153"/>
          <a:ext cx="0" cy="22453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438615</xdr:colOff>
      <xdr:row>16</xdr:row>
      <xdr:rowOff>7181</xdr:rowOff>
    </xdr:from>
    <xdr:to>
      <xdr:col>2</xdr:col>
      <xdr:colOff>649706</xdr:colOff>
      <xdr:row>16</xdr:row>
      <xdr:rowOff>7181</xdr:rowOff>
    </xdr:to>
    <xdr:cxnSp macro="">
      <xdr:nvCxnSpPr>
        <xdr:cNvPr id="38" name="Straight Arrow Connector 37"/>
        <xdr:cNvCxnSpPr/>
      </xdr:nvCxnSpPr>
      <xdr:spPr bwMode="auto">
        <a:xfrm>
          <a:off x="1063455" y="2811341"/>
          <a:ext cx="813071"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91255</xdr:colOff>
      <xdr:row>14</xdr:row>
      <xdr:rowOff>154558</xdr:rowOff>
    </xdr:from>
    <xdr:to>
      <xdr:col>2</xdr:col>
      <xdr:colOff>333322</xdr:colOff>
      <xdr:row>16</xdr:row>
      <xdr:rowOff>77155</xdr:rowOff>
    </xdr:to>
    <xdr:sp macro="" textlink="">
      <xdr:nvSpPr>
        <xdr:cNvPr id="39" name="TextBox 38"/>
        <xdr:cNvSpPr txBox="1"/>
      </xdr:nvSpPr>
      <xdr:spPr>
        <a:xfrm>
          <a:off x="1340935" y="2608198"/>
          <a:ext cx="242067" cy="273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2</xdr:col>
      <xdr:colOff>381248</xdr:colOff>
      <xdr:row>16</xdr:row>
      <xdr:rowOff>187654</xdr:rowOff>
    </xdr:from>
    <xdr:to>
      <xdr:col>3</xdr:col>
      <xdr:colOff>4011</xdr:colOff>
      <xdr:row>16</xdr:row>
      <xdr:rowOff>187654</xdr:rowOff>
    </xdr:to>
    <xdr:cxnSp macro="">
      <xdr:nvCxnSpPr>
        <xdr:cNvPr id="40" name="Straight Arrow Connector 39"/>
        <xdr:cNvCxnSpPr/>
      </xdr:nvCxnSpPr>
      <xdr:spPr bwMode="auto">
        <a:xfrm>
          <a:off x="1630928" y="2976574"/>
          <a:ext cx="247603"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600591</xdr:colOff>
      <xdr:row>16</xdr:row>
      <xdr:rowOff>26221</xdr:rowOff>
    </xdr:from>
    <xdr:to>
      <xdr:col>3</xdr:col>
      <xdr:colOff>188942</xdr:colOff>
      <xdr:row>17</xdr:row>
      <xdr:rowOff>109240</xdr:rowOff>
    </xdr:to>
    <xdr:sp macro="" textlink="">
      <xdr:nvSpPr>
        <xdr:cNvPr id="41" name="TextBox 40"/>
        <xdr:cNvSpPr txBox="1"/>
      </xdr:nvSpPr>
      <xdr:spPr>
        <a:xfrm>
          <a:off x="1850271" y="2830381"/>
          <a:ext cx="213191" cy="258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1</xdr:col>
      <xdr:colOff>181707</xdr:colOff>
      <xdr:row>17</xdr:row>
      <xdr:rowOff>0</xdr:rowOff>
    </xdr:from>
    <xdr:to>
      <xdr:col>1</xdr:col>
      <xdr:colOff>491595</xdr:colOff>
      <xdr:row>18</xdr:row>
      <xdr:rowOff>92411</xdr:rowOff>
    </xdr:to>
    <xdr:sp macro="" textlink="">
      <xdr:nvSpPr>
        <xdr:cNvPr id="42" name="TextBox 41"/>
        <xdr:cNvSpPr txBox="1"/>
      </xdr:nvSpPr>
      <xdr:spPr>
        <a:xfrm>
          <a:off x="806547" y="2979420"/>
          <a:ext cx="309888" cy="2676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09375" defaultRowHeight="15.6" x14ac:dyDescent="0.3"/>
  <cols>
    <col min="1" max="2" width="9.109375" style="17"/>
    <col min="3" max="3" width="10.6640625" style="17" bestFit="1" customWidth="1"/>
    <col min="4" max="11" width="9.109375" style="17"/>
    <col min="12" max="12" width="5.44140625" style="5" customWidth="1"/>
    <col min="13" max="17" width="5.33203125" style="26" customWidth="1"/>
    <col min="18" max="19" width="5.33203125" style="27" customWidth="1"/>
    <col min="20" max="25" width="9.109375" style="29"/>
    <col min="26" max="16384" width="9.109375" style="17"/>
  </cols>
  <sheetData>
    <row r="1" spans="1:25" s="5" customFormat="1" ht="13.8" x14ac:dyDescent="0.3">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3.8" x14ac:dyDescent="0.3">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3.8" x14ac:dyDescent="0.3">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3.8" x14ac:dyDescent="0.3">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3.8" x14ac:dyDescent="0.3">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3.8" x14ac:dyDescent="0.3">
      <c r="A6" s="1"/>
      <c r="B6" s="1" t="s">
        <v>6</v>
      </c>
      <c r="C6" s="9"/>
      <c r="D6" s="1"/>
      <c r="E6" s="1"/>
      <c r="F6" s="1"/>
      <c r="G6" s="1"/>
      <c r="H6" s="1"/>
      <c r="I6" s="1"/>
      <c r="J6" s="1"/>
      <c r="K6" s="1"/>
      <c r="M6" s="22"/>
      <c r="N6" s="22"/>
      <c r="O6" s="22"/>
      <c r="P6" s="22"/>
      <c r="Q6" s="26"/>
      <c r="R6" s="27"/>
      <c r="S6" s="27"/>
      <c r="T6" s="23"/>
      <c r="U6" s="23"/>
      <c r="V6" s="23"/>
      <c r="W6" s="24"/>
      <c r="X6" s="25"/>
      <c r="Y6" s="23"/>
    </row>
    <row r="7" spans="1:25" s="5" customFormat="1" ht="13.8" x14ac:dyDescent="0.3">
      <c r="A7" s="1"/>
      <c r="B7" s="1"/>
      <c r="C7" s="1"/>
      <c r="D7" s="1"/>
      <c r="E7" s="1"/>
      <c r="F7" s="1"/>
      <c r="G7" s="1"/>
      <c r="H7" s="1"/>
      <c r="I7" s="1"/>
      <c r="J7" s="1"/>
      <c r="K7" s="1"/>
      <c r="M7" s="22"/>
      <c r="N7" s="22"/>
      <c r="O7" s="22"/>
      <c r="P7" s="22"/>
      <c r="Q7" s="26"/>
      <c r="R7" s="27"/>
      <c r="S7" s="27"/>
      <c r="T7" s="23"/>
      <c r="U7" s="23"/>
      <c r="V7" s="23"/>
      <c r="W7" s="24"/>
      <c r="X7" s="25"/>
      <c r="Y7" s="23"/>
    </row>
    <row r="8" spans="1:25" s="5" customFormat="1" ht="13.8" x14ac:dyDescent="0.3">
      <c r="A8" s="16"/>
      <c r="E8" s="6"/>
      <c r="F8" s="7"/>
      <c r="H8" s="10"/>
      <c r="I8" s="6"/>
      <c r="J8" s="11"/>
      <c r="K8" s="12"/>
      <c r="L8" s="13"/>
      <c r="M8" s="22"/>
      <c r="N8" s="22"/>
      <c r="O8" s="22"/>
      <c r="P8" s="22"/>
      <c r="Q8" s="26"/>
      <c r="R8" s="27"/>
      <c r="S8" s="27"/>
      <c r="T8" s="23"/>
      <c r="U8" s="23"/>
      <c r="V8" s="23"/>
      <c r="W8" s="23"/>
      <c r="X8" s="23"/>
      <c r="Y8" s="23"/>
    </row>
    <row r="9" spans="1:25" s="5" customFormat="1" ht="13.8" x14ac:dyDescent="0.3">
      <c r="E9" s="6"/>
      <c r="F9" s="10"/>
      <c r="H9" s="10"/>
      <c r="I9" s="6"/>
      <c r="J9" s="12"/>
      <c r="K9" s="12"/>
      <c r="L9" s="13"/>
      <c r="M9" s="22"/>
      <c r="N9" s="22"/>
      <c r="O9" s="22"/>
      <c r="P9" s="22"/>
      <c r="Q9" s="26"/>
      <c r="R9" s="27"/>
      <c r="S9" s="27"/>
      <c r="T9" s="23"/>
      <c r="U9" s="23"/>
      <c r="V9" s="23"/>
      <c r="W9" s="23"/>
      <c r="X9" s="23"/>
      <c r="Y9" s="23"/>
    </row>
    <row r="10" spans="1:25" s="5" customFormat="1" ht="13.8" x14ac:dyDescent="0.3">
      <c r="E10" s="6"/>
      <c r="F10" s="10"/>
      <c r="H10" s="10"/>
      <c r="I10" s="6"/>
      <c r="J10" s="7"/>
      <c r="K10" s="10"/>
      <c r="L10" s="13"/>
      <c r="M10" s="22"/>
      <c r="N10" s="22"/>
      <c r="O10" s="22"/>
      <c r="P10" s="22"/>
      <c r="Q10" s="26"/>
      <c r="R10" s="27"/>
      <c r="S10" s="27"/>
      <c r="T10" s="23"/>
      <c r="U10" s="23"/>
      <c r="V10" s="23"/>
      <c r="W10" s="23"/>
      <c r="X10" s="23"/>
      <c r="Y10" s="23"/>
    </row>
    <row r="11" spans="1:25" s="5" customFormat="1" ht="13.8" x14ac:dyDescent="0.3">
      <c r="E11" s="6"/>
      <c r="F11" s="10"/>
      <c r="I11" s="14"/>
      <c r="J11" s="7"/>
      <c r="M11" s="22"/>
      <c r="N11" s="22"/>
      <c r="O11" s="22"/>
      <c r="P11" s="22"/>
      <c r="Q11" s="22"/>
      <c r="R11" s="22"/>
      <c r="S11" s="22"/>
      <c r="T11" s="23"/>
      <c r="U11" s="23"/>
      <c r="V11" s="23"/>
      <c r="W11" s="23"/>
      <c r="X11" s="23"/>
      <c r="Y11" s="23"/>
    </row>
    <row r="12" spans="1:25" x14ac:dyDescent="0.3">
      <c r="C12" s="15" t="str">
        <f>G4</f>
        <v>IMPORTANT INFORMATION</v>
      </c>
      <c r="M12" s="22"/>
      <c r="N12" s="22"/>
      <c r="O12" s="22"/>
      <c r="P12" s="22"/>
      <c r="Q12" s="28"/>
      <c r="R12" s="28"/>
      <c r="S12" s="28"/>
    </row>
    <row r="13" spans="1:25" s="5" customFormat="1" ht="13.8" x14ac:dyDescent="0.3">
      <c r="M13" s="22"/>
      <c r="N13" s="22"/>
      <c r="O13" s="22"/>
      <c r="P13" s="22"/>
      <c r="Q13" s="22"/>
      <c r="R13" s="22"/>
      <c r="S13" s="22"/>
      <c r="T13" s="23"/>
      <c r="U13" s="23"/>
      <c r="V13" s="23"/>
      <c r="W13" s="23"/>
      <c r="X13" s="23"/>
      <c r="Y13" s="23"/>
    </row>
    <row r="14" spans="1:25" s="5" customFormat="1" ht="13.8" x14ac:dyDescent="0.3">
      <c r="B14" s="18" t="s">
        <v>13</v>
      </c>
      <c r="M14" s="22"/>
      <c r="N14" s="22"/>
      <c r="O14" s="22"/>
      <c r="P14" s="22"/>
      <c r="Q14" s="22"/>
      <c r="R14" s="22"/>
      <c r="S14" s="22"/>
      <c r="T14" s="23"/>
      <c r="U14" s="23"/>
      <c r="V14" s="23"/>
      <c r="W14" s="23"/>
      <c r="X14" s="23"/>
      <c r="Y14" s="23"/>
    </row>
    <row r="15" spans="1:25" s="5" customFormat="1" ht="13.8" x14ac:dyDescent="0.3">
      <c r="A15" s="19"/>
      <c r="K15" s="19"/>
      <c r="M15" s="26"/>
      <c r="N15" s="26"/>
      <c r="O15" s="26"/>
      <c r="P15" s="26"/>
      <c r="Q15" s="26"/>
      <c r="R15" s="27"/>
      <c r="S15" s="27"/>
      <c r="T15" s="23"/>
      <c r="U15" s="23"/>
      <c r="V15" s="23"/>
      <c r="W15" s="23"/>
      <c r="X15" s="23"/>
      <c r="Y15" s="23"/>
    </row>
    <row r="16" spans="1:25" s="5" customFormat="1" ht="12.75" customHeight="1" x14ac:dyDescent="0.3">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3.8" x14ac:dyDescent="0.3">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3.8" x14ac:dyDescent="0.3">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3.8" x14ac:dyDescent="0.3">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3">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3.8" x14ac:dyDescent="0.3">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3">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3.8" x14ac:dyDescent="0.3">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3.8" x14ac:dyDescent="0.3">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3">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3">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3.8" x14ac:dyDescent="0.3">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3.8" x14ac:dyDescent="0.3">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3">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3">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3">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3">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3">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3.8" x14ac:dyDescent="0.3">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3">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3">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3.8" x14ac:dyDescent="0.3">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3">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3.8" x14ac:dyDescent="0.3">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3.8" x14ac:dyDescent="0.3">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3">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3.8" x14ac:dyDescent="0.3">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3.8" x14ac:dyDescent="0.3">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3">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3">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3.8" x14ac:dyDescent="0.3">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3.8" x14ac:dyDescent="0.3">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3">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3.8" x14ac:dyDescent="0.3">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3.8" x14ac:dyDescent="0.3">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3.8" x14ac:dyDescent="0.3">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3">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3.8" x14ac:dyDescent="0.3">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3">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3.8" x14ac:dyDescent="0.3">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3.8" x14ac:dyDescent="0.3">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3.8" x14ac:dyDescent="0.3">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3.8" x14ac:dyDescent="0.3">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3.8" x14ac:dyDescent="0.3">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3.8" x14ac:dyDescent="0.3">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3.8" x14ac:dyDescent="0.3">
      <c r="A61" s="19"/>
      <c r="J61" s="19"/>
      <c r="K61" s="19"/>
      <c r="M61" s="26"/>
      <c r="N61" s="26"/>
      <c r="O61" s="26"/>
      <c r="P61" s="26"/>
      <c r="Q61" s="26"/>
      <c r="R61" s="27"/>
      <c r="S61" s="27"/>
      <c r="T61" s="23"/>
      <c r="U61" s="23"/>
      <c r="V61" s="23"/>
      <c r="W61" s="23"/>
      <c r="X61" s="23"/>
      <c r="Y61" s="23"/>
    </row>
    <row r="62" spans="1:25" s="5" customFormat="1" ht="13.8" x14ac:dyDescent="0.3">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Normal="100" zoomScaleSheetLayoutView="100" workbookViewId="0">
      <selection activeCell="G5" sqref="G5"/>
    </sheetView>
  </sheetViews>
  <sheetFormatPr defaultColWidth="9.109375" defaultRowHeight="15.6" x14ac:dyDescent="0.3"/>
  <cols>
    <col min="1" max="1" width="9.109375" style="36"/>
    <col min="2" max="2" width="9.33203125" style="36" customWidth="1"/>
    <col min="3" max="3" width="9.5546875" style="36" customWidth="1"/>
    <col min="4" max="11" width="9.109375" style="36"/>
    <col min="12" max="12" width="5.44140625" style="39" customWidth="1"/>
    <col min="13" max="20" width="5.44140625" style="38" customWidth="1"/>
    <col min="21" max="21" width="5.44140625" style="37" customWidth="1"/>
    <col min="22" max="23" width="9.109375" style="36"/>
    <col min="24" max="24" width="10.5546875" style="36" bestFit="1" customWidth="1"/>
    <col min="25" max="25" width="10" style="36" bestFit="1" customWidth="1"/>
    <col min="26" max="26" width="11" style="36" bestFit="1" customWidth="1"/>
    <col min="27" max="16384" width="9.109375" style="36"/>
  </cols>
  <sheetData>
    <row r="1" spans="1:39" s="5" customFormat="1" ht="13.8" x14ac:dyDescent="0.3">
      <c r="A1" s="1"/>
      <c r="B1" s="2" t="s">
        <v>1</v>
      </c>
      <c r="C1" s="3" t="s">
        <v>0</v>
      </c>
      <c r="D1" s="1"/>
      <c r="E1" s="1"/>
      <c r="F1" s="2" t="s">
        <v>8</v>
      </c>
      <c r="G1" s="4">
        <f>X1</f>
        <v>1</v>
      </c>
      <c r="H1" s="1"/>
      <c r="I1" s="1"/>
      <c r="J1" s="1"/>
      <c r="K1" s="1"/>
      <c r="M1" s="102" t="s">
        <v>106</v>
      </c>
      <c r="N1" s="102" t="s">
        <v>99</v>
      </c>
      <c r="O1" s="102" t="s">
        <v>105</v>
      </c>
      <c r="P1" s="102" t="s">
        <v>105</v>
      </c>
      <c r="Q1" s="102" t="s">
        <v>105</v>
      </c>
      <c r="R1" s="102" t="s">
        <v>104</v>
      </c>
      <c r="S1" s="101" t="s">
        <v>103</v>
      </c>
      <c r="T1" s="100" t="s">
        <v>102</v>
      </c>
      <c r="W1" s="6" t="s">
        <v>101</v>
      </c>
      <c r="X1" s="7">
        <f>SUM(M:M)</f>
        <v>1</v>
      </c>
    </row>
    <row r="2" spans="1:39" s="5" customFormat="1" ht="13.8" x14ac:dyDescent="0.3">
      <c r="A2" s="1"/>
      <c r="B2" s="2" t="s">
        <v>2</v>
      </c>
      <c r="C2" s="3" t="s">
        <v>7</v>
      </c>
      <c r="D2" s="1"/>
      <c r="E2" s="1"/>
      <c r="F2" s="2" t="s">
        <v>5</v>
      </c>
      <c r="G2" s="3" t="s">
        <v>100</v>
      </c>
      <c r="H2" s="1"/>
      <c r="I2" s="1"/>
      <c r="J2" s="1"/>
      <c r="K2" s="1"/>
      <c r="M2" s="90" t="s">
        <v>98</v>
      </c>
      <c r="N2" s="90" t="s">
        <v>98</v>
      </c>
      <c r="O2" s="90" t="s">
        <v>99</v>
      </c>
      <c r="P2" s="90" t="s">
        <v>99</v>
      </c>
      <c r="Q2" s="90" t="s">
        <v>99</v>
      </c>
      <c r="R2" s="90" t="s">
        <v>98</v>
      </c>
      <c r="S2" s="99" t="s">
        <v>98</v>
      </c>
      <c r="T2" s="95"/>
      <c r="W2" s="6" t="s">
        <v>97</v>
      </c>
      <c r="X2" s="7">
        <f>SUM(N:N)</f>
        <v>0</v>
      </c>
    </row>
    <row r="3" spans="1:39" s="5" customFormat="1" ht="13.8" x14ac:dyDescent="0.3">
      <c r="A3" s="1"/>
      <c r="B3" s="2" t="s">
        <v>3</v>
      </c>
      <c r="C3" s="8" t="s">
        <v>96</v>
      </c>
      <c r="D3" s="1"/>
      <c r="E3" s="1"/>
      <c r="F3" s="2" t="s">
        <v>4</v>
      </c>
      <c r="G3" s="3" t="s">
        <v>95</v>
      </c>
      <c r="H3" s="1"/>
      <c r="I3" s="1"/>
      <c r="J3" s="1"/>
      <c r="K3" s="1"/>
      <c r="M3" s="90"/>
      <c r="N3" s="90"/>
      <c r="O3" s="90"/>
      <c r="P3" s="90"/>
      <c r="Q3" s="90"/>
      <c r="R3" s="90"/>
      <c r="S3" s="99"/>
      <c r="T3" s="95"/>
      <c r="W3" s="6" t="s">
        <v>92</v>
      </c>
      <c r="X3" s="7">
        <f>SUM(O:O)</f>
        <v>0</v>
      </c>
    </row>
    <row r="4" spans="1:39" s="5" customFormat="1" ht="13.8" x14ac:dyDescent="0.3">
      <c r="A4" s="1"/>
      <c r="B4" s="2" t="s">
        <v>9</v>
      </c>
      <c r="C4" s="4"/>
      <c r="D4" s="1"/>
      <c r="E4" s="1"/>
      <c r="F4" s="2" t="s">
        <v>10</v>
      </c>
      <c r="G4" s="3" t="s">
        <v>94</v>
      </c>
      <c r="H4" s="1"/>
      <c r="I4" s="1"/>
      <c r="J4" s="1"/>
      <c r="K4" s="1"/>
      <c r="M4" s="90"/>
      <c r="N4" s="90"/>
      <c r="O4" s="90"/>
      <c r="P4" s="90"/>
      <c r="Q4" s="98"/>
      <c r="R4" s="97"/>
      <c r="S4" s="96"/>
      <c r="T4" s="95"/>
      <c r="W4" s="6" t="s">
        <v>92</v>
      </c>
      <c r="X4" s="7">
        <f>SUM(P:P)</f>
        <v>0</v>
      </c>
    </row>
    <row r="5" spans="1:39" s="5" customFormat="1" ht="13.8" x14ac:dyDescent="0.3">
      <c r="A5" s="1"/>
      <c r="B5" s="2" t="s">
        <v>11</v>
      </c>
      <c r="C5" s="4" t="s">
        <v>93</v>
      </c>
      <c r="D5" s="1"/>
      <c r="E5" s="2"/>
      <c r="F5" s="1"/>
      <c r="G5" s="1"/>
      <c r="H5" s="1"/>
      <c r="I5" s="1"/>
      <c r="J5" s="1"/>
      <c r="K5" s="1"/>
      <c r="M5" s="90"/>
      <c r="N5" s="90"/>
      <c r="O5" s="90"/>
      <c r="P5" s="90"/>
      <c r="Q5" s="98"/>
      <c r="R5" s="97"/>
      <c r="S5" s="96"/>
      <c r="T5" s="95"/>
      <c r="W5" s="6" t="s">
        <v>92</v>
      </c>
      <c r="X5" s="7">
        <f>SUM(Q:Q)</f>
        <v>0</v>
      </c>
    </row>
    <row r="6" spans="1:39" s="5" customFormat="1" ht="13.8" x14ac:dyDescent="0.3">
      <c r="A6" s="1"/>
      <c r="B6" s="1" t="s">
        <v>6</v>
      </c>
      <c r="C6" s="9"/>
      <c r="D6" s="1"/>
      <c r="E6" s="1"/>
      <c r="F6" s="1"/>
      <c r="G6" s="1"/>
      <c r="H6" s="1"/>
      <c r="I6" s="1"/>
      <c r="J6" s="1"/>
      <c r="K6" s="1"/>
      <c r="M6" s="90"/>
      <c r="N6" s="90"/>
      <c r="O6" s="90"/>
      <c r="P6" s="90"/>
      <c r="Q6" s="98"/>
      <c r="R6" s="97"/>
      <c r="S6" s="96"/>
      <c r="T6" s="95"/>
      <c r="W6" s="6" t="s">
        <v>91</v>
      </c>
      <c r="X6" s="7">
        <f>SUM(R:R)</f>
        <v>0</v>
      </c>
      <c r="Y6" s="65"/>
      <c r="Z6" s="40"/>
      <c r="AA6" s="65"/>
      <c r="AB6" s="65"/>
      <c r="AC6" s="83"/>
    </row>
    <row r="7" spans="1:39" s="5" customFormat="1" ht="13.8" x14ac:dyDescent="0.3">
      <c r="A7" s="1"/>
      <c r="B7" s="1"/>
      <c r="C7" s="1"/>
      <c r="D7" s="1"/>
      <c r="E7" s="1"/>
      <c r="F7" s="1"/>
      <c r="G7" s="1"/>
      <c r="H7" s="1"/>
      <c r="I7" s="1"/>
      <c r="J7" s="1"/>
      <c r="K7" s="1"/>
      <c r="M7" s="90"/>
      <c r="N7" s="90"/>
      <c r="O7" s="90"/>
      <c r="P7" s="90"/>
      <c r="Q7" s="98"/>
      <c r="R7" s="97"/>
      <c r="S7" s="96"/>
      <c r="T7" s="95"/>
      <c r="W7" s="6" t="s">
        <v>90</v>
      </c>
      <c r="X7" s="7">
        <f>SUM(S:S)</f>
        <v>0</v>
      </c>
      <c r="Y7" s="83"/>
      <c r="Z7" s="67"/>
      <c r="AA7" s="94"/>
      <c r="AB7" s="93"/>
      <c r="AC7" s="65"/>
    </row>
    <row r="8" spans="1:39" s="5" customFormat="1" ht="13.8" x14ac:dyDescent="0.3">
      <c r="A8" s="16"/>
      <c r="E8" s="6" t="s">
        <v>1</v>
      </c>
      <c r="F8" s="7" t="str">
        <f>$C$1</f>
        <v>R. Abbott</v>
      </c>
      <c r="H8" s="10"/>
      <c r="I8" s="6" t="s">
        <v>89</v>
      </c>
      <c r="J8" s="11" t="str">
        <f>$G$2</f>
        <v>AA-SM-026-004</v>
      </c>
      <c r="K8" s="12"/>
      <c r="L8" s="13"/>
      <c r="M8" s="90"/>
      <c r="N8" s="90"/>
      <c r="O8" s="90"/>
      <c r="P8" s="90"/>
      <c r="Q8" s="90"/>
      <c r="R8" s="90"/>
      <c r="S8" s="90"/>
      <c r="T8" s="90"/>
      <c r="Y8" s="65"/>
      <c r="Z8" s="81"/>
      <c r="AA8" s="40"/>
      <c r="AB8" s="92"/>
      <c r="AC8" s="65"/>
    </row>
    <row r="9" spans="1:39" s="5" customFormat="1" ht="13.8" x14ac:dyDescent="0.3">
      <c r="E9" s="6" t="s">
        <v>2</v>
      </c>
      <c r="F9" s="10" t="str">
        <f>$C$2</f>
        <v xml:space="preserve"> </v>
      </c>
      <c r="H9" s="10"/>
      <c r="I9" s="6" t="s">
        <v>88</v>
      </c>
      <c r="J9" s="12" t="str">
        <f>$G$3</f>
        <v>IR</v>
      </c>
      <c r="K9" s="12"/>
      <c r="L9" s="13"/>
      <c r="M9" s="90">
        <v>1</v>
      </c>
      <c r="N9" s="90"/>
      <c r="O9" s="90"/>
      <c r="P9" s="90"/>
      <c r="Q9" s="90"/>
      <c r="R9" s="90"/>
      <c r="S9" s="90"/>
      <c r="T9" s="90"/>
      <c r="Y9" s="65"/>
      <c r="Z9" s="91"/>
      <c r="AA9" s="65"/>
      <c r="AB9" s="65"/>
      <c r="AC9" s="65"/>
    </row>
    <row r="10" spans="1:39" s="5" customFormat="1" ht="13.8" x14ac:dyDescent="0.3">
      <c r="E10" s="6" t="s">
        <v>3</v>
      </c>
      <c r="F10" s="10" t="str">
        <f>$C$3</f>
        <v>18/09/2016</v>
      </c>
      <c r="H10" s="10"/>
      <c r="I10" s="6" t="s">
        <v>87</v>
      </c>
      <c r="J10" s="7" t="str">
        <f>L10&amp;" of "&amp;$G$1</f>
        <v>1 of 1</v>
      </c>
      <c r="K10" s="10"/>
      <c r="L10" s="13">
        <f>SUM($M$1:M9)</f>
        <v>1</v>
      </c>
      <c r="M10" s="90"/>
      <c r="N10" s="90"/>
      <c r="O10" s="90"/>
      <c r="P10" s="90"/>
      <c r="Q10" s="90"/>
      <c r="R10" s="90"/>
      <c r="S10" s="90"/>
      <c r="T10" s="90"/>
      <c r="Y10" s="65"/>
      <c r="Z10" s="65"/>
      <c r="AA10" s="65"/>
      <c r="AB10" s="65"/>
      <c r="AC10" s="65"/>
    </row>
    <row r="11" spans="1:39" s="5" customFormat="1" ht="15" x14ac:dyDescent="0.35">
      <c r="E11" s="6" t="s">
        <v>86</v>
      </c>
      <c r="F11" s="10" t="str">
        <f>$C$5</f>
        <v>STANDARD SPREADSHEET METHOD</v>
      </c>
      <c r="I11" s="14"/>
      <c r="J11" s="7"/>
      <c r="M11" s="90"/>
      <c r="N11" s="90"/>
      <c r="O11" s="90"/>
      <c r="P11" s="90"/>
      <c r="Q11" s="90"/>
      <c r="R11" s="90"/>
      <c r="S11" s="90"/>
      <c r="T11" s="90"/>
      <c r="W11" s="67" t="s">
        <v>85</v>
      </c>
      <c r="X11" s="65">
        <v>0</v>
      </c>
      <c r="Y11" s="65" t="s">
        <v>41</v>
      </c>
      <c r="Z11" s="65"/>
      <c r="AA11" s="65"/>
      <c r="AB11" s="65"/>
      <c r="AC11" s="65"/>
    </row>
    <row r="12" spans="1:39" s="40" customFormat="1" ht="16.2" x14ac:dyDescent="0.35">
      <c r="A12" s="42"/>
      <c r="B12" s="15" t="str">
        <f>$G$4</f>
        <v>SIMPLE BEAMS - CANTILEVERS - Constant Distributed Load over Part Span</v>
      </c>
      <c r="C12" s="42"/>
      <c r="D12" s="42"/>
      <c r="E12" s="42"/>
      <c r="F12" s="5"/>
      <c r="G12" s="5"/>
      <c r="H12" s="5"/>
      <c r="I12" s="14"/>
      <c r="J12" s="7"/>
      <c r="K12" s="5"/>
      <c r="L12" s="5"/>
      <c r="M12" s="90"/>
      <c r="N12" s="90"/>
      <c r="O12" s="89"/>
      <c r="P12" s="89"/>
      <c r="Q12" s="89"/>
      <c r="R12" s="89"/>
      <c r="S12" s="89"/>
      <c r="T12" s="89"/>
      <c r="U12" s="41"/>
      <c r="W12" s="67" t="s">
        <v>84</v>
      </c>
      <c r="X12" s="65">
        <v>0</v>
      </c>
      <c r="Y12" s="65" t="s">
        <v>44</v>
      </c>
      <c r="Z12" s="65"/>
      <c r="AA12" s="65"/>
      <c r="AB12" s="65"/>
      <c r="AC12" s="88"/>
      <c r="AL12" s="45"/>
      <c r="AM12" s="45"/>
    </row>
    <row r="13" spans="1:39" s="39" customFormat="1" ht="15" x14ac:dyDescent="0.35">
      <c r="A13" s="85"/>
      <c r="B13" s="87" t="s">
        <v>83</v>
      </c>
      <c r="C13" s="87"/>
      <c r="D13" s="87"/>
      <c r="E13" s="85" t="s">
        <v>82</v>
      </c>
      <c r="F13" s="86"/>
      <c r="G13" s="86"/>
      <c r="H13" s="86"/>
      <c r="I13" s="85"/>
      <c r="J13" s="85"/>
      <c r="K13" s="85"/>
      <c r="M13" s="38"/>
      <c r="N13" s="38"/>
      <c r="O13" s="38"/>
      <c r="P13" s="38"/>
      <c r="Q13" s="38"/>
      <c r="R13" s="38"/>
      <c r="S13" s="38"/>
      <c r="T13" s="38"/>
      <c r="U13" s="37"/>
      <c r="W13" s="67" t="s">
        <v>81</v>
      </c>
      <c r="X13" s="67">
        <v>0</v>
      </c>
      <c r="Y13" s="65" t="s">
        <v>34</v>
      </c>
      <c r="Z13" s="40"/>
      <c r="AA13" s="40"/>
      <c r="AB13" s="40"/>
      <c r="AC13" s="40"/>
    </row>
    <row r="14" spans="1:39" s="40" customFormat="1" ht="15" x14ac:dyDescent="0.35">
      <c r="A14" s="65"/>
      <c r="B14" s="84"/>
      <c r="C14" s="65"/>
      <c r="D14" s="65"/>
      <c r="E14" s="83"/>
      <c r="G14" s="65"/>
      <c r="H14" s="65"/>
      <c r="I14" s="64"/>
      <c r="J14" s="64"/>
      <c r="K14" s="64"/>
      <c r="L14" s="41"/>
      <c r="M14" s="38"/>
      <c r="N14" s="38"/>
      <c r="O14" s="38"/>
      <c r="P14" s="38"/>
      <c r="Q14" s="38"/>
      <c r="R14" s="38"/>
      <c r="S14" s="38"/>
      <c r="T14" s="38"/>
      <c r="U14" s="37"/>
      <c r="V14" s="41"/>
      <c r="W14" s="67" t="s">
        <v>80</v>
      </c>
      <c r="X14" s="65">
        <v>0</v>
      </c>
      <c r="Y14" s="65" t="s">
        <v>39</v>
      </c>
    </row>
    <row r="15" spans="1:39" s="40" customFormat="1" ht="13.8" x14ac:dyDescent="0.3">
      <c r="K15" s="64"/>
      <c r="L15" s="41"/>
      <c r="M15" s="38"/>
      <c r="N15" s="38"/>
      <c r="O15" s="38"/>
      <c r="P15" s="38"/>
      <c r="Q15" s="38"/>
      <c r="R15" s="38"/>
      <c r="S15" s="38"/>
      <c r="T15" s="38"/>
      <c r="U15" s="37"/>
      <c r="V15" s="41"/>
    </row>
    <row r="16" spans="1:39" s="40" customFormat="1" ht="13.8" x14ac:dyDescent="0.3">
      <c r="F16" s="82" t="s">
        <v>79</v>
      </c>
      <c r="G16" s="65"/>
      <c r="H16" s="65"/>
      <c r="I16" s="64"/>
      <c r="J16" s="64"/>
      <c r="K16" s="64"/>
      <c r="L16" s="41"/>
      <c r="M16" s="38"/>
      <c r="N16" s="38"/>
      <c r="O16" s="38"/>
      <c r="P16" s="38"/>
      <c r="Q16" s="38"/>
      <c r="R16" s="38"/>
      <c r="S16" s="38"/>
      <c r="T16" s="38"/>
      <c r="U16" s="37"/>
      <c r="V16" s="41"/>
      <c r="Y16" s="40" t="e">
        <f>G19-#REF!</f>
        <v>#REF!</v>
      </c>
    </row>
    <row r="17" spans="1:34" s="40" customFormat="1" ht="15" x14ac:dyDescent="0.35">
      <c r="F17" s="67" t="s">
        <v>78</v>
      </c>
      <c r="G17" s="78">
        <v>10000000</v>
      </c>
      <c r="H17" s="65" t="s">
        <v>77</v>
      </c>
      <c r="I17" s="64"/>
      <c r="J17" s="64"/>
      <c r="L17" s="41"/>
      <c r="M17" s="38"/>
      <c r="N17" s="38"/>
      <c r="O17" s="38"/>
      <c r="P17" s="38"/>
      <c r="Q17" s="38"/>
      <c r="R17" s="38"/>
      <c r="S17" s="38"/>
      <c r="T17" s="38"/>
      <c r="U17" s="37"/>
      <c r="V17" s="41"/>
      <c r="W17" s="81" t="s">
        <v>76</v>
      </c>
      <c r="X17" s="81" t="s">
        <v>75</v>
      </c>
      <c r="Y17" s="81" t="s">
        <v>74</v>
      </c>
      <c r="Z17" s="81" t="s">
        <v>73</v>
      </c>
      <c r="AA17" s="81" t="s">
        <v>72</v>
      </c>
      <c r="AB17" s="81" t="s">
        <v>71</v>
      </c>
      <c r="AC17" s="81" t="s">
        <v>70</v>
      </c>
      <c r="AD17" s="81" t="s">
        <v>69</v>
      </c>
    </row>
    <row r="18" spans="1:34" s="40" customFormat="1" ht="13.8" x14ac:dyDescent="0.3">
      <c r="F18" s="67" t="s">
        <v>68</v>
      </c>
      <c r="G18" s="80">
        <v>0.1</v>
      </c>
      <c r="H18" s="65" t="s">
        <v>67</v>
      </c>
      <c r="I18" s="64"/>
      <c r="J18" s="64"/>
      <c r="L18" s="41"/>
      <c r="M18" s="38"/>
      <c r="N18" s="38"/>
      <c r="O18" s="38"/>
      <c r="P18" s="38"/>
      <c r="Q18" s="38"/>
      <c r="R18" s="38"/>
      <c r="S18" s="38"/>
      <c r="T18" s="38"/>
      <c r="U18" s="37"/>
      <c r="V18" s="41"/>
      <c r="W18" s="50">
        <f>X11</f>
        <v>0</v>
      </c>
      <c r="X18" s="50">
        <f>B26</f>
        <v>150</v>
      </c>
      <c r="Y18" s="50">
        <f>B31</f>
        <v>-3.225E-3</v>
      </c>
      <c r="Z18" s="45">
        <f>X12</f>
        <v>0</v>
      </c>
      <c r="AA18" s="79">
        <f>F28</f>
        <v>-2.5018750000000003E-2</v>
      </c>
      <c r="AB18" s="45">
        <f>X13</f>
        <v>0</v>
      </c>
      <c r="AC18" s="45">
        <f>X14</f>
        <v>0</v>
      </c>
      <c r="AD18" s="45">
        <f>F32</f>
        <v>-975</v>
      </c>
    </row>
    <row r="19" spans="1:34" s="40" customFormat="1" ht="13.8" x14ac:dyDescent="0.3">
      <c r="F19" s="67" t="s">
        <v>66</v>
      </c>
      <c r="G19" s="78">
        <v>10</v>
      </c>
      <c r="H19" s="65" t="s">
        <v>65</v>
      </c>
      <c r="I19" s="64"/>
      <c r="J19" s="64"/>
      <c r="K19" s="64"/>
      <c r="L19" s="41"/>
      <c r="M19" s="38"/>
      <c r="N19" s="38"/>
      <c r="O19" s="38"/>
      <c r="P19" s="38"/>
      <c r="Q19" s="38"/>
      <c r="R19" s="38"/>
      <c r="S19" s="38"/>
      <c r="T19" s="38"/>
      <c r="U19" s="37"/>
      <c r="V19" s="41"/>
      <c r="W19" s="41"/>
      <c r="X19" s="41"/>
      <c r="Y19" s="41"/>
      <c r="Z19" s="48"/>
      <c r="AA19" s="48"/>
      <c r="AB19" s="48"/>
      <c r="AC19" s="50" t="s">
        <v>62</v>
      </c>
      <c r="AD19" s="50" t="s">
        <v>61</v>
      </c>
      <c r="AE19" s="57" t="s">
        <v>60</v>
      </c>
      <c r="AF19" s="55" t="s">
        <v>59</v>
      </c>
    </row>
    <row r="20" spans="1:34" s="40" customFormat="1" ht="13.8" x14ac:dyDescent="0.3">
      <c r="F20" s="67" t="s">
        <v>64</v>
      </c>
      <c r="G20" s="78">
        <v>50</v>
      </c>
      <c r="H20" s="65" t="s">
        <v>63</v>
      </c>
      <c r="J20" s="64"/>
      <c r="K20" s="64"/>
      <c r="L20" s="41"/>
      <c r="M20" s="38"/>
      <c r="N20" s="38"/>
      <c r="O20" s="38"/>
      <c r="P20" s="38"/>
      <c r="Q20" s="38"/>
      <c r="R20" s="38"/>
      <c r="S20" s="38"/>
      <c r="T20" s="38"/>
      <c r="U20" s="37"/>
      <c r="V20" s="41"/>
      <c r="W20" s="41"/>
      <c r="X20" s="50" t="s">
        <v>62</v>
      </c>
      <c r="Y20" s="50" t="s">
        <v>61</v>
      </c>
      <c r="Z20" s="57" t="s">
        <v>60</v>
      </c>
      <c r="AA20" s="55" t="s">
        <v>59</v>
      </c>
      <c r="AB20" s="55"/>
      <c r="AC20" s="45" t="s">
        <v>54</v>
      </c>
      <c r="AD20" s="45" t="s">
        <v>56</v>
      </c>
      <c r="AE20" s="45" t="s">
        <v>55</v>
      </c>
      <c r="AF20" s="77" t="s">
        <v>54</v>
      </c>
    </row>
    <row r="21" spans="1:34" s="40" customFormat="1" ht="13.8" x14ac:dyDescent="0.3">
      <c r="F21" s="67" t="s">
        <v>58</v>
      </c>
      <c r="G21" s="76">
        <v>5</v>
      </c>
      <c r="H21" s="65" t="s">
        <v>57</v>
      </c>
      <c r="K21" s="64"/>
      <c r="L21" s="41"/>
      <c r="M21" s="38"/>
      <c r="N21" s="38"/>
      <c r="O21" s="38"/>
      <c r="P21" s="38"/>
      <c r="Q21" s="38"/>
      <c r="R21" s="38"/>
      <c r="S21" s="38"/>
      <c r="T21" s="38"/>
      <c r="U21" s="37"/>
      <c r="V21" s="41"/>
      <c r="W21" s="41"/>
      <c r="X21" s="45" t="s">
        <v>54</v>
      </c>
      <c r="Y21" s="45" t="s">
        <v>56</v>
      </c>
      <c r="Z21" s="45" t="s">
        <v>55</v>
      </c>
      <c r="AA21" s="77" t="s">
        <v>54</v>
      </c>
      <c r="AB21" s="55"/>
      <c r="AC21" s="45">
        <v>0</v>
      </c>
      <c r="AD21" s="45">
        <v>0</v>
      </c>
      <c r="AE21" s="45">
        <v>0</v>
      </c>
    </row>
    <row r="22" spans="1:34" s="40" customFormat="1" ht="13.8" x14ac:dyDescent="0.3">
      <c r="F22" s="67" t="s">
        <v>53</v>
      </c>
      <c r="G22" s="76">
        <v>8</v>
      </c>
      <c r="H22" s="65" t="s">
        <v>52</v>
      </c>
      <c r="L22" s="41"/>
      <c r="M22" s="38"/>
      <c r="N22" s="38"/>
      <c r="O22" s="38"/>
      <c r="P22" s="38"/>
      <c r="Q22" s="38"/>
      <c r="R22" s="38"/>
      <c r="S22" s="38"/>
      <c r="T22" s="38"/>
      <c r="U22" s="37"/>
      <c r="V22" s="41"/>
      <c r="W22" s="45">
        <v>0</v>
      </c>
      <c r="X22" s="45">
        <v>0</v>
      </c>
      <c r="Y22" s="58">
        <f>IF($G$19-X22&gt;$G$22,0,IF($G$19-X22&lt;$G$21,-$G$23,IF($G$19-X22&lt;$G$22,-$G$23/($G$22-$G$21)*(X22-$G$19+$G$22),)))</f>
        <v>0</v>
      </c>
      <c r="Z22" s="57">
        <f>IF($G$19-X22&gt;$G$22,0,IF($G$19-X22&lt;$G$21,-(1/2)*$G$23*(2*X22-2*$G$19+$G$21+$G$22),IF($G$19-X22&lt;$G$22,-$G$23/(2*($G$22-$G$21))*(X22-$G$19+$G$22)^2,)))</f>
        <v>0</v>
      </c>
      <c r="AA22" s="55">
        <f>IF(($G$19-X22)&gt;$G$22,-(1/24)*$G$23/($G$17*$G$18)*(4*($G$21^2+$G$21*$G$22+$G$22^2)*($G$19-X22)-$G$21^3-$G$21*$G$22^2-$G$21^2*$G$22-$G$22^3),IF(($G$19-X22)&gt;$G$21,-(1/24)*$G$23/($G$17*$G$18)*(6*($G$22+$G$21)*($G$19-X22)^2-4*($G$19-X22)^3+($G$19-X22-$G$21)^4/($G$22-$G$21)),-(1/12)*$G$23/($G$17*$G$18)*(3*($G$22+$G$21)*($G$19-X22)^2-2*($G$19-X22)^3)))</f>
        <v>-2.5018750000000003E-2</v>
      </c>
      <c r="AB22" s="55"/>
      <c r="AC22" s="56">
        <f t="array" ref="AC22:AC55">IF(ISERROR(SMALL(X22:X55,ROW()-ROW(X21))),"",SMALL(X22:X55,ROW()-ROW(X21)))</f>
        <v>0</v>
      </c>
      <c r="AD22" s="59">
        <f>INDEX(Y22:Y55,MATCH(AC22,X22:X55,0))</f>
        <v>0</v>
      </c>
      <c r="AE22" s="59">
        <f>INDEX(Z22:Z55,MATCH(AC22,X22:X55,0))</f>
        <v>0</v>
      </c>
      <c r="AF22" s="55">
        <f>INDEX(AA22:AA55,MATCH(AC22,X22:X55,0))</f>
        <v>-2.5018750000000003E-2</v>
      </c>
      <c r="AH22" s="51"/>
    </row>
    <row r="23" spans="1:34" s="40" customFormat="1" ht="13.8" x14ac:dyDescent="0.3">
      <c r="B23" s="75" t="s">
        <v>51</v>
      </c>
      <c r="C23" s="74"/>
      <c r="D23" s="73"/>
      <c r="F23" s="67" t="s">
        <v>50</v>
      </c>
      <c r="G23" s="40">
        <f>G20*(G22-G21)</f>
        <v>150</v>
      </c>
      <c r="H23" s="65" t="s">
        <v>49</v>
      </c>
      <c r="L23" s="41"/>
      <c r="M23" s="38"/>
      <c r="N23" s="38"/>
      <c r="O23" s="38"/>
      <c r="P23" s="38"/>
      <c r="Q23" s="38"/>
      <c r="R23" s="38"/>
      <c r="S23" s="38"/>
      <c r="T23" s="38"/>
      <c r="U23" s="37"/>
      <c r="V23" s="41"/>
      <c r="W23" s="50">
        <v>1</v>
      </c>
      <c r="X23" s="58">
        <f>G19/MAX(W22:W55)*W23</f>
        <v>0.33333333333333331</v>
      </c>
      <c r="Y23" s="58">
        <f>IF($G$19-X23&gt;$G$22,0,IF($G$19-X23&lt;$G$21,-$G$23,IF($G$19-X23&lt;$G$22,-$G$23/($G$22-$G$21)*(X23-$G$19+$G$22),)))</f>
        <v>0</v>
      </c>
      <c r="Z23" s="57">
        <f>IF($G$19-X23&gt;$G$22,0,IF($G$19-X23&lt;$G$21,-(1/2)*$G$23*(2*X23-2*$G$19+$G$21+$G$22),IF($G$19-X23&lt;$G$22,-$G$23/(2*($G$22-$G$21))*(X23-$G$19+$G$22)^2,)))</f>
        <v>0</v>
      </c>
      <c r="AA23" s="55">
        <f>IF(($G$19-X23)&gt;$G$22,-(1/24)*$G$23/($G$17*$G$18)*(4*($G$21^2+$G$21*$G$22+$G$22^2)*($G$19-X23)-$G$21^3-$G$21*$G$22^2-$G$21^2*$G$22-$G$22^3),IF(($G$19-X23)&gt;$G$21,-(1/24)*$G$23/($G$17*$G$18)*(6*($G$22+$G$21)*($G$19-X23)^2-4*($G$19-X23)^3+($G$19-X23-$G$21)^4/($G$22-$G$21)),-(1/12)*$G$23/($G$17*$G$18)*(3*($G$22+$G$21)*($G$19-X23)^2-2*($G$19-X23)^3)))</f>
        <v>-2.394375E-2</v>
      </c>
      <c r="AB23" s="55"/>
      <c r="AC23" s="56">
        <v>0.33333333333333331</v>
      </c>
      <c r="AD23" s="59">
        <f>INDEX(Y22:Y55,MATCH(AC23,X22:X55,0))</f>
        <v>0</v>
      </c>
      <c r="AE23" s="59">
        <f>INDEX(Z22:Z55,MATCH(AC23,X22:X55,0))</f>
        <v>0</v>
      </c>
      <c r="AF23" s="55">
        <f>INDEX(AA22:AA55,MATCH(AC23,X22:X55,0))</f>
        <v>-2.394375E-2</v>
      </c>
      <c r="AH23" s="51"/>
    </row>
    <row r="24" spans="1:34" s="40" customFormat="1" ht="13.8" x14ac:dyDescent="0.3">
      <c r="L24" s="41"/>
      <c r="M24" s="38"/>
      <c r="N24" s="38"/>
      <c r="O24" s="38"/>
      <c r="P24" s="38"/>
      <c r="Q24" s="38"/>
      <c r="R24" s="38"/>
      <c r="S24" s="38"/>
      <c r="T24" s="38"/>
      <c r="U24" s="37"/>
      <c r="V24" s="41"/>
      <c r="W24" s="50">
        <v>2</v>
      </c>
      <c r="X24" s="58">
        <f>G19/MAX(W22:W55)*W24</f>
        <v>0.66666666666666663</v>
      </c>
      <c r="Y24" s="58">
        <f>IF($G$19-X24&gt;$G$22,0,IF($G$19-X24&lt;$G$21,-$G$23,IF($G$19-X24&lt;$G$22,-$G$23/($G$22-$G$21)*(X24-$G$19+$G$22),)))</f>
        <v>0</v>
      </c>
      <c r="Z24" s="57">
        <f>IF($G$19-X24&gt;$G$22,0,IF($G$19-X24&lt;$G$21,-(1/2)*$G$23*(2*X24-2*$G$19+$G$21+$G$22),IF($G$19-X24&lt;$G$22,-$G$23/(2*($G$22-$G$21))*(X24-$G$19+$G$22)^2,)))</f>
        <v>0</v>
      </c>
      <c r="AA24" s="55">
        <f>IF(($G$19-X24)&gt;$G$22,-(1/24)*$G$23/($G$17*$G$18)*(4*($G$21^2+$G$21*$G$22+$G$22^2)*($G$19-X24)-$G$21^3-$G$21*$G$22^2-$G$21^2*$G$22-$G$22^3),IF(($G$19-X24)&gt;$G$21,-(1/24)*$G$23/($G$17*$G$18)*(6*($G$22+$G$21)*($G$19-X24)^2-4*($G$19-X24)^3+($G$19-X24-$G$21)^4/($G$22-$G$21)),-(1/12)*$G$23/($G$17*$G$18)*(3*($G$22+$G$21)*($G$19-X24)^2-2*($G$19-X24)^3)))</f>
        <v>-2.286875E-2</v>
      </c>
      <c r="AB24" s="55"/>
      <c r="AC24" s="56">
        <v>0.66666666666666663</v>
      </c>
      <c r="AD24" s="59">
        <f>INDEX(Y22:Y55,MATCH(AC24,X22:X55,0))</f>
        <v>0</v>
      </c>
      <c r="AE24" s="59">
        <f>INDEX(Z22:Z55,MATCH(AC24,X22:X55,0))</f>
        <v>0</v>
      </c>
      <c r="AF24" s="55">
        <f>INDEX(AA22:AA55,MATCH(AC24,X22:X55,0))</f>
        <v>-2.286875E-2</v>
      </c>
      <c r="AH24" s="51"/>
    </row>
    <row r="25" spans="1:34" s="40" customFormat="1" ht="15" x14ac:dyDescent="0.35">
      <c r="A25" s="67" t="s">
        <v>48</v>
      </c>
      <c r="B25" s="40" t="str">
        <f ca="1">[1]!xlv(B26)</f>
        <v>W</v>
      </c>
      <c r="E25" s="67" t="s">
        <v>47</v>
      </c>
      <c r="F25" s="72" t="str">
        <f ca="1">[1]!xlv(F28)</f>
        <v xml:space="preserve"> - (1 / 24) × W / (E × I) × (4 × (a² + a × b + b²) × L - a³ - a × b² - a² × b - b³)</v>
      </c>
      <c r="G25" s="72"/>
      <c r="H25" s="72"/>
      <c r="J25" s="72"/>
      <c r="K25" s="72"/>
      <c r="L25" s="41"/>
      <c r="M25" s="38"/>
      <c r="N25" s="38"/>
      <c r="O25" s="38"/>
      <c r="P25" s="38"/>
      <c r="Q25" s="38"/>
      <c r="R25" s="38"/>
      <c r="S25" s="38"/>
      <c r="T25" s="38"/>
      <c r="U25" s="37"/>
      <c r="V25" s="41"/>
      <c r="W25" s="50">
        <v>3</v>
      </c>
      <c r="X25" s="58">
        <f>G19/MAX(W22:W55)*W25</f>
        <v>1</v>
      </c>
      <c r="Y25" s="58">
        <f>IF($G$19-X25&gt;$G$22,0,IF($G$19-X25&lt;$G$21,-$G$23,IF($G$19-X25&lt;$G$22,-$G$23/($G$22-$G$21)*(X25-$G$19+$G$22),)))</f>
        <v>0</v>
      </c>
      <c r="Z25" s="57">
        <f>IF($G$19-X25&gt;$G$22,0,IF($G$19-X25&lt;$G$21,-(1/2)*$G$23*(2*X25-2*$G$19+$G$21+$G$22),IF($G$19-X25&lt;$G$22,-$G$23/(2*($G$22-$G$21))*(X25-$G$19+$G$22)^2,)))</f>
        <v>0</v>
      </c>
      <c r="AA25" s="55">
        <f>IF(($G$19-X25)&gt;$G$22,-(1/24)*$G$23/($G$17*$G$18)*(4*($G$21^2+$G$21*$G$22+$G$22^2)*($G$19-X25)-$G$21^3-$G$21*$G$22^2-$G$21^2*$G$22-$G$22^3),IF(($G$19-X25)&gt;$G$21,-(1/24)*$G$23/($G$17*$G$18)*(6*($G$22+$G$21)*($G$19-X25)^2-4*($G$19-X25)^3+($G$19-X25-$G$21)^4/($G$22-$G$21)),-(1/12)*$G$23/($G$17*$G$18)*(3*($G$22+$G$21)*($G$19-X25)^2-2*($G$19-X25)^3)))</f>
        <v>-2.1793750000000001E-2</v>
      </c>
      <c r="AB25" s="55"/>
      <c r="AC25" s="56">
        <v>1</v>
      </c>
      <c r="AD25" s="59">
        <f>INDEX(Y22:Y55,MATCH(AC25,X22:X55,0))</f>
        <v>0</v>
      </c>
      <c r="AE25" s="59">
        <f>INDEX(Z22:Z55,MATCH(AC25,X22:X55,0))</f>
        <v>0</v>
      </c>
      <c r="AF25" s="55">
        <f>INDEX(AA22:AA55,MATCH(AC25,X22:X55,0))</f>
        <v>-2.1793750000000001E-2</v>
      </c>
      <c r="AH25" s="51"/>
    </row>
    <row r="26" spans="1:34" s="40" customFormat="1" ht="13.8" x14ac:dyDescent="0.3">
      <c r="A26" s="67" t="s">
        <v>43</v>
      </c>
      <c r="B26" s="65">
        <f>G23</f>
        <v>150</v>
      </c>
      <c r="C26" s="65" t="s">
        <v>41</v>
      </c>
      <c r="E26" s="67" t="s">
        <v>43</v>
      </c>
      <c r="F26" s="71" t="str">
        <f>[1]!xln(F28)</f>
        <v xml:space="preserve"> - (1 / 24) × 150 / ((1E+07) × 0.1) × (4 × (5² + 5 × 8 + 8²) × 10 - 5³ - 5 × 8² - 5² × 8 - 8³)</v>
      </c>
      <c r="G26" s="71"/>
      <c r="H26" s="71"/>
      <c r="I26" s="71"/>
      <c r="J26" s="71"/>
      <c r="K26" s="71"/>
      <c r="L26" s="41"/>
      <c r="M26" s="38"/>
      <c r="N26" s="38"/>
      <c r="O26" s="38"/>
      <c r="P26" s="38"/>
      <c r="Q26" s="38"/>
      <c r="R26" s="38"/>
      <c r="S26" s="38"/>
      <c r="T26" s="38"/>
      <c r="U26" s="37"/>
      <c r="V26" s="41"/>
      <c r="W26" s="50">
        <v>4</v>
      </c>
      <c r="X26" s="58">
        <f>G19/MAX(W22:W55)*W26</f>
        <v>1.3333333333333333</v>
      </c>
      <c r="Y26" s="58">
        <f>IF($G$19-X26&gt;$G$22,0,IF($G$19-X26&lt;$G$21,-$G$23,IF($G$19-X26&lt;$G$22,-$G$23/($G$22-$G$21)*(X26-$G$19+$G$22),)))</f>
        <v>0</v>
      </c>
      <c r="Z26" s="57">
        <f>IF($G$19-X26&gt;$G$22,0,IF($G$19-X26&lt;$G$21,-(1/2)*$G$23*(2*X26-2*$G$19+$G$21+$G$22),IF($G$19-X26&lt;$G$22,-$G$23/(2*($G$22-$G$21))*(X26-$G$19+$G$22)^2,)))</f>
        <v>0</v>
      </c>
      <c r="AA26" s="55">
        <f>IF(($G$19-X26)&gt;$G$22,-(1/24)*$G$23/($G$17*$G$18)*(4*($G$21^2+$G$21*$G$22+$G$22^2)*($G$19-X26)-$G$21^3-$G$21*$G$22^2-$G$21^2*$G$22-$G$22^3),IF(($G$19-X26)&gt;$G$21,-(1/24)*$G$23/($G$17*$G$18)*(6*($G$22+$G$21)*($G$19-X26)^2-4*($G$19-X26)^3+($G$19-X26-$G$21)^4/($G$22-$G$21)),-(1/12)*$G$23/($G$17*$G$18)*(3*($G$22+$G$21)*($G$19-X26)^2-2*($G$19-X26)^3)))</f>
        <v>-2.0718750000000001E-2</v>
      </c>
      <c r="AB26" s="55"/>
      <c r="AC26" s="56">
        <v>1.3333333333333333</v>
      </c>
      <c r="AD26" s="59">
        <f>INDEX(Y22:Y55,MATCH(AC26,X22:X55,0))</f>
        <v>0</v>
      </c>
      <c r="AE26" s="59">
        <f>INDEX(Z22:Z55,MATCH(AC26,X22:X55,0))</f>
        <v>0</v>
      </c>
      <c r="AF26" s="55">
        <f>INDEX(AA22:AA55,MATCH(AC26,X22:X55,0))</f>
        <v>-2.0718750000000001E-2</v>
      </c>
      <c r="AH26" s="51"/>
    </row>
    <row r="27" spans="1:34" s="40" customFormat="1" ht="13.8" x14ac:dyDescent="0.3">
      <c r="F27" s="71"/>
      <c r="G27" s="71"/>
      <c r="H27" s="71"/>
      <c r="I27" s="71"/>
      <c r="J27" s="71"/>
      <c r="K27" s="71"/>
      <c r="L27" s="41"/>
      <c r="M27" s="38"/>
      <c r="N27" s="38"/>
      <c r="O27" s="38"/>
      <c r="P27" s="38"/>
      <c r="Q27" s="38"/>
      <c r="R27" s="38"/>
      <c r="S27" s="38"/>
      <c r="T27" s="38"/>
      <c r="U27" s="37"/>
      <c r="V27" s="41"/>
      <c r="W27" s="50">
        <v>5</v>
      </c>
      <c r="X27" s="58">
        <f>G19/MAX(W22:W55)*W27</f>
        <v>1.6666666666666665</v>
      </c>
      <c r="Y27" s="58">
        <f>IF($G$19-X27&gt;$G$22,0,IF($G$19-X27&lt;$G$21,-$G$23,IF($G$19-X27&lt;$G$22,-$G$23/($G$22-$G$21)*(X27-$G$19+$G$22),)))</f>
        <v>0</v>
      </c>
      <c r="Z27" s="57">
        <f>IF($G$19-X27&gt;$G$22,0,IF($G$19-X27&lt;$G$21,-(1/2)*$G$23*(2*X27-2*$G$19+$G$21+$G$22),IF($G$19-X27&lt;$G$22,-$G$23/(2*($G$22-$G$21))*(X27-$G$19+$G$22)^2,)))</f>
        <v>0</v>
      </c>
      <c r="AA27" s="55">
        <f>IF(($G$19-X27)&gt;$G$22,-(1/24)*$G$23/($G$17*$G$18)*(4*($G$21^2+$G$21*$G$22+$G$22^2)*($G$19-X27)-$G$21^3-$G$21*$G$22^2-$G$21^2*$G$22-$G$22^3),IF(($G$19-X27)&gt;$G$21,-(1/24)*$G$23/($G$17*$G$18)*(6*($G$22+$G$21)*($G$19-X27)^2-4*($G$19-X27)^3+($G$19-X27-$G$21)^4/($G$22-$G$21)),-(1/12)*$G$23/($G$17*$G$18)*(3*($G$22+$G$21)*($G$19-X27)^2-2*($G$19-X27)^3)))</f>
        <v>-1.9643750000000001E-2</v>
      </c>
      <c r="AB27" s="55"/>
      <c r="AC27" s="56">
        <v>1.6666666666666665</v>
      </c>
      <c r="AD27" s="59">
        <f>INDEX(Y22:Y55,MATCH(AC27,X22:X55,0))</f>
        <v>0</v>
      </c>
      <c r="AE27" s="59">
        <f>INDEX(Z22:Z55,MATCH(AC27,X22:X55,0))</f>
        <v>0</v>
      </c>
      <c r="AF27" s="55">
        <f>INDEX(AA22:AA55,MATCH(AC27,X22:X55,0))</f>
        <v>-1.9643750000000001E-2</v>
      </c>
      <c r="AH27" s="51"/>
    </row>
    <row r="28" spans="1:34" s="40" customFormat="1" ht="15" x14ac:dyDescent="0.35">
      <c r="A28" s="67" t="s">
        <v>46</v>
      </c>
      <c r="B28" s="65" t="str">
        <f ca="1">[1]!xlv(B31)</f>
        <v xml:space="preserve"> - W / (6 × E × I) × (a² + a × b + b²)</v>
      </c>
      <c r="C28" s="65"/>
      <c r="E28" s="67" t="s">
        <v>43</v>
      </c>
      <c r="F28" s="70">
        <f>-(1/24)*G23/(G17*G18)*(4*(G21^2+G21*G22+G22^2)*G19-G21^3-G21*G22^2-G21^2*G22-G22^3)</f>
        <v>-2.5018750000000003E-2</v>
      </c>
      <c r="G28" s="65" t="s">
        <v>34</v>
      </c>
      <c r="L28" s="41"/>
      <c r="M28" s="38"/>
      <c r="N28" s="38"/>
      <c r="O28" s="38"/>
      <c r="P28" s="38"/>
      <c r="Q28" s="38"/>
      <c r="R28" s="38"/>
      <c r="S28" s="38"/>
      <c r="T28" s="38"/>
      <c r="U28" s="37"/>
      <c r="V28" s="41"/>
      <c r="W28" s="50">
        <v>6</v>
      </c>
      <c r="X28" s="58">
        <f>G19/MAX(W22:W55)*W28</f>
        <v>2</v>
      </c>
      <c r="Y28" s="58">
        <f>IF($G$19-X28&gt;$G$22,0,IF($G$19-X28&lt;$G$21,-$G$23,IF($G$19-X28&lt;$G$22,-$G$23/($G$22-$G$21)*(X28-$G$19+$G$22),)))</f>
        <v>0</v>
      </c>
      <c r="Z28" s="57">
        <f>IF($G$19-X28&gt;$G$22,0,IF($G$19-X28&lt;$G$21,-(1/2)*$G$23*(2*X28-2*$G$19+$G$21+$G$22),IF($G$19-X28&lt;$G$22,-$G$23/(2*($G$22-$G$21))*(X28-$G$19+$G$22)^2,)))</f>
        <v>0</v>
      </c>
      <c r="AA28" s="55">
        <f>IF(($G$19-X28)&gt;$G$22,-(1/24)*$G$23/($G$17*$G$18)*(4*($G$21^2+$G$21*$G$22+$G$22^2)*($G$19-X28)-$G$21^3-$G$21*$G$22^2-$G$21^2*$G$22-$G$22^3),IF(($G$19-X28)&gt;$G$21,-(1/24)*$G$23/($G$17*$G$18)*(6*($G$22+$G$21)*($G$19-X28)^2-4*($G$19-X28)^3+($G$19-X28-$G$21)^4/($G$22-$G$21)),-(1/12)*$G$23/($G$17*$G$18)*(3*($G$22+$G$21)*($G$19-X28)^2-2*($G$19-X28)^3)))</f>
        <v>-1.8568750000000002E-2</v>
      </c>
      <c r="AB28" s="55"/>
      <c r="AC28" s="56">
        <v>2</v>
      </c>
      <c r="AD28" s="59">
        <f>INDEX(Y22:Y55,MATCH(AC28,X22:X55,0))</f>
        <v>0</v>
      </c>
      <c r="AE28" s="59">
        <f>INDEX(Z22:Z55,MATCH(AC28,X22:X55,0))</f>
        <v>0</v>
      </c>
      <c r="AF28" s="55">
        <f>INDEX(AA22:AA55,MATCH(AC28,X22:X55,0))</f>
        <v>-1.8568750000000002E-2</v>
      </c>
      <c r="AH28" s="51"/>
    </row>
    <row r="29" spans="1:34" s="40" customFormat="1" ht="13.8" x14ac:dyDescent="0.3">
      <c r="A29" s="67" t="s">
        <v>43</v>
      </c>
      <c r="B29" s="69" t="str">
        <f>[1]!xln(B31)</f>
        <v xml:space="preserve"> - 150 / (6 × (1E+07) × 0.1) × (5² + 5 × 8 + 8²)</v>
      </c>
      <c r="C29" s="69"/>
      <c r="D29" s="69"/>
      <c r="L29" s="41"/>
      <c r="M29" s="38"/>
      <c r="N29" s="38"/>
      <c r="O29" s="38"/>
      <c r="P29" s="38"/>
      <c r="Q29" s="38"/>
      <c r="R29" s="38"/>
      <c r="S29" s="38"/>
      <c r="T29" s="38"/>
      <c r="U29" s="37"/>
      <c r="V29" s="41"/>
      <c r="W29" s="50">
        <v>7</v>
      </c>
      <c r="X29" s="58">
        <f>G19/MAX(W22:W55)*W29</f>
        <v>2.333333333333333</v>
      </c>
      <c r="Y29" s="58">
        <f>IF($G$19-X29&gt;$G$22,0,IF($G$19-X29&lt;$G$21,-$G$23,IF($G$19-X29&lt;$G$22,-$G$23/($G$22-$G$21)*(X29-$G$19+$G$22),)))</f>
        <v>-16.66666666666665</v>
      </c>
      <c r="Z29" s="57">
        <f>IF($G$19-X29&gt;$G$22,0,IF($G$19-X29&lt;$G$21,-(1/2)*$G$23*(2*X29-2*$G$19+$G$21+$G$22),IF($G$19-X29&lt;$G$22,-$G$23/(2*($G$22-$G$21))*(X29-$G$19+$G$22)^2,)))</f>
        <v>-2.7777777777777728</v>
      </c>
      <c r="AA29" s="55">
        <f>IF(($G$19-X29)&gt;$G$22,-(1/24)*$G$23/($G$17*$G$18)*(4*($G$21^2+$G$21*$G$22+$G$22^2)*($G$19-X29)-$G$21^3-$G$21*$G$22^2-$G$21^2*$G$22-$G$22^3),IF(($G$19-X29)&gt;$G$21,-(1/24)*$G$23/($G$17*$G$18)*(6*($G$22+$G$21)*($G$19-X29)^2-4*($G$19-X29)^3+($G$19-X29-$G$21)^4/($G$22-$G$21)),-(1/12)*$G$23/($G$17*$G$18)*(3*($G$22+$G$21)*($G$19-X29)^2-2*($G$19-X29)^3)))</f>
        <v>-1.7493775720164608E-2</v>
      </c>
      <c r="AB29" s="55"/>
      <c r="AC29" s="56">
        <v>2</v>
      </c>
      <c r="AD29" s="59">
        <f>INDEX(Y22:Y55,MATCH(AC29,X22:X55,0))</f>
        <v>0</v>
      </c>
      <c r="AE29" s="59">
        <f>INDEX(Z22:Z55,MATCH(AC29,X22:X55,0))</f>
        <v>0</v>
      </c>
      <c r="AF29" s="55">
        <f>INDEX(AA22:AA55,MATCH(AC29,X22:X55,0))</f>
        <v>-1.8568750000000002E-2</v>
      </c>
      <c r="AH29" s="51"/>
    </row>
    <row r="30" spans="1:34" s="40" customFormat="1" ht="15" x14ac:dyDescent="0.35">
      <c r="B30" s="69"/>
      <c r="C30" s="69"/>
      <c r="D30" s="69"/>
      <c r="E30" s="67" t="s">
        <v>45</v>
      </c>
      <c r="F30" s="65" t="str">
        <f ca="1">[1]!xlv(F32)</f>
        <v xml:space="preserve"> - (1 / 2) × W × (a + b)</v>
      </c>
      <c r="G30" s="65"/>
      <c r="J30" s="64"/>
      <c r="L30" s="41"/>
      <c r="M30" s="38"/>
      <c r="N30" s="38"/>
      <c r="O30" s="38"/>
      <c r="P30" s="38"/>
      <c r="Q30" s="38"/>
      <c r="R30" s="38"/>
      <c r="S30" s="38"/>
      <c r="T30" s="38"/>
      <c r="U30" s="37"/>
      <c r="V30" s="41"/>
      <c r="W30" s="50">
        <v>8</v>
      </c>
      <c r="X30" s="58">
        <f>G19/MAX(W22:W55)*W30</f>
        <v>2.6666666666666665</v>
      </c>
      <c r="Y30" s="58">
        <f>IF($G$19-X30&gt;$G$22,0,IF($G$19-X30&lt;$G$21,-$G$23,IF($G$19-X30&lt;$G$22,-$G$23/($G$22-$G$21)*(X30-$G$19+$G$22),)))</f>
        <v>-33.3333333333333</v>
      </c>
      <c r="Z30" s="57">
        <f>IF($G$19-X30&gt;$G$22,0,IF($G$19-X30&lt;$G$21,-(1/2)*$G$23*(2*X30-2*$G$19+$G$21+$G$22),IF($G$19-X30&lt;$G$22,-$G$23/(2*($G$22-$G$21))*(X30-$G$19+$G$22)^2,)))</f>
        <v>-11.111111111111091</v>
      </c>
      <c r="AA30" s="55">
        <f>IF(($G$19-X30)&gt;$G$22,-(1/24)*$G$23/($G$17*$G$18)*(4*($G$21^2+$G$21*$G$22+$G$22^2)*($G$19-X30)-$G$21^3-$G$21*$G$22^2-$G$21^2*$G$22-$G$22^3),IF(($G$19-X30)&gt;$G$21,-(1/24)*$G$23/($G$17*$G$18)*(6*($G$22+$G$21)*($G$19-X30)^2-4*($G$19-X30)^3+($G$19-X30-$G$21)^4/($G$22-$G$21)),-(1/12)*$G$23/($G$17*$G$18)*(3*($G$22+$G$21)*($G$19-X30)^2-2*($G$19-X30)^3)))</f>
        <v>-1.6419161522633747E-2</v>
      </c>
      <c r="AB30" s="55"/>
      <c r="AC30" s="56">
        <v>2.333333333333333</v>
      </c>
      <c r="AD30" s="59">
        <f>INDEX(Y22:Y55,MATCH(AC30,X22:X55,0))</f>
        <v>-16.66666666666665</v>
      </c>
      <c r="AE30" s="59">
        <f>INDEX(Z22:Z55,MATCH(AC30,X22:X55,0))</f>
        <v>-2.7777777777777728</v>
      </c>
      <c r="AF30" s="55">
        <f>INDEX(AA22:AA55,MATCH(AC30,X22:X55,0))</f>
        <v>-1.7493775720164608E-2</v>
      </c>
      <c r="AH30" s="51"/>
    </row>
    <row r="31" spans="1:34" s="40" customFormat="1" ht="13.8" x14ac:dyDescent="0.3">
      <c r="A31" s="67" t="s">
        <v>43</v>
      </c>
      <c r="B31" s="68">
        <f>-G23/(6*G17*G18)*(G21^2+G21*G22+G22^2)</f>
        <v>-3.225E-3</v>
      </c>
      <c r="C31" s="65" t="s">
        <v>44</v>
      </c>
      <c r="E31" s="67" t="s">
        <v>43</v>
      </c>
      <c r="F31" s="40" t="str">
        <f>[1]!xln(F32)</f>
        <v xml:space="preserve"> - (1 / 2) × 150 × (5 + 8)</v>
      </c>
      <c r="G31" s="65"/>
      <c r="J31" s="64"/>
      <c r="L31" s="41"/>
      <c r="M31" s="38"/>
      <c r="N31" s="38"/>
      <c r="O31" s="38"/>
      <c r="P31" s="38"/>
      <c r="Q31" s="38"/>
      <c r="R31" s="38"/>
      <c r="S31" s="38"/>
      <c r="T31" s="38"/>
      <c r="U31" s="37"/>
      <c r="V31" s="41"/>
      <c r="W31" s="50">
        <v>9</v>
      </c>
      <c r="X31" s="58">
        <f>G19/MAX(W22:W55)*W31</f>
        <v>3</v>
      </c>
      <c r="Y31" s="58">
        <f>IF($G$19-X31&gt;$G$22,0,IF($G$19-X31&lt;$G$21,-$G$23,IF($G$19-X31&lt;$G$22,-$G$23/($G$22-$G$21)*(X31-$G$19+$G$22),)))</f>
        <v>-50</v>
      </c>
      <c r="Z31" s="57">
        <f>IF($G$19-X31&gt;$G$22,0,IF($G$19-X31&lt;$G$21,-(1/2)*$G$23*(2*X31-2*$G$19+$G$21+$G$22),IF($G$19-X31&lt;$G$22,-$G$23/(2*($G$22-$G$21))*(X31-$G$19+$G$22)^2,)))</f>
        <v>-25</v>
      </c>
      <c r="AA31" s="55">
        <f>IF(($G$19-X31)&gt;$G$22,-(1/24)*$G$23/($G$17*$G$18)*(4*($G$21^2+$G$21*$G$22+$G$22^2)*($G$19-X31)-$G$21^3-$G$21*$G$22^2-$G$21^2*$G$22-$G$22^3),IF(($G$19-X31)&gt;$G$21,-(1/24)*$G$23/($G$17*$G$18)*(6*($G$22+$G$21)*($G$19-X31)^2-4*($G$19-X31)^3+($G$19-X31-$G$21)^4/($G$22-$G$21)),-(1/12)*$G$23/($G$17*$G$18)*(3*($G$22+$G$21)*($G$19-X31)^2-2*($G$19-X31)^3)))</f>
        <v>-1.5345833333333335E-2</v>
      </c>
      <c r="AB31" s="55"/>
      <c r="AC31" s="56">
        <v>2.6666666666666665</v>
      </c>
      <c r="AD31" s="59">
        <f>INDEX(Y22:Y55,MATCH(AC31,X22:X55,0))</f>
        <v>-33.3333333333333</v>
      </c>
      <c r="AE31" s="59">
        <f>INDEX(Z22:Z55,MATCH(AC31,X22:X55,0))</f>
        <v>-11.111111111111091</v>
      </c>
      <c r="AF31" s="55">
        <f>INDEX(AA22:AA55,MATCH(AC31,X22:X55,0))</f>
        <v>-1.6419161522633747E-2</v>
      </c>
      <c r="AH31" s="51"/>
    </row>
    <row r="32" spans="1:34" s="40" customFormat="1" ht="13.8" x14ac:dyDescent="0.3">
      <c r="E32" s="67" t="s">
        <v>43</v>
      </c>
      <c r="F32" s="66">
        <f>-(1/2)*G23*(G21+G22)</f>
        <v>-975</v>
      </c>
      <c r="G32" s="65" t="s">
        <v>39</v>
      </c>
      <c r="J32" s="64"/>
      <c r="L32" s="41"/>
      <c r="M32" s="38"/>
      <c r="N32" s="38"/>
      <c r="O32" s="38"/>
      <c r="P32" s="38"/>
      <c r="Q32" s="38"/>
      <c r="R32" s="38"/>
      <c r="S32" s="38"/>
      <c r="T32" s="38"/>
      <c r="U32" s="37"/>
      <c r="V32" s="41"/>
      <c r="W32" s="50">
        <v>10</v>
      </c>
      <c r="X32" s="58">
        <f>G19/MAX(W22:W55)*W32</f>
        <v>3.333333333333333</v>
      </c>
      <c r="Y32" s="58">
        <f>IF($G$19-X32&gt;$G$22,0,IF($G$19-X32&lt;$G$21,-$G$23,IF($G$19-X32&lt;$G$22,-$G$23/($G$22-$G$21)*(X32-$G$19+$G$22),)))</f>
        <v>-66.666666666666657</v>
      </c>
      <c r="Z32" s="57">
        <f>IF($G$19-X32&gt;$G$22,0,IF($G$19-X32&lt;$G$21,-(1/2)*$G$23*(2*X32-2*$G$19+$G$21+$G$22),IF($G$19-X32&lt;$G$22,-$G$23/(2*($G$22-$G$21))*(X32-$G$19+$G$22)^2,)))</f>
        <v>-44.444444444444429</v>
      </c>
      <c r="AA32" s="55">
        <f>IF(($G$19-X32)&gt;$G$22,-(1/24)*$G$23/($G$17*$G$18)*(4*($G$21^2+$G$21*$G$22+$G$22^2)*($G$19-X32)-$G$21^3-$G$21*$G$22^2-$G$21^2*$G$22-$G$22^3),IF(($G$19-X32)&gt;$G$21,-(1/24)*$G$23/($G$17*$G$18)*(6*($G$22+$G$21)*($G$19-X32)^2-4*($G$19-X32)^3+($G$19-X32-$G$21)^4/($G$22-$G$21)),-(1/12)*$G$23/($G$17*$G$18)*(3*($G$22+$G$21)*($G$19-X32)^2-2*($G$19-X32)^3)))</f>
        <v>-1.4275334362139919E-2</v>
      </c>
      <c r="AB32" s="55"/>
      <c r="AC32" s="56">
        <v>3</v>
      </c>
      <c r="AD32" s="59">
        <f>INDEX(Y22:Y55,MATCH(AC32,X22:X55,0))</f>
        <v>-50</v>
      </c>
      <c r="AE32" s="59">
        <f>INDEX(Z22:Z55,MATCH(AC32,X22:X55,0))</f>
        <v>-25</v>
      </c>
      <c r="AF32" s="55">
        <f>INDEX(AA22:AA55,MATCH(AC32,X22:X55,0))</f>
        <v>-1.5345833333333335E-2</v>
      </c>
      <c r="AH32" s="51"/>
    </row>
    <row r="33" spans="9:34" s="40" customFormat="1" ht="13.8" x14ac:dyDescent="0.3">
      <c r="L33" s="41"/>
      <c r="M33" s="38"/>
      <c r="N33" s="38"/>
      <c r="O33" s="38"/>
      <c r="P33" s="38"/>
      <c r="Q33" s="38"/>
      <c r="R33" s="38"/>
      <c r="S33" s="38"/>
      <c r="T33" s="38"/>
      <c r="U33" s="37"/>
      <c r="V33" s="41"/>
      <c r="W33" s="50">
        <v>11</v>
      </c>
      <c r="X33" s="58">
        <f>G19/MAX(W22:W55)*W33</f>
        <v>3.6666666666666665</v>
      </c>
      <c r="Y33" s="58">
        <f>IF($G$19-X33&gt;$G$22,0,IF($G$19-X33&lt;$G$21,-$G$23,IF($G$19-X33&lt;$G$22,-$G$23/($G$22-$G$21)*(X33-$G$19+$G$22),)))</f>
        <v>-83.3333333333333</v>
      </c>
      <c r="Z33" s="57">
        <f>IF($G$19-X33&gt;$G$22,0,IF($G$19-X33&lt;$G$21,-(1/2)*$G$23*(2*X33-2*$G$19+$G$21+$G$22),IF($G$19-X33&lt;$G$22,-$G$23/(2*($G$22-$G$21))*(X33-$G$19+$G$22)^2,)))</f>
        <v>-69.4444444444444</v>
      </c>
      <c r="AA33" s="55">
        <f>IF(($G$19-X33)&gt;$G$22,-(1/24)*$G$23/($G$17*$G$18)*(4*($G$21^2+$G$21*$G$22+$G$22^2)*($G$19-X33)-$G$21^3-$G$21*$G$22^2-$G$21^2*$G$22-$G$22^3),IF(($G$19-X33)&gt;$G$21,-(1/24)*$G$23/($G$17*$G$18)*(6*($G$22+$G$21)*($G$19-X33)^2-4*($G$19-X33)^3+($G$19-X33-$G$21)^4/($G$22-$G$21)),-(1/12)*$G$23/($G$17*$G$18)*(3*($G$22+$G$21)*($G$19-X33)^2-2*($G$19-X33)^3)))</f>
        <v>-1.3209825102880664E-2</v>
      </c>
      <c r="AB33" s="55"/>
      <c r="AC33" s="56">
        <v>3.333333333333333</v>
      </c>
      <c r="AD33" s="59">
        <f>INDEX(Y22:Y55,MATCH(AC33,X22:X55,0))</f>
        <v>-66.666666666666657</v>
      </c>
      <c r="AE33" s="59">
        <f>INDEX(Z22:Z55,MATCH(AC33,X22:X55,0))</f>
        <v>-44.444444444444429</v>
      </c>
      <c r="AF33" s="55">
        <f>INDEX(AA22:AA55,MATCH(AC33,X22:X55,0))</f>
        <v>-1.4275334362139919E-2</v>
      </c>
      <c r="AH33" s="51"/>
    </row>
    <row r="34" spans="9:34" s="40" customFormat="1" ht="13.8" x14ac:dyDescent="0.3">
      <c r="I34" s="63" t="s">
        <v>42</v>
      </c>
      <c r="J34" s="41"/>
      <c r="K34" s="41"/>
      <c r="L34" s="41"/>
      <c r="M34" s="38"/>
      <c r="N34" s="38"/>
      <c r="O34" s="38"/>
      <c r="P34" s="38"/>
      <c r="Q34" s="38"/>
      <c r="R34" s="38"/>
      <c r="S34" s="38"/>
      <c r="T34" s="38"/>
      <c r="U34" s="37"/>
      <c r="V34" s="41"/>
      <c r="W34" s="50">
        <v>12</v>
      </c>
      <c r="X34" s="58">
        <f>G19/MAX(W22:W55)*W34</f>
        <v>4</v>
      </c>
      <c r="Y34" s="58">
        <f>IF($G$19-X34&gt;$G$22,0,IF($G$19-X34&lt;$G$21,-$G$23,IF($G$19-X34&lt;$G$22,-$G$23/($G$22-$G$21)*(X34-$G$19+$G$22),)))</f>
        <v>-100</v>
      </c>
      <c r="Z34" s="57">
        <f>IF($G$19-X34&gt;$G$22,0,IF($G$19-X34&lt;$G$21,-(1/2)*$G$23*(2*X34-2*$G$19+$G$21+$G$22),IF($G$19-X34&lt;$G$22,-$G$23/(2*($G$22-$G$21))*(X34-$G$19+$G$22)^2,)))</f>
        <v>-100</v>
      </c>
      <c r="AA34" s="55">
        <f>IF(($G$19-X34)&gt;$G$22,-(1/24)*$G$23/($G$17*$G$18)*(4*($G$21^2+$G$21*$G$22+$G$22^2)*($G$19-X34)-$G$21^3-$G$21*$G$22^2-$G$21^2*$G$22-$G$22^3),IF(($G$19-X34)&gt;$G$21,-(1/24)*$G$23/($G$17*$G$18)*(6*($G$22+$G$21)*($G$19-X34)^2-4*($G$19-X34)^3+($G$19-X34-$G$21)^4/($G$22-$G$21)),-(1/12)*$G$23/($G$17*$G$18)*(3*($G$22+$G$21)*($G$19-X34)^2-2*($G$19-X34)^3)))</f>
        <v>-1.2152083333333334E-2</v>
      </c>
      <c r="AB34" s="55"/>
      <c r="AC34" s="56">
        <v>3.6666666666666665</v>
      </c>
      <c r="AD34" s="59">
        <f>INDEX(Y22:Y55,MATCH(AC34,X22:X55,0))</f>
        <v>-83.3333333333333</v>
      </c>
      <c r="AE34" s="59">
        <f>INDEX(Z22:Z55,MATCH(AC34,X22:X55,0))</f>
        <v>-69.4444444444444</v>
      </c>
      <c r="AF34" s="55">
        <f>INDEX(AA22:AA55,MATCH(AC34,X22:X55,0))</f>
        <v>-1.3209825102880664E-2</v>
      </c>
      <c r="AH34" s="51"/>
    </row>
    <row r="35" spans="9:34" s="40" customFormat="1" ht="13.8" x14ac:dyDescent="0.3">
      <c r="I35" s="54" t="s">
        <v>36</v>
      </c>
      <c r="J35" s="62">
        <f>MAX(AD21:AD54)</f>
        <v>0</v>
      </c>
      <c r="K35" s="41" t="s">
        <v>41</v>
      </c>
      <c r="L35" s="41"/>
      <c r="M35" s="38"/>
      <c r="N35" s="38"/>
      <c r="O35" s="38"/>
      <c r="P35" s="38"/>
      <c r="Q35" s="38"/>
      <c r="R35" s="38"/>
      <c r="S35" s="38"/>
      <c r="T35" s="38"/>
      <c r="U35" s="37"/>
      <c r="V35" s="41"/>
      <c r="W35" s="50">
        <v>13</v>
      </c>
      <c r="X35" s="58">
        <f>G19/MAX(W22:W55)*W35</f>
        <v>4.333333333333333</v>
      </c>
      <c r="Y35" s="58">
        <f>IF($G$19-X35&gt;$G$22,0,IF($G$19-X35&lt;$G$21,-$G$23,IF($G$19-X35&lt;$G$22,-$G$23/($G$22-$G$21)*(X35-$G$19+$G$22),)))</f>
        <v>-116.66666666666666</v>
      </c>
      <c r="Z35" s="57">
        <f>IF($G$19-X35&gt;$G$22,0,IF($G$19-X35&lt;$G$21,-(1/2)*$G$23*(2*X35-2*$G$19+$G$21+$G$22),IF($G$19-X35&lt;$G$22,-$G$23/(2*($G$22-$G$21))*(X35-$G$19+$G$22)^2,)))</f>
        <v>-136.11111111111109</v>
      </c>
      <c r="AA35" s="55">
        <f>IF(($G$19-X35)&gt;$G$22,-(1/24)*$G$23/($G$17*$G$18)*(4*($G$21^2+$G$21*$G$22+$G$22^2)*($G$19-X35)-$G$21^3-$G$21*$G$22^2-$G$21^2*$G$22-$G$22^3),IF(($G$19-X35)&gt;$G$21,-(1/24)*$G$23/($G$17*$G$18)*(6*($G$22+$G$21)*($G$19-X35)^2-4*($G$19-X35)^3+($G$19-X35-$G$21)^4/($G$22-$G$21)),-(1/12)*$G$23/($G$17*$G$18)*(3*($G$22+$G$21)*($G$19-X35)^2-2*($G$19-X35)^3)))</f>
        <v>-1.1105504115226339E-2</v>
      </c>
      <c r="AB35" s="55"/>
      <c r="AC35" s="56">
        <v>4</v>
      </c>
      <c r="AD35" s="59">
        <f>INDEX(Y22:Y55,MATCH(AC35,X22:X55,0))</f>
        <v>-100</v>
      </c>
      <c r="AE35" s="59">
        <f>INDEX(Z22:Z55,MATCH(AC35,X22:X55,0))</f>
        <v>-100</v>
      </c>
      <c r="AF35" s="55">
        <f>INDEX(AA22:AA55,MATCH(AC35,X22:X55,0))</f>
        <v>-1.2152083333333334E-2</v>
      </c>
      <c r="AH35" s="51"/>
    </row>
    <row r="36" spans="9:34" s="40" customFormat="1" ht="13.8" x14ac:dyDescent="0.3">
      <c r="I36" s="54" t="s">
        <v>35</v>
      </c>
      <c r="J36" s="62">
        <f>MIN(AD21:AD54)</f>
        <v>-150</v>
      </c>
      <c r="K36" s="41" t="s">
        <v>41</v>
      </c>
      <c r="L36" s="41"/>
      <c r="M36" s="38"/>
      <c r="N36" s="38"/>
      <c r="O36" s="38"/>
      <c r="P36" s="38"/>
      <c r="Q36" s="38"/>
      <c r="R36" s="38"/>
      <c r="S36" s="38"/>
      <c r="T36" s="38"/>
      <c r="U36" s="37"/>
      <c r="V36" s="41"/>
      <c r="W36" s="50">
        <v>14</v>
      </c>
      <c r="X36" s="58">
        <f>G19/MAX(W22:W55)*W36</f>
        <v>4.6666666666666661</v>
      </c>
      <c r="Y36" s="58">
        <f>IF($G$19-X36&gt;$G$22,0,IF($G$19-X36&lt;$G$21,-$G$23,IF($G$19-X36&lt;$G$22,-$G$23/($G$22-$G$21)*(X36-$G$19+$G$22),)))</f>
        <v>-133.33333333333331</v>
      </c>
      <c r="Z36" s="57">
        <f>IF($G$19-X36&gt;$G$22,0,IF($G$19-X36&lt;$G$21,-(1/2)*$G$23*(2*X36-2*$G$19+$G$21+$G$22),IF($G$19-X36&lt;$G$22,-$G$23/(2*($G$22-$G$21))*(X36-$G$19+$G$22)^2,)))</f>
        <v>-177.77777777777771</v>
      </c>
      <c r="AA36" s="55">
        <f>IF(($G$19-X36)&gt;$G$22,-(1/24)*$G$23/($G$17*$G$18)*(4*($G$21^2+$G$21*$G$22+$G$22^2)*($G$19-X36)-$G$21^3-$G$21*$G$22^2-$G$21^2*$G$22-$G$22^3),IF(($G$19-X36)&gt;$G$21,-(1/24)*$G$23/($G$17*$G$18)*(6*($G$22+$G$21)*($G$19-X36)^2-4*($G$19-X36)^3+($G$19-X36-$G$21)^4/($G$22-$G$21)),-(1/12)*$G$23/($G$17*$G$18)*(3*($G$22+$G$21)*($G$19-X36)^2-2*($G$19-X36)^3)))</f>
        <v>-1.0074099794238685E-2</v>
      </c>
      <c r="AB36" s="55"/>
      <c r="AC36" s="56">
        <v>4.333333333333333</v>
      </c>
      <c r="AD36" s="59">
        <f>INDEX(Y22:Y55,MATCH(AC36,X22:X55,0))</f>
        <v>-116.66666666666666</v>
      </c>
      <c r="AE36" s="59">
        <f>INDEX(Z22:Z55,MATCH(AC36,X22:X55,0))</f>
        <v>-136.11111111111109</v>
      </c>
      <c r="AF36" s="55">
        <f>INDEX(AA22:AA55,MATCH(AC36,X22:X55,0))</f>
        <v>-1.1105504115226339E-2</v>
      </c>
      <c r="AH36" s="51"/>
    </row>
    <row r="37" spans="9:34" s="40" customFormat="1" ht="13.8" x14ac:dyDescent="0.3">
      <c r="I37" s="52" t="s">
        <v>37</v>
      </c>
      <c r="J37" s="41"/>
      <c r="K37" s="41"/>
      <c r="L37" s="41"/>
      <c r="M37" s="38"/>
      <c r="N37" s="38"/>
      <c r="O37" s="38"/>
      <c r="P37" s="38"/>
      <c r="Q37" s="38"/>
      <c r="R37" s="38"/>
      <c r="S37" s="38"/>
      <c r="T37" s="38"/>
      <c r="U37" s="37"/>
      <c r="V37" s="41"/>
      <c r="W37" s="50">
        <v>15</v>
      </c>
      <c r="X37" s="58">
        <f>G19/MAX(W22:W55)*W37</f>
        <v>5</v>
      </c>
      <c r="Y37" s="58">
        <f>IF($G$19-X37&gt;$G$22,0,IF($G$19-X37&lt;$G$21,-$G$23,IF($G$19-X37&lt;$G$22,-$G$23/($G$22-$G$21)*(X37-$G$19+$G$22),)))</f>
        <v>-150</v>
      </c>
      <c r="Z37" s="57">
        <f>IF($G$19-X37&gt;$G$22,0,IF($G$19-X37&lt;$G$21,-(1/2)*$G$23*(2*X37-2*$G$19+$G$21+$G$22),IF($G$19-X37&lt;$G$22,-$G$23/(2*($G$22-$G$21))*(X37-$G$19+$G$22)^2,)))</f>
        <v>-225</v>
      </c>
      <c r="AA37" s="55">
        <f>IF(($G$19-X37)&gt;$G$22,-(1/24)*$G$23/($G$17*$G$18)*(4*($G$21^2+$G$21*$G$22+$G$22^2)*($G$19-X37)-$G$21^3-$G$21*$G$22^2-$G$21^2*$G$22-$G$22^3),IF(($G$19-X37)&gt;$G$21,-(1/24)*$G$23/($G$17*$G$18)*(6*($G$22+$G$21)*($G$19-X37)^2-4*($G$19-X37)^3+($G$19-X37-$G$21)^4/($G$22-$G$21)),-(1/12)*$G$23/($G$17*$G$18)*(3*($G$22+$G$21)*($G$19-X37)^2-2*($G$19-X37)^3)))</f>
        <v>-9.0625000000000011E-3</v>
      </c>
      <c r="AB37" s="55"/>
      <c r="AC37" s="56">
        <v>4.6666666666666661</v>
      </c>
      <c r="AD37" s="59">
        <f>INDEX(Y22:Y55,MATCH(AC37,X22:X55,0))</f>
        <v>-133.33333333333331</v>
      </c>
      <c r="AE37" s="59">
        <f>INDEX(Z22:Z55,MATCH(AC37,X22:X55,0))</f>
        <v>-177.77777777777771</v>
      </c>
      <c r="AF37" s="55">
        <f>INDEX(AA22:AA55,MATCH(AC37,X22:X55,0))</f>
        <v>-1.0074099794238685E-2</v>
      </c>
      <c r="AH37" s="51"/>
    </row>
    <row r="38" spans="9:34" s="40" customFormat="1" ht="13.8" x14ac:dyDescent="0.3">
      <c r="I38" s="54" t="s">
        <v>36</v>
      </c>
      <c r="J38" s="53">
        <f>INDEX(AC21:AC54,MATCH(J35,AD21:AD54,0))</f>
        <v>0</v>
      </c>
      <c r="K38" s="41" t="s">
        <v>34</v>
      </c>
      <c r="L38" s="41"/>
      <c r="M38" s="38"/>
      <c r="N38" s="38"/>
      <c r="O38" s="38"/>
      <c r="P38" s="38"/>
      <c r="Q38" s="38"/>
      <c r="R38" s="38"/>
      <c r="S38" s="38"/>
      <c r="T38" s="38"/>
      <c r="U38" s="37"/>
      <c r="V38" s="41"/>
      <c r="W38" s="50">
        <v>16</v>
      </c>
      <c r="X38" s="58">
        <f>G19/MAX(W22:W55)*W38</f>
        <v>5.333333333333333</v>
      </c>
      <c r="Y38" s="58">
        <f>IF($G$19-X38&gt;$G$22,0,IF($G$19-X38&lt;$G$21,-$G$23,IF($G$19-X38&lt;$G$22,-$G$23/($G$22-$G$21)*(X38-$G$19+$G$22),)))</f>
        <v>-150</v>
      </c>
      <c r="Z38" s="57">
        <f>IF($G$19-X38&gt;$G$22,0,IF($G$19-X38&lt;$G$21,-(1/2)*$G$23*(2*X38-2*$G$19+$G$21+$G$22),IF($G$19-X38&lt;$G$22,-$G$23/(2*($G$22-$G$21))*(X38-$G$19+$G$22)^2,)))</f>
        <v>-274.99999999999994</v>
      </c>
      <c r="AA38" s="55">
        <f>IF(($G$19-X38)&gt;$G$22,-(1/24)*$G$23/($G$17*$G$18)*(4*($G$21^2+$G$21*$G$22+$G$22^2)*($G$19-X38)-$G$21^3-$G$21*$G$22^2-$G$21^2*$G$22-$G$22^3),IF(($G$19-X38)&gt;$G$21,-(1/24)*$G$23/($G$17*$G$18)*(6*($G$22+$G$21)*($G$19-X38)^2-4*($G$19-X38)^3+($G$19-X38-$G$21)^4/($G$22-$G$21)),-(1/12)*$G$23/($G$17*$G$18)*(3*($G$22+$G$21)*($G$19-X38)^2-2*($G$19-X38)^3)))</f>
        <v>-8.0759259259259274E-3</v>
      </c>
      <c r="AB38" s="55"/>
      <c r="AC38" s="56">
        <v>5</v>
      </c>
      <c r="AD38" s="59">
        <f>INDEX(Y22:Y55,MATCH(AC38,X22:X55,0))</f>
        <v>-150</v>
      </c>
      <c r="AE38" s="59">
        <f>INDEX(Z22:Z55,MATCH(AC38,X22:X55,0))</f>
        <v>-225</v>
      </c>
      <c r="AF38" s="55">
        <f>INDEX(AA22:AA55,MATCH(AC38,X22:X55,0))</f>
        <v>-9.0625000000000011E-3</v>
      </c>
      <c r="AH38" s="51"/>
    </row>
    <row r="39" spans="9:34" s="40" customFormat="1" ht="13.8" x14ac:dyDescent="0.3">
      <c r="I39" s="54" t="s">
        <v>35</v>
      </c>
      <c r="J39" s="53">
        <f>INDEX(AC21:AC54,MATCH(J36,AD21:AD54,0))</f>
        <v>5</v>
      </c>
      <c r="K39" s="52" t="s">
        <v>34</v>
      </c>
      <c r="L39" s="41"/>
      <c r="M39" s="38"/>
      <c r="N39" s="38"/>
      <c r="O39" s="38"/>
      <c r="P39" s="38"/>
      <c r="Q39" s="38"/>
      <c r="R39" s="38"/>
      <c r="S39" s="38"/>
      <c r="T39" s="38"/>
      <c r="U39" s="37"/>
      <c r="V39" s="41"/>
      <c r="W39" s="50">
        <v>17</v>
      </c>
      <c r="X39" s="58">
        <f>G19/MAX(W22:W55)*W39</f>
        <v>5.6666666666666661</v>
      </c>
      <c r="Y39" s="58">
        <f>IF($G$19-X39&gt;$G$22,0,IF($G$19-X39&lt;$G$21,-$G$23,IF($G$19-X39&lt;$G$22,-$G$23/($G$22-$G$21)*(X39-$G$19+$G$22),)))</f>
        <v>-150</v>
      </c>
      <c r="Z39" s="57">
        <f>IF($G$19-X39&gt;$G$22,0,IF($G$19-X39&lt;$G$21,-(1/2)*$G$23*(2*X39-2*$G$19+$G$21+$G$22),IF($G$19-X39&lt;$G$22,-$G$23/(2*($G$22-$G$21))*(X39-$G$19+$G$22)^2,)))</f>
        <v>-324.99999999999989</v>
      </c>
      <c r="AA39" s="55">
        <f>IF(($G$19-X39)&gt;$G$22,-(1/24)*$G$23/($G$17*$G$18)*(4*($G$21^2+$G$21*$G$22+$G$22^2)*($G$19-X39)-$G$21^3-$G$21*$G$22^2-$G$21^2*$G$22-$G$22^3),IF(($G$19-X39)&gt;$G$21,-(1/24)*$G$23/($G$17*$G$18)*(6*($G$22+$G$21)*($G$19-X39)^2-4*($G$19-X39)^3+($G$19-X39-$G$21)^4/($G$22-$G$21)),-(1/12)*$G$23/($G$17*$G$18)*(3*($G$22+$G$21)*($G$19-X39)^2-2*($G$19-X39)^3)))</f>
        <v>-7.119907407407409E-3</v>
      </c>
      <c r="AB39" s="55"/>
      <c r="AC39" s="56">
        <v>5</v>
      </c>
      <c r="AD39" s="59">
        <f>INDEX(Y22:Y55,MATCH(AC39,X22:X55,0))</f>
        <v>-150</v>
      </c>
      <c r="AE39" s="59">
        <f>INDEX(Z22:Z55,MATCH(AC39,X22:X55,0))</f>
        <v>-225</v>
      </c>
      <c r="AF39" s="55">
        <f>INDEX(AA22:AA55,MATCH(AC39,X22:X55,0))</f>
        <v>-9.0625000000000011E-3</v>
      </c>
      <c r="AH39" s="51"/>
    </row>
    <row r="40" spans="9:34" s="40" customFormat="1" ht="13.8" x14ac:dyDescent="0.3">
      <c r="L40" s="41"/>
      <c r="M40" s="38"/>
      <c r="N40" s="38"/>
      <c r="O40" s="38"/>
      <c r="P40" s="38"/>
      <c r="Q40" s="38"/>
      <c r="R40" s="38"/>
      <c r="S40" s="38"/>
      <c r="T40" s="38"/>
      <c r="U40" s="37"/>
      <c r="V40" s="41"/>
      <c r="W40" s="50">
        <v>18</v>
      </c>
      <c r="X40" s="58">
        <f>G19/MAX(W22:W55)*W40</f>
        <v>6</v>
      </c>
      <c r="Y40" s="58">
        <f>IF($G$19-X40&gt;$G$22,0,IF($G$19-X40&lt;$G$21,-$G$23,IF($G$19-X40&lt;$G$22,-$G$23/($G$22-$G$21)*(X40-$G$19+$G$22),)))</f>
        <v>-150</v>
      </c>
      <c r="Z40" s="57">
        <f>IF($G$19-X40&gt;$G$22,0,IF($G$19-X40&lt;$G$21,-(1/2)*$G$23*(2*X40-2*$G$19+$G$21+$G$22),IF($G$19-X40&lt;$G$22,-$G$23/(2*($G$22-$G$21))*(X40-$G$19+$G$22)^2,)))</f>
        <v>-375</v>
      </c>
      <c r="AA40" s="55">
        <f>IF(($G$19-X40)&gt;$G$22,-(1/24)*$G$23/($G$17*$G$18)*(4*($G$21^2+$G$21*$G$22+$G$22^2)*($G$19-X40)-$G$21^3-$G$21*$G$22^2-$G$21^2*$G$22-$G$22^3),IF(($G$19-X40)&gt;$G$21,-(1/24)*$G$23/($G$17*$G$18)*(6*($G$22+$G$21)*($G$19-X40)^2-4*($G$19-X40)^3+($G$19-X40-$G$21)^4/($G$22-$G$21)),-(1/12)*$G$23/($G$17*$G$18)*(3*($G$22+$G$21)*($G$19-X40)^2-2*($G$19-X40)^3)))</f>
        <v>-6.2000000000000006E-3</v>
      </c>
      <c r="AB40" s="55"/>
      <c r="AC40" s="56">
        <v>5.333333333333333</v>
      </c>
      <c r="AD40" s="59">
        <f>INDEX(Y22:Y55,MATCH(AC40,X22:X55,0))</f>
        <v>-150</v>
      </c>
      <c r="AE40" s="59">
        <f>INDEX(Z22:Z55,MATCH(AC40,X22:X55,0))</f>
        <v>-274.99999999999994</v>
      </c>
      <c r="AF40" s="55">
        <f>INDEX(AA22:AA55,MATCH(AC40,X22:X55,0))</f>
        <v>-8.0759259259259274E-3</v>
      </c>
      <c r="AH40" s="51"/>
    </row>
    <row r="41" spans="9:34" s="40" customFormat="1" ht="13.8" x14ac:dyDescent="0.3">
      <c r="I41" s="61" t="s">
        <v>40</v>
      </c>
      <c r="J41" s="41"/>
      <c r="K41" s="41"/>
      <c r="L41" s="41"/>
      <c r="M41" s="38"/>
      <c r="N41" s="38"/>
      <c r="O41" s="38"/>
      <c r="P41" s="38"/>
      <c r="Q41" s="38"/>
      <c r="R41" s="38"/>
      <c r="S41" s="38"/>
      <c r="T41" s="38"/>
      <c r="U41" s="37"/>
      <c r="V41" s="41"/>
      <c r="W41" s="50">
        <v>19</v>
      </c>
      <c r="X41" s="58">
        <f>G19/MAX(W22:W55)*W41</f>
        <v>6.333333333333333</v>
      </c>
      <c r="Y41" s="58">
        <f>IF($G$19-X41&gt;$G$22,0,IF($G$19-X41&lt;$G$21,-$G$23,IF($G$19-X41&lt;$G$22,-$G$23/($G$22-$G$21)*(X41-$G$19+$G$22),)))</f>
        <v>-150</v>
      </c>
      <c r="Z41" s="57">
        <f>IF($G$19-X41&gt;$G$22,0,IF($G$19-X41&lt;$G$21,-(1/2)*$G$23*(2*X41-2*$G$19+$G$21+$G$22),IF($G$19-X41&lt;$G$22,-$G$23/(2*($G$22-$G$21))*(X41-$G$19+$G$22)^2,)))</f>
        <v>-424.99999999999994</v>
      </c>
      <c r="AA41" s="55">
        <f>IF(($G$19-X41)&gt;$G$22,-(1/24)*$G$23/($G$17*$G$18)*(4*($G$21^2+$G$21*$G$22+$G$22^2)*($G$19-X41)-$G$21^3-$G$21*$G$22^2-$G$21^2*$G$22-$G$22^3),IF(($G$19-X41)&gt;$G$21,-(1/24)*$G$23/($G$17*$G$18)*(6*($G$22+$G$21)*($G$19-X41)^2-4*($G$19-X41)^3+($G$19-X41-$G$21)^4/($G$22-$G$21)),-(1/12)*$G$23/($G$17*$G$18)*(3*($G$22+$G$21)*($G$19-X41)^2-2*($G$19-X41)^3)))</f>
        <v>-5.3217592592592596E-3</v>
      </c>
      <c r="AB41" s="45"/>
      <c r="AC41" s="56">
        <v>5.6666666666666661</v>
      </c>
      <c r="AD41" s="59">
        <f>INDEX(Y22:Y55,MATCH(AC41,X22:X55,0))</f>
        <v>-150</v>
      </c>
      <c r="AE41" s="59">
        <f>INDEX(Z22:Z55,MATCH(AC41,X22:X55,0))</f>
        <v>-324.99999999999989</v>
      </c>
      <c r="AF41" s="55">
        <f>INDEX(AA22:AA55,MATCH(AC41,X22:X55,0))</f>
        <v>-7.119907407407409E-3</v>
      </c>
      <c r="AH41" s="51"/>
    </row>
    <row r="42" spans="9:34" s="40" customFormat="1" ht="13.8" x14ac:dyDescent="0.3">
      <c r="I42" s="54" t="s">
        <v>36</v>
      </c>
      <c r="J42" s="62">
        <f>MAX(AE21:AE54)</f>
        <v>0</v>
      </c>
      <c r="K42" s="41" t="s">
        <v>39</v>
      </c>
      <c r="L42" s="41"/>
      <c r="M42" s="38"/>
      <c r="N42" s="38"/>
      <c r="O42" s="38"/>
      <c r="P42" s="38"/>
      <c r="Q42" s="38"/>
      <c r="R42" s="38"/>
      <c r="S42" s="38"/>
      <c r="T42" s="38"/>
      <c r="U42" s="37"/>
      <c r="V42" s="41"/>
      <c r="W42" s="50">
        <v>20</v>
      </c>
      <c r="X42" s="58">
        <f>G19/MAX(W22:W55)*W42</f>
        <v>6.6666666666666661</v>
      </c>
      <c r="Y42" s="58">
        <f>IF($G$19-X42&gt;$G$22,0,IF($G$19-X42&lt;$G$21,-$G$23,IF($G$19-X42&lt;$G$22,-$G$23/($G$22-$G$21)*(X42-$G$19+$G$22),)))</f>
        <v>-150</v>
      </c>
      <c r="Z42" s="57">
        <f>IF($G$19-X42&gt;$G$22,0,IF($G$19-X42&lt;$G$21,-(1/2)*$G$23*(2*X42-2*$G$19+$G$21+$G$22),IF($G$19-X42&lt;$G$22,-$G$23/(2*($G$22-$G$21))*(X42-$G$19+$G$22)^2,)))</f>
        <v>-474.99999999999989</v>
      </c>
      <c r="AA42" s="55">
        <f>IF(($G$19-X42)&gt;$G$22,-(1/24)*$G$23/($G$17*$G$18)*(4*($G$21^2+$G$21*$G$22+$G$22^2)*($G$19-X42)-$G$21^3-$G$21*$G$22^2-$G$21^2*$G$22-$G$22^3),IF(($G$19-X42)&gt;$G$21,-(1/24)*$G$23/($G$17*$G$18)*(6*($G$22+$G$21)*($G$19-X42)^2-4*($G$19-X42)^3+($G$19-X42-$G$21)^4/($G$22-$G$21)),-(1/12)*$G$23/($G$17*$G$18)*(3*($G$22+$G$21)*($G$19-X42)^2-2*($G$19-X42)^3)))</f>
        <v>-4.4907407407407422E-3</v>
      </c>
      <c r="AB42" s="45"/>
      <c r="AC42" s="56">
        <v>6</v>
      </c>
      <c r="AD42" s="59">
        <f>INDEX(Y22:Y55,MATCH(AC42,X22:X55,0))</f>
        <v>-150</v>
      </c>
      <c r="AE42" s="59">
        <f>INDEX(Z22:Z55,MATCH(AC42,X22:X55,0))</f>
        <v>-375</v>
      </c>
      <c r="AF42" s="55">
        <f>INDEX(AA22:AA55,MATCH(AC42,X22:X55,0))</f>
        <v>-6.2000000000000006E-3</v>
      </c>
      <c r="AH42" s="51"/>
    </row>
    <row r="43" spans="9:34" s="40" customFormat="1" ht="13.8" x14ac:dyDescent="0.3">
      <c r="I43" s="54" t="s">
        <v>35</v>
      </c>
      <c r="J43" s="62">
        <f>MIN(AE21:AE54)</f>
        <v>-975</v>
      </c>
      <c r="K43" s="41" t="s">
        <v>39</v>
      </c>
      <c r="L43" s="41"/>
      <c r="M43" s="38"/>
      <c r="N43" s="38"/>
      <c r="O43" s="38"/>
      <c r="P43" s="38"/>
      <c r="Q43" s="38"/>
      <c r="R43" s="38"/>
      <c r="S43" s="38"/>
      <c r="T43" s="38"/>
      <c r="U43" s="37"/>
      <c r="V43" s="41"/>
      <c r="W43" s="50">
        <v>21</v>
      </c>
      <c r="X43" s="58">
        <f>G19/MAX(W22:W55)*W43</f>
        <v>7</v>
      </c>
      <c r="Y43" s="58">
        <f>IF($G$19-X43&gt;$G$22,0,IF($G$19-X43&lt;$G$21,-$G$23,IF($G$19-X43&lt;$G$22,-$G$23/($G$22-$G$21)*(X43-$G$19+$G$22),)))</f>
        <v>-150</v>
      </c>
      <c r="Z43" s="57">
        <f>IF($G$19-X43&gt;$G$22,0,IF($G$19-X43&lt;$G$21,-(1/2)*$G$23*(2*X43-2*$G$19+$G$21+$G$22),IF($G$19-X43&lt;$G$22,-$G$23/(2*($G$22-$G$21))*(X43-$G$19+$G$22)^2,)))</f>
        <v>-525</v>
      </c>
      <c r="AA43" s="55">
        <f>IF(($G$19-X43)&gt;$G$22,-(1/24)*$G$23/($G$17*$G$18)*(4*($G$21^2+$G$21*$G$22+$G$22^2)*($G$19-X43)-$G$21^3-$G$21*$G$22^2-$G$21^2*$G$22-$G$22^3),IF(($G$19-X43)&gt;$G$21,-(1/24)*$G$23/($G$17*$G$18)*(6*($G$22+$G$21)*($G$19-X43)^2-4*($G$19-X43)^3+($G$19-X43-$G$21)^4/($G$22-$G$21)),-(1/12)*$G$23/($G$17*$G$18)*(3*($G$22+$G$21)*($G$19-X43)^2-2*($G$19-X43)^3)))</f>
        <v>-3.7125000000000001E-3</v>
      </c>
      <c r="AB43" s="45"/>
      <c r="AC43" s="56">
        <v>6.333333333333333</v>
      </c>
      <c r="AD43" s="59">
        <f>INDEX(Y22:Y55,MATCH(AC43,X22:X55,0))</f>
        <v>-150</v>
      </c>
      <c r="AE43" s="59">
        <f>INDEX(Z22:Z55,MATCH(AC43,X22:X55,0))</f>
        <v>-424.99999999999994</v>
      </c>
      <c r="AF43" s="55">
        <f>INDEX(AA22:AA55,MATCH(AC43,X22:X55,0))</f>
        <v>-5.3217592592592596E-3</v>
      </c>
      <c r="AH43" s="51"/>
    </row>
    <row r="44" spans="9:34" s="40" customFormat="1" ht="13.8" x14ac:dyDescent="0.3">
      <c r="I44" s="52" t="s">
        <v>37</v>
      </c>
      <c r="J44" s="41"/>
      <c r="K44" s="41"/>
      <c r="L44" s="41"/>
      <c r="M44" s="38"/>
      <c r="N44" s="38"/>
      <c r="O44" s="38"/>
      <c r="P44" s="38"/>
      <c r="Q44" s="38"/>
      <c r="R44" s="38"/>
      <c r="S44" s="38"/>
      <c r="T44" s="38"/>
      <c r="U44" s="37"/>
      <c r="V44" s="41"/>
      <c r="W44" s="50">
        <v>22</v>
      </c>
      <c r="X44" s="58">
        <f>G19/MAX(W22:W55)*W44</f>
        <v>7.333333333333333</v>
      </c>
      <c r="Y44" s="58">
        <f>IF($G$19-X44&gt;$G$22,0,IF($G$19-X44&lt;$G$21,-$G$23,IF($G$19-X44&lt;$G$22,-$G$23/($G$22-$G$21)*(X44-$G$19+$G$22),)))</f>
        <v>-150</v>
      </c>
      <c r="Z44" s="57">
        <f>IF($G$19-X44&gt;$G$22,0,IF($G$19-X44&lt;$G$21,-(1/2)*$G$23*(2*X44-2*$G$19+$G$21+$G$22),IF($G$19-X44&lt;$G$22,-$G$23/(2*($G$22-$G$21))*(X44-$G$19+$G$22)^2,)))</f>
        <v>-575</v>
      </c>
      <c r="AA44" s="55">
        <f>IF(($G$19-X44)&gt;$G$22,-(1/24)*$G$23/($G$17*$G$18)*(4*($G$21^2+$G$21*$G$22+$G$22^2)*($G$19-X44)-$G$21^3-$G$21*$G$22^2-$G$21^2*$G$22-$G$22^3),IF(($G$19-X44)&gt;$G$21,-(1/24)*$G$23/($G$17*$G$18)*(6*($G$22+$G$21)*($G$19-X44)^2-4*($G$19-X44)^3+($G$19-X44-$G$21)^4/($G$22-$G$21)),-(1/12)*$G$23/($G$17*$G$18)*(3*($G$22+$G$21)*($G$19-X44)^2-2*($G$19-X44)^3)))</f>
        <v>-2.9925925925925931E-3</v>
      </c>
      <c r="AB44" s="45"/>
      <c r="AC44" s="56">
        <v>6.6666666666666661</v>
      </c>
      <c r="AD44" s="59">
        <f>INDEX(Y22:Y55,MATCH(AC44,X22:X55,0))</f>
        <v>-150</v>
      </c>
      <c r="AE44" s="59">
        <f>INDEX(Z22:Z55,MATCH(AC44,X22:X55,0))</f>
        <v>-474.99999999999989</v>
      </c>
      <c r="AF44" s="55">
        <f>INDEX(AA22:AA55,MATCH(AC44,X22:X55,0))</f>
        <v>-4.4907407407407422E-3</v>
      </c>
      <c r="AH44" s="51"/>
    </row>
    <row r="45" spans="9:34" s="40" customFormat="1" ht="13.8" x14ac:dyDescent="0.3">
      <c r="I45" s="54" t="s">
        <v>36</v>
      </c>
      <c r="J45" s="53">
        <f>INDEX(AC21:AC54,MATCH(J42,AE21:AE54,0))</f>
        <v>0</v>
      </c>
      <c r="K45" s="41" t="s">
        <v>34</v>
      </c>
      <c r="L45" s="41"/>
      <c r="M45" s="38"/>
      <c r="N45" s="38"/>
      <c r="O45" s="38"/>
      <c r="P45" s="38"/>
      <c r="Q45" s="38"/>
      <c r="R45" s="38"/>
      <c r="S45" s="38"/>
      <c r="T45" s="38"/>
      <c r="U45" s="37"/>
      <c r="V45" s="41"/>
      <c r="W45" s="50">
        <v>23</v>
      </c>
      <c r="X45" s="58">
        <f>G19/MAX(W22:W55)*W45</f>
        <v>7.6666666666666661</v>
      </c>
      <c r="Y45" s="58">
        <f>IF($G$19-X45&gt;$G$22,0,IF($G$19-X45&lt;$G$21,-$G$23,IF($G$19-X45&lt;$G$22,-$G$23/($G$22-$G$21)*(X45-$G$19+$G$22),)))</f>
        <v>-150</v>
      </c>
      <c r="Z45" s="57">
        <f>IF($G$19-X45&gt;$G$22,0,IF($G$19-X45&lt;$G$21,-(1/2)*$G$23*(2*X45-2*$G$19+$G$21+$G$22),IF($G$19-X45&lt;$G$22,-$G$23/(2*($G$22-$G$21))*(X45-$G$19+$G$22)^2,)))</f>
        <v>-624.99999999999989</v>
      </c>
      <c r="AA45" s="55">
        <f>IF(($G$19-X45)&gt;$G$22,-(1/24)*$G$23/($G$17*$G$18)*(4*($G$21^2+$G$21*$G$22+$G$22^2)*($G$19-X45)-$G$21^3-$G$21*$G$22^2-$G$21^2*$G$22-$G$22^3),IF(($G$19-X45)&gt;$G$21,-(1/24)*$G$23/($G$17*$G$18)*(6*($G$22+$G$21)*($G$19-X45)^2-4*($G$19-X45)^3+($G$19-X45-$G$21)^4/($G$22-$G$21)),-(1/12)*$G$23/($G$17*$G$18)*(3*($G$22+$G$21)*($G$19-X45)^2-2*($G$19-X45)^3)))</f>
        <v>-2.3365740740740755E-3</v>
      </c>
      <c r="AB45" s="45"/>
      <c r="AC45" s="56">
        <v>7</v>
      </c>
      <c r="AD45" s="59">
        <f>INDEX(Y22:Y55,MATCH(AC45,X22:X55,0))</f>
        <v>-150</v>
      </c>
      <c r="AE45" s="59">
        <f>INDEX(Z22:Z55,MATCH(AC45,X22:X55,0))</f>
        <v>-525</v>
      </c>
      <c r="AF45" s="55">
        <f>INDEX(AA22:AA55,MATCH(AC45,X22:X55,0))</f>
        <v>-3.7125000000000001E-3</v>
      </c>
      <c r="AH45" s="51"/>
    </row>
    <row r="46" spans="9:34" s="40" customFormat="1" ht="13.8" x14ac:dyDescent="0.3">
      <c r="I46" s="54" t="s">
        <v>35</v>
      </c>
      <c r="J46" s="53">
        <f>INDEX(AC21:AC54,MATCH(J43,AE21:AE54,0))</f>
        <v>10</v>
      </c>
      <c r="K46" s="52" t="s">
        <v>34</v>
      </c>
      <c r="L46" s="41"/>
      <c r="M46" s="38"/>
      <c r="N46" s="38"/>
      <c r="O46" s="38"/>
      <c r="P46" s="38"/>
      <c r="Q46" s="38"/>
      <c r="R46" s="38"/>
      <c r="S46" s="38"/>
      <c r="T46" s="38"/>
      <c r="U46" s="37"/>
      <c r="V46" s="41"/>
      <c r="W46" s="50">
        <v>24</v>
      </c>
      <c r="X46" s="58">
        <f>G19/MAX(W22:W55)*W46</f>
        <v>8</v>
      </c>
      <c r="Y46" s="58">
        <f>IF($G$19-X46&gt;$G$22,0,IF($G$19-X46&lt;$G$21,-$G$23,IF($G$19-X46&lt;$G$22,-$G$23/($G$22-$G$21)*(X46-$G$19+$G$22),)))</f>
        <v>-150</v>
      </c>
      <c r="Z46" s="57">
        <f>IF($G$19-X46&gt;$G$22,0,IF($G$19-X46&lt;$G$21,-(1/2)*$G$23*(2*X46-2*$G$19+$G$21+$G$22),IF($G$19-X46&lt;$G$22,-$G$23/(2*($G$22-$G$21))*(X46-$G$19+$G$22)^2,)))</f>
        <v>-675</v>
      </c>
      <c r="AA46" s="55">
        <f>IF(($G$19-X46)&gt;$G$22,-(1/24)*$G$23/($G$17*$G$18)*(4*($G$21^2+$G$21*$G$22+$G$22^2)*($G$19-X46)-$G$21^3-$G$21*$G$22^2-$G$21^2*$G$22-$G$22^3),IF(($G$19-X46)&gt;$G$21,-(1/24)*$G$23/($G$17*$G$18)*(6*($G$22+$G$21)*($G$19-X46)^2-4*($G$19-X46)^3+($G$19-X46-$G$21)^4/($G$22-$G$21)),-(1/12)*$G$23/($G$17*$G$18)*(3*($G$22+$G$21)*($G$19-X46)^2-2*($G$19-X46)^3)))</f>
        <v>-1.75E-3</v>
      </c>
      <c r="AB46" s="45"/>
      <c r="AC46" s="56">
        <v>7.333333333333333</v>
      </c>
      <c r="AD46" s="59">
        <f>INDEX(Y22:Y55,MATCH(AC46,X22:X55,0))</f>
        <v>-150</v>
      </c>
      <c r="AE46" s="59">
        <f>INDEX(Z22:Z55,MATCH(AC46,X22:X55,0))</f>
        <v>-575</v>
      </c>
      <c r="AF46" s="55">
        <f>INDEX(AA22:AA55,MATCH(AC46,X22:X55,0))</f>
        <v>-2.9925925925925931E-3</v>
      </c>
      <c r="AH46" s="51"/>
    </row>
    <row r="47" spans="9:34" s="40" customFormat="1" ht="13.8" x14ac:dyDescent="0.3">
      <c r="L47" s="41"/>
      <c r="M47" s="38"/>
      <c r="N47" s="38"/>
      <c r="O47" s="38"/>
      <c r="P47" s="38"/>
      <c r="Q47" s="38"/>
      <c r="R47" s="38"/>
      <c r="S47" s="38"/>
      <c r="T47" s="38"/>
      <c r="U47" s="37"/>
      <c r="V47" s="41"/>
      <c r="W47" s="50">
        <v>25</v>
      </c>
      <c r="X47" s="58">
        <f>G19/MAX(W22:W55)*W47</f>
        <v>8.3333333333333321</v>
      </c>
      <c r="Y47" s="58">
        <f>IF($G$19-X47&gt;$G$22,0,IF($G$19-X47&lt;$G$21,-$G$23,IF($G$19-X47&lt;$G$22,-$G$23/($G$22-$G$21)*(X47-$G$19+$G$22),)))</f>
        <v>-150</v>
      </c>
      <c r="Z47" s="57">
        <f>IF($G$19-X47&gt;$G$22,0,IF($G$19-X47&lt;$G$21,-(1/2)*$G$23*(2*X47-2*$G$19+$G$21+$G$22),IF($G$19-X47&lt;$G$22,-$G$23/(2*($G$22-$G$21))*(X47-$G$19+$G$22)^2,)))</f>
        <v>-724.99999999999977</v>
      </c>
      <c r="AA47" s="55">
        <f>IF(($G$19-X47)&gt;$G$22,-(1/24)*$G$23/($G$17*$G$18)*(4*($G$21^2+$G$21*$G$22+$G$22^2)*($G$19-X47)-$G$21^3-$G$21*$G$22^2-$G$21^2*$G$22-$G$22^3),IF(($G$19-X47)&gt;$G$21,-(1/24)*$G$23/($G$17*$G$18)*(6*($G$22+$G$21)*($G$19-X47)^2-4*($G$19-X47)^3+($G$19-X47-$G$21)^4/($G$22-$G$21)),-(1/12)*$G$23/($G$17*$G$18)*(3*($G$22+$G$21)*($G$19-X47)^2-2*($G$19-X47)^3)))</f>
        <v>-1.2384259259259275E-3</v>
      </c>
      <c r="AB47" s="45"/>
      <c r="AC47" s="56">
        <v>7.6666666666666661</v>
      </c>
      <c r="AD47" s="59">
        <f>INDEX(Y22:Y55,MATCH(AC47,X22:X55,0))</f>
        <v>-150</v>
      </c>
      <c r="AE47" s="59">
        <f>INDEX(Z22:Z55,MATCH(AC47,X22:X55,0))</f>
        <v>-624.99999999999989</v>
      </c>
      <c r="AF47" s="55">
        <f>INDEX(AA22:AA55,MATCH(AC47,X22:X55,0))</f>
        <v>-2.3365740740740755E-3</v>
      </c>
      <c r="AH47" s="51"/>
    </row>
    <row r="48" spans="9:34" s="40" customFormat="1" ht="13.8" x14ac:dyDescent="0.3">
      <c r="L48" s="41"/>
      <c r="M48" s="38"/>
      <c r="N48" s="38"/>
      <c r="O48" s="38"/>
      <c r="P48" s="38"/>
      <c r="Q48" s="38"/>
      <c r="R48" s="38"/>
      <c r="S48" s="38"/>
      <c r="T48" s="38"/>
      <c r="U48" s="37"/>
      <c r="V48" s="41"/>
      <c r="W48" s="50">
        <v>26</v>
      </c>
      <c r="X48" s="58">
        <f>G19/MAX(W22:W55)*W48</f>
        <v>8.6666666666666661</v>
      </c>
      <c r="Y48" s="58">
        <f>IF($G$19-X48&gt;$G$22,0,IF($G$19-X48&lt;$G$21,-$G$23,IF($G$19-X48&lt;$G$22,-$G$23/($G$22-$G$21)*(X48-$G$19+$G$22),)))</f>
        <v>-150</v>
      </c>
      <c r="Z48" s="57">
        <f>IF($G$19-X48&gt;$G$22,0,IF($G$19-X48&lt;$G$21,-(1/2)*$G$23*(2*X48-2*$G$19+$G$21+$G$22),IF($G$19-X48&lt;$G$22,-$G$23/(2*($G$22-$G$21))*(X48-$G$19+$G$22)^2,)))</f>
        <v>-774.99999999999989</v>
      </c>
      <c r="AA48" s="55">
        <f>IF(($G$19-X48)&gt;$G$22,-(1/24)*$G$23/($G$17*$G$18)*(4*($G$21^2+$G$21*$G$22+$G$22^2)*($G$19-X48)-$G$21^3-$G$21*$G$22^2-$G$21^2*$G$22-$G$22^3),IF(($G$19-X48)&gt;$G$21,-(1/24)*$G$23/($G$17*$G$18)*(6*($G$22+$G$21)*($G$19-X48)^2-4*($G$19-X48)^3+($G$19-X48-$G$21)^4/($G$22-$G$21)),-(1/12)*$G$23/($G$17*$G$18)*(3*($G$22+$G$21)*($G$19-X48)^2-2*($G$19-X48)^3)))</f>
        <v>-8.0740740740740816E-4</v>
      </c>
      <c r="AB48" s="45"/>
      <c r="AC48" s="56">
        <v>8</v>
      </c>
      <c r="AD48" s="59">
        <f>INDEX(Y22:Y55,MATCH(AC48,X22:X55,0))</f>
        <v>-150</v>
      </c>
      <c r="AE48" s="59">
        <f>INDEX(Z22:Z55,MATCH(AC48,X22:X55,0))</f>
        <v>-675</v>
      </c>
      <c r="AF48" s="55">
        <f>INDEX(AA22:AA55,MATCH(AC48,X22:X55,0))</f>
        <v>-1.75E-3</v>
      </c>
      <c r="AH48" s="51"/>
    </row>
    <row r="49" spans="1:34" s="40" customFormat="1" ht="13.8" x14ac:dyDescent="0.3">
      <c r="L49" s="41"/>
      <c r="M49" s="38"/>
      <c r="N49" s="38"/>
      <c r="O49" s="38"/>
      <c r="P49" s="38"/>
      <c r="Q49" s="38"/>
      <c r="R49" s="38"/>
      <c r="S49" s="38"/>
      <c r="T49" s="38"/>
      <c r="U49" s="37"/>
      <c r="V49" s="41"/>
      <c r="W49" s="50">
        <v>27</v>
      </c>
      <c r="X49" s="58">
        <f>G19/MAX(W22:W55)*W49</f>
        <v>9</v>
      </c>
      <c r="Y49" s="58">
        <f>IF($G$19-X49&gt;$G$22,0,IF($G$19-X49&lt;$G$21,-$G$23,IF($G$19-X49&lt;$G$22,-$G$23/($G$22-$G$21)*(X49-$G$19+$G$22),)))</f>
        <v>-150</v>
      </c>
      <c r="Z49" s="57">
        <f>IF($G$19-X49&gt;$G$22,0,IF($G$19-X49&lt;$G$21,-(1/2)*$G$23*(2*X49-2*$G$19+$G$21+$G$22),IF($G$19-X49&lt;$G$22,-$G$23/(2*($G$22-$G$21))*(X49-$G$19+$G$22)^2,)))</f>
        <v>-825</v>
      </c>
      <c r="AA49" s="55">
        <f>IF(($G$19-X49)&gt;$G$22,-(1/24)*$G$23/($G$17*$G$18)*(4*($G$21^2+$G$21*$G$22+$G$22^2)*($G$19-X49)-$G$21^3-$G$21*$G$22^2-$G$21^2*$G$22-$G$22^3),IF(($G$19-X49)&gt;$G$21,-(1/24)*$G$23/($G$17*$G$18)*(6*($G$22+$G$21)*($G$19-X49)^2-4*($G$19-X49)^3+($G$19-X49-$G$21)^4/($G$22-$G$21)),-(1/12)*$G$23/($G$17*$G$18)*(3*($G$22+$G$21)*($G$19-X49)^2-2*($G$19-X49)^3)))</f>
        <v>-4.6250000000000002E-4</v>
      </c>
      <c r="AB49" s="45"/>
      <c r="AC49" s="56">
        <v>8.3333333333333321</v>
      </c>
      <c r="AD49" s="59">
        <f>INDEX(Y22:Y55,MATCH(AC49,X22:X55,0))</f>
        <v>-150</v>
      </c>
      <c r="AE49" s="59">
        <f>INDEX(Z22:Z55,MATCH(AC49,X22:X55,0))</f>
        <v>-724.99999999999977</v>
      </c>
      <c r="AF49" s="55">
        <f>INDEX(AA22:AA55,MATCH(AC49,X22:X55,0))</f>
        <v>-1.2384259259259275E-3</v>
      </c>
      <c r="AH49" s="51"/>
    </row>
    <row r="50" spans="1:34" s="40" customFormat="1" ht="13.8" x14ac:dyDescent="0.3">
      <c r="I50" s="41"/>
      <c r="J50" s="41"/>
      <c r="K50" s="41"/>
      <c r="L50" s="41"/>
      <c r="M50" s="38"/>
      <c r="N50" s="38"/>
      <c r="O50" s="38"/>
      <c r="P50" s="38"/>
      <c r="Q50" s="38"/>
      <c r="R50" s="38"/>
      <c r="S50" s="38"/>
      <c r="T50" s="38"/>
      <c r="U50" s="37"/>
      <c r="V50" s="41"/>
      <c r="W50" s="50">
        <v>28</v>
      </c>
      <c r="X50" s="58">
        <f>G19/MAX(W22:W55)*W50</f>
        <v>9.3333333333333321</v>
      </c>
      <c r="Y50" s="58">
        <f>IF($G$19-X50&gt;$G$22,0,IF($G$19-X50&lt;$G$21,-$G$23,IF($G$19-X50&lt;$G$22,-$G$23/($G$22-$G$21)*(X50-$G$19+$G$22),)))</f>
        <v>-150</v>
      </c>
      <c r="Z50" s="57">
        <f>IF($G$19-X50&gt;$G$22,0,IF($G$19-X50&lt;$G$21,-(1/2)*$G$23*(2*X50-2*$G$19+$G$21+$G$22),IF($G$19-X50&lt;$G$22,-$G$23/(2*($G$22-$G$21))*(X50-$G$19+$G$22)^2,)))</f>
        <v>-874.99999999999977</v>
      </c>
      <c r="AA50" s="55">
        <f>IF(($G$19-X50)&gt;$G$22,-(1/24)*$G$23/($G$17*$G$18)*(4*($G$21^2+$G$21*$G$22+$G$22^2)*($G$19-X50)-$G$21^3-$G$21*$G$22^2-$G$21^2*$G$22-$G$22^3),IF(($G$19-X50)&gt;$G$21,-(1/24)*$G$23/($G$17*$G$18)*(6*($G$22+$G$21)*($G$19-X50)^2-4*($G$19-X50)^3+($G$19-X50-$G$21)^4/($G$22-$G$21)),-(1/12)*$G$23/($G$17*$G$18)*(3*($G$22+$G$21)*($G$19-X50)^2-2*($G$19-X50)^3)))</f>
        <v>-2.0925925925926003E-4</v>
      </c>
      <c r="AB50" s="45"/>
      <c r="AC50" s="56">
        <v>8.6666666666666661</v>
      </c>
      <c r="AD50" s="59">
        <f>INDEX(Y22:Y55,MATCH(AC50,X22:X55,0))</f>
        <v>-150</v>
      </c>
      <c r="AE50" s="59">
        <f>INDEX(Z22:Z55,MATCH(AC50,X22:X55,0))</f>
        <v>-774.99999999999989</v>
      </c>
      <c r="AF50" s="55">
        <f>INDEX(AA22:AA55,MATCH(AC50,X22:X55,0))</f>
        <v>-8.0740740740740816E-4</v>
      </c>
      <c r="AH50" s="51"/>
    </row>
    <row r="51" spans="1:34" s="40" customFormat="1" ht="13.8" x14ac:dyDescent="0.3">
      <c r="I51" s="61" t="s">
        <v>38</v>
      </c>
      <c r="J51" s="41"/>
      <c r="K51" s="41"/>
      <c r="L51" s="41"/>
      <c r="M51" s="38"/>
      <c r="N51" s="38"/>
      <c r="O51" s="38"/>
      <c r="P51" s="38"/>
      <c r="Q51" s="38"/>
      <c r="R51" s="38"/>
      <c r="S51" s="38"/>
      <c r="T51" s="38"/>
      <c r="U51" s="37"/>
      <c r="V51" s="41"/>
      <c r="W51" s="50">
        <v>29</v>
      </c>
      <c r="X51" s="58">
        <f>G19/MAX(W22:W55)*W51</f>
        <v>9.6666666666666661</v>
      </c>
      <c r="Y51" s="58">
        <f>IF($G$19-X51&gt;$G$22,0,IF($G$19-X51&lt;$G$21,-$G$23,IF($G$19-X51&lt;$G$22,-$G$23/($G$22-$G$21)*(X51-$G$19+$G$22),)))</f>
        <v>-150</v>
      </c>
      <c r="Z51" s="57">
        <f>IF($G$19-X51&gt;$G$22,0,IF($G$19-X51&lt;$G$21,-(1/2)*$G$23*(2*X51-2*$G$19+$G$21+$G$22),IF($G$19-X51&lt;$G$22,-$G$23/(2*($G$22-$G$21))*(X51-$G$19+$G$22)^2,)))</f>
        <v>-924.99999999999989</v>
      </c>
      <c r="AA51" s="55">
        <f>IF(($G$19-X51)&gt;$G$22,-(1/24)*$G$23/($G$17*$G$18)*(4*($G$21^2+$G$21*$G$22+$G$22^2)*($G$19-X51)-$G$21^3-$G$21*$G$22^2-$G$21^2*$G$22-$G$22^3),IF(($G$19-X51)&gt;$G$21,-(1/24)*$G$23/($G$17*$G$18)*(6*($G$22+$G$21)*($G$19-X51)^2-4*($G$19-X51)^3+($G$19-X51-$G$21)^4/($G$22-$G$21)),-(1/12)*$G$23/($G$17*$G$18)*(3*($G$22+$G$21)*($G$19-X51)^2-2*($G$19-X51)^3)))</f>
        <v>-5.3240740740740934E-5</v>
      </c>
      <c r="AB51" s="45"/>
      <c r="AC51" s="56">
        <v>9</v>
      </c>
      <c r="AD51" s="59">
        <f>INDEX(Y22:Y55,MATCH(AC51,X22:X55,0))</f>
        <v>-150</v>
      </c>
      <c r="AE51" s="59">
        <f>INDEX(Z22:Z55,MATCH(AC51,X22:X55,0))</f>
        <v>-825</v>
      </c>
      <c r="AF51" s="55">
        <f>INDEX(AA22:AA55,MATCH(AC51,X22:X55,0))</f>
        <v>-4.6250000000000002E-4</v>
      </c>
      <c r="AH51" s="51"/>
    </row>
    <row r="52" spans="1:34" s="40" customFormat="1" ht="13.8" x14ac:dyDescent="0.3">
      <c r="I52" s="54" t="s">
        <v>36</v>
      </c>
      <c r="J52" s="60">
        <f>MAX(AF21:AF54)</f>
        <v>0</v>
      </c>
      <c r="K52" s="41" t="s">
        <v>34</v>
      </c>
      <c r="L52" s="41"/>
      <c r="M52" s="38"/>
      <c r="N52" s="38"/>
      <c r="O52" s="38"/>
      <c r="P52" s="38"/>
      <c r="Q52" s="38"/>
      <c r="R52" s="38"/>
      <c r="S52" s="38"/>
      <c r="T52" s="38"/>
      <c r="U52" s="37"/>
      <c r="V52" s="41"/>
      <c r="W52" s="50">
        <v>30</v>
      </c>
      <c r="X52" s="58">
        <f>G19/MAX(W22:W55)*W52</f>
        <v>10</v>
      </c>
      <c r="Y52" s="58">
        <f>IF($G$19-X52&gt;$G$22,0,IF($G$19-X52&lt;$G$21,-$G$23,IF($G$19-X52&lt;$G$22,-$G$23/($G$22-$G$21)*(X52-$G$19+$G$22),)))</f>
        <v>-150</v>
      </c>
      <c r="Z52" s="57">
        <f>IF($G$19-X52&gt;$G$22,0,IF($G$19-X52&lt;$G$21,-(1/2)*$G$23*(2*X52-2*$G$19+$G$21+$G$22),IF($G$19-X52&lt;$G$22,-$G$23/(2*($G$22-$G$21))*(X52-$G$19+$G$22)^2,)))</f>
        <v>-975</v>
      </c>
      <c r="AA52" s="55">
        <f>IF(($G$19-X52)&gt;$G$22,-(1/24)*$G$23/($G$17*$G$18)*(4*($G$21^2+$G$21*$G$22+$G$22^2)*($G$19-X52)-$G$21^3-$G$21*$G$22^2-$G$21^2*$G$22-$G$22^3),IF(($G$19-X52)&gt;$G$21,-(1/24)*$G$23/($G$17*$G$18)*(6*($G$22+$G$21)*($G$19-X52)^2-4*($G$19-X52)^3+($G$19-X52-$G$21)^4/($G$22-$G$21)),-(1/12)*$G$23/($G$17*$G$18)*(3*($G$22+$G$21)*($G$19-X52)^2-2*($G$19-X52)^3)))</f>
        <v>0</v>
      </c>
      <c r="AB52" s="45"/>
      <c r="AC52" s="56">
        <v>9.3333333333333321</v>
      </c>
      <c r="AD52" s="59">
        <f>INDEX(Y22:Y55,MATCH(AC52,X22:X55,0))</f>
        <v>-150</v>
      </c>
      <c r="AE52" s="59">
        <f>INDEX(Z22:Z55,MATCH(AC52,X22:X55,0))</f>
        <v>-874.99999999999977</v>
      </c>
      <c r="AF52" s="55">
        <f>INDEX(AA22:AA55,MATCH(AC52,X22:X55,0))</f>
        <v>-2.0925925925926003E-4</v>
      </c>
      <c r="AH52" s="51"/>
    </row>
    <row r="53" spans="1:34" s="40" customFormat="1" ht="13.8" x14ac:dyDescent="0.3">
      <c r="I53" s="54" t="s">
        <v>35</v>
      </c>
      <c r="J53" s="60">
        <f>MIN(AF21:AF54)</f>
        <v>-2.5018750000000003E-2</v>
      </c>
      <c r="K53" s="52" t="s">
        <v>34</v>
      </c>
      <c r="L53" s="41"/>
      <c r="M53" s="38"/>
      <c r="N53" s="38"/>
      <c r="O53" s="38"/>
      <c r="P53" s="38"/>
      <c r="Q53" s="38"/>
      <c r="R53" s="38"/>
      <c r="S53" s="38"/>
      <c r="T53" s="38"/>
      <c r="U53" s="37"/>
      <c r="V53" s="41"/>
      <c r="W53" s="41"/>
      <c r="X53" s="58">
        <f>X52</f>
        <v>10</v>
      </c>
      <c r="Y53" s="50"/>
      <c r="Z53" s="45"/>
      <c r="AA53" s="45"/>
      <c r="AB53" s="45"/>
      <c r="AC53" s="56">
        <v>9.6666666666666661</v>
      </c>
      <c r="AD53" s="59">
        <f>INDEX(Y22:Y55,MATCH(AC53,X22:X55,0))</f>
        <v>-150</v>
      </c>
      <c r="AE53" s="59">
        <f>INDEX(Z22:Z55,MATCH(AC53,X22:X55,0))</f>
        <v>-924.99999999999989</v>
      </c>
      <c r="AF53" s="55">
        <f>INDEX(AA23:AA56,MATCH(AC53,X23:X56,0))</f>
        <v>-5.3240740740740934E-5</v>
      </c>
      <c r="AH53" s="51"/>
    </row>
    <row r="54" spans="1:34" s="40" customFormat="1" ht="13.8" x14ac:dyDescent="0.3">
      <c r="I54" s="52" t="s">
        <v>37</v>
      </c>
      <c r="J54" s="41"/>
      <c r="K54" s="41"/>
      <c r="L54" s="41"/>
      <c r="M54" s="38"/>
      <c r="N54" s="38"/>
      <c r="O54" s="38"/>
      <c r="P54" s="38"/>
      <c r="Q54" s="38"/>
      <c r="R54" s="38"/>
      <c r="S54" s="38"/>
      <c r="T54" s="38"/>
      <c r="U54" s="37"/>
      <c r="V54" s="41"/>
      <c r="W54" s="41"/>
      <c r="X54" s="58">
        <f>G19-G21</f>
        <v>5</v>
      </c>
      <c r="Y54" s="58">
        <f>IF($G$19-X54&gt;$G$22,0,IF($G$19-X54&lt;$G$21,-$G$23,IF($G$19-X54&lt;$G$22,-$G$23/($G$22-$G$21)*(X54-$G$19+$G$22),)))</f>
        <v>-150</v>
      </c>
      <c r="Z54" s="57">
        <f>IF($G$19-X54&gt;$G$22,0,IF($G$19-X54&lt;$G$21,-(1/2)*$G$23*(2*X54-2*$G$19+$G$21+$G$22),IF($G$19-X54&lt;$G$22,-$G$23/(2*($G$22-$G$21))*(X54-$G$19+$G$22)^2,)))</f>
        <v>-225</v>
      </c>
      <c r="AA54" s="55">
        <f>IF(($G$19-X54)&gt;$G$22,-(1/24)*$G$23/($G$17*$G$18)*(4*($G$21^2+$G$21*$G$22+$G$22^2)*($G$19-X54)-$G$21^3-$G$21*$G$22^2-$G$21^2*$G$22-$G$22^3),IF(($G$19-X54)&gt;$G$21,-(1/24)*$G$23/($G$17*$G$18)*(6*($G$22+$G$21)*($G$19-X54)^2-4*($G$19-X54)^3+($G$19-X54-$G$21)^4/($G$22-$G$21)),-(1/12)*$G$23/($G$17*$G$18)*(3*($G$22+$G$21)*($G$19-X54)^2-2*($G$19-X54)^3)))</f>
        <v>-9.0625000000000011E-3</v>
      </c>
      <c r="AB54" s="45"/>
      <c r="AC54" s="56">
        <v>10</v>
      </c>
      <c r="AD54" s="59">
        <f>INDEX(Y22:Y55,MATCH(AC54,X22:X55,0))</f>
        <v>-150</v>
      </c>
      <c r="AE54" s="59">
        <f>INDEX(Z22:Z55,MATCH(AC54,X22:X55,0))</f>
        <v>-975</v>
      </c>
      <c r="AF54" s="55">
        <f>INDEX(AA24:AA57,MATCH(AC54,X24:X57,0))</f>
        <v>0</v>
      </c>
      <c r="AH54" s="51"/>
    </row>
    <row r="55" spans="1:34" s="40" customFormat="1" ht="13.8" x14ac:dyDescent="0.3">
      <c r="I55" s="54" t="s">
        <v>36</v>
      </c>
      <c r="J55" s="53">
        <f>INDEX(AC21:AC54,MATCH(J52,AF21:AF54,0))</f>
        <v>10</v>
      </c>
      <c r="K55" s="41" t="s">
        <v>34</v>
      </c>
      <c r="L55" s="41"/>
      <c r="M55" s="38"/>
      <c r="N55" s="38"/>
      <c r="O55" s="38"/>
      <c r="P55" s="38"/>
      <c r="Q55" s="38"/>
      <c r="R55" s="38"/>
      <c r="S55" s="38"/>
      <c r="T55" s="38"/>
      <c r="U55" s="37"/>
      <c r="V55" s="41"/>
      <c r="W55" s="41"/>
      <c r="X55" s="58">
        <f>G19-G22</f>
        <v>2</v>
      </c>
      <c r="Y55" s="58">
        <f>IF($G$19-X55&gt;$G$22,0,IF($G$19-X55&lt;$G$21,-$G$23,IF($G$19-X55&lt;$G$22,-$G$23/($G$22-$G$21)*(X55-$G$19+$G$22),)))</f>
        <v>0</v>
      </c>
      <c r="Z55" s="57">
        <f>IF($G$19-X55&gt;$G$22,0,IF($G$19-X55&lt;$G$21,-(1/2)*$G$23*(2*X55-2*$G$19+$G$21+$G$22),IF($G$19-X55&lt;$G$22,-$G$23/(2*($G$22-$G$21))*(X55-$G$19+$G$22)^2,)))</f>
        <v>0</v>
      </c>
      <c r="AA55" s="55">
        <f>IF(($G$19-X55)&gt;$G$22,-(1/24)*$G$23/($G$17*$G$18)*(4*($G$21^2+$G$21*$G$22+$G$22^2)*($G$19-X55)-$G$21^3-$G$21*$G$22^2-$G$21^2*$G$22-$G$22^3),IF(($G$19-X55)&gt;$G$21,-(1/24)*$G$23/($G$17*$G$18)*(6*($G$22+$G$21)*($G$19-X55)^2-4*($G$19-X55)^3+($G$19-X55-$G$21)^4/($G$22-$G$21)),-(1/12)*$G$23/($G$17*$G$18)*(3*($G$22+$G$21)*($G$19-X55)^2-2*($G$19-X55)^3)))</f>
        <v>-1.8568750000000002E-2</v>
      </c>
      <c r="AB55" s="45"/>
      <c r="AC55" s="56">
        <v>10</v>
      </c>
      <c r="AD55" s="45">
        <v>0</v>
      </c>
      <c r="AE55" s="45">
        <v>0</v>
      </c>
      <c r="AF55" s="55"/>
      <c r="AH55" s="51"/>
    </row>
    <row r="56" spans="1:34" s="40" customFormat="1" ht="13.8" x14ac:dyDescent="0.3">
      <c r="I56" s="54" t="s">
        <v>35</v>
      </c>
      <c r="J56" s="53">
        <f>INDEX(AC21:AC54,MATCH(J53,AF21:AF54,0))</f>
        <v>0</v>
      </c>
      <c r="K56" s="52" t="s">
        <v>34</v>
      </c>
      <c r="L56" s="41"/>
      <c r="M56" s="38"/>
      <c r="N56" s="38"/>
      <c r="O56" s="38"/>
      <c r="P56" s="38"/>
      <c r="Q56" s="38"/>
      <c r="R56" s="38"/>
      <c r="S56" s="38"/>
      <c r="T56" s="38"/>
      <c r="U56" s="37"/>
      <c r="V56" s="41"/>
      <c r="W56" s="41"/>
      <c r="X56" s="41"/>
      <c r="Y56" s="41"/>
      <c r="AH56" s="51"/>
    </row>
    <row r="57" spans="1:34" s="40" customFormat="1" ht="13.8" x14ac:dyDescent="0.3">
      <c r="I57" s="41"/>
      <c r="J57" s="41"/>
      <c r="K57" s="41"/>
      <c r="L57" s="41"/>
      <c r="M57" s="38"/>
      <c r="N57" s="38"/>
      <c r="O57" s="38"/>
      <c r="P57" s="38"/>
      <c r="Q57" s="38"/>
      <c r="R57" s="38"/>
      <c r="S57" s="38"/>
      <c r="T57" s="38"/>
      <c r="U57" s="37"/>
      <c r="V57" s="41"/>
      <c r="W57" s="41"/>
      <c r="X57" s="41"/>
      <c r="Y57" s="41"/>
      <c r="AD57" s="45"/>
      <c r="AE57" s="45"/>
      <c r="AF57" s="45"/>
    </row>
    <row r="58" spans="1:34" s="40" customFormat="1" ht="13.8" x14ac:dyDescent="0.3">
      <c r="A58" s="41"/>
      <c r="B58" s="49"/>
      <c r="C58" s="50"/>
      <c r="D58" s="49"/>
      <c r="E58" s="41"/>
      <c r="F58" s="41"/>
      <c r="G58" s="41"/>
      <c r="H58" s="41"/>
      <c r="I58" s="41"/>
      <c r="J58" s="41"/>
      <c r="K58" s="41"/>
      <c r="L58" s="41"/>
      <c r="M58" s="38"/>
      <c r="N58" s="38"/>
      <c r="O58" s="38"/>
      <c r="P58" s="38"/>
      <c r="Q58" s="38"/>
      <c r="R58" s="38"/>
      <c r="S58" s="38"/>
      <c r="T58" s="38"/>
      <c r="U58" s="37"/>
      <c r="V58" s="41"/>
      <c r="W58" s="41"/>
      <c r="X58" s="41"/>
      <c r="Y58" s="41"/>
      <c r="AD58" s="45"/>
      <c r="AE58" s="45"/>
      <c r="AF58" s="45"/>
    </row>
    <row r="59" spans="1:34" s="40" customFormat="1" ht="13.8" x14ac:dyDescent="0.3">
      <c r="A59" s="42"/>
      <c r="B59" s="45"/>
      <c r="C59" s="46"/>
      <c r="D59" s="42"/>
      <c r="E59" s="42"/>
      <c r="F59" s="42"/>
      <c r="G59" s="46"/>
      <c r="H59" s="42"/>
      <c r="I59" s="42"/>
      <c r="J59" s="42"/>
      <c r="K59" s="42"/>
      <c r="L59" s="41"/>
      <c r="M59" s="38"/>
      <c r="N59" s="38"/>
      <c r="O59" s="38"/>
      <c r="P59" s="38"/>
      <c r="Q59" s="38"/>
      <c r="R59" s="38"/>
      <c r="S59" s="38"/>
      <c r="T59" s="38"/>
      <c r="U59" s="37"/>
      <c r="V59" s="41"/>
      <c r="W59" s="41"/>
      <c r="X59" s="41"/>
      <c r="Y59" s="41"/>
      <c r="AD59" s="45"/>
      <c r="AE59" s="45"/>
      <c r="AF59" s="45"/>
    </row>
    <row r="60" spans="1:34" s="40" customFormat="1" ht="13.8" x14ac:dyDescent="0.3">
      <c r="A60" s="42"/>
      <c r="B60" s="48"/>
      <c r="C60" s="46"/>
      <c r="D60" s="43"/>
      <c r="E60" s="43"/>
      <c r="F60" s="47" t="s">
        <v>33</v>
      </c>
      <c r="G60" s="46"/>
      <c r="H60" s="43"/>
      <c r="I60" s="43"/>
      <c r="J60" s="43"/>
      <c r="K60" s="42"/>
      <c r="L60" s="41"/>
      <c r="M60" s="38"/>
      <c r="N60" s="38"/>
      <c r="O60" s="38"/>
      <c r="P60" s="38"/>
      <c r="Q60" s="38"/>
      <c r="R60" s="38"/>
      <c r="S60" s="38"/>
      <c r="T60" s="38"/>
      <c r="U60" s="37"/>
      <c r="V60" s="41"/>
      <c r="W60" s="41"/>
      <c r="X60" s="41"/>
      <c r="Y60" s="41"/>
      <c r="AD60" s="45"/>
      <c r="AE60" s="45"/>
      <c r="AF60" s="45"/>
    </row>
    <row r="61" spans="1:34" s="40" customFormat="1" ht="13.8" x14ac:dyDescent="0.3">
      <c r="A61" s="42"/>
      <c r="B61" s="43"/>
      <c r="C61" s="43"/>
      <c r="D61" s="43"/>
      <c r="E61" s="43"/>
      <c r="F61" s="44" t="s">
        <v>32</v>
      </c>
      <c r="G61" s="43"/>
      <c r="H61" s="43"/>
      <c r="I61" s="43"/>
      <c r="J61" s="43"/>
      <c r="K61" s="42"/>
      <c r="L61" s="41"/>
      <c r="M61" s="38"/>
      <c r="N61" s="38"/>
      <c r="O61" s="38"/>
      <c r="P61" s="38"/>
      <c r="Q61" s="38"/>
      <c r="R61" s="38"/>
      <c r="S61" s="38"/>
      <c r="T61" s="38"/>
      <c r="U61" s="37"/>
      <c r="V61" s="41"/>
      <c r="W61" s="41"/>
      <c r="X61" s="41"/>
      <c r="Y61" s="41"/>
    </row>
  </sheetData>
  <mergeCells count="3">
    <mergeCell ref="B13:D13"/>
    <mergeCell ref="B29:D30"/>
    <mergeCell ref="F26:K27"/>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DIST LOAD PART SPAN</vt:lpstr>
      <vt:lpstr>'DIST LOAD PART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2016-09-18T19:32:53Z</dcterms:modified>
  <cp:category>Engineering Spreadsheets</cp:category>
</cp:coreProperties>
</file>