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F17" i="23" l="1"/>
  <c r="I16" i="23"/>
  <c r="W18" i="23" l="1"/>
  <c r="C12" i="27" l="1"/>
  <c r="AE19" i="23" l="1"/>
  <c r="I27" i="23"/>
  <c r="I26" i="23"/>
  <c r="AI47" i="23" l="1"/>
  <c r="AI46" i="23"/>
  <c r="AC19" i="23"/>
  <c r="AD19" i="23" s="1"/>
  <c r="I23" i="23" l="1"/>
  <c r="AH33" i="23"/>
  <c r="AH44" i="23" s="1"/>
  <c r="I31" i="23"/>
  <c r="I35" i="23" s="1"/>
  <c r="AH20" i="23"/>
  <c r="Y52" i="23" s="1"/>
  <c r="AH21" i="23"/>
  <c r="Y28" i="23" s="1"/>
  <c r="I22" i="23"/>
  <c r="I30" i="23"/>
  <c r="AC28" i="23" l="1"/>
  <c r="AD28" i="23" s="1"/>
  <c r="AB28" i="23" s="1"/>
  <c r="AE28" i="23"/>
  <c r="AF28" i="23"/>
  <c r="Y53" i="23"/>
  <c r="AC52" i="23"/>
  <c r="AD52" i="23" s="1"/>
  <c r="AB52" i="23" s="1"/>
  <c r="AF52" i="23"/>
  <c r="AE52" i="23"/>
  <c r="I39" i="23"/>
  <c r="D18" i="23"/>
  <c r="B12" i="23"/>
  <c r="F11" i="23"/>
  <c r="F10" i="23"/>
  <c r="F9" i="23"/>
  <c r="J8" i="23"/>
  <c r="F8" i="23"/>
  <c r="I38" i="23"/>
  <c r="I34" i="23"/>
  <c r="Y54" i="23" l="1"/>
  <c r="AC53" i="23"/>
  <c r="AD53" i="23" s="1"/>
  <c r="AB53" i="23" s="1"/>
  <c r="AF53" i="23"/>
  <c r="AE53" i="23"/>
  <c r="AH28" i="23"/>
  <c r="AH32" i="23" s="1"/>
  <c r="AH43" i="23" s="1"/>
  <c r="AH47" i="23" s="1"/>
  <c r="AH51" i="23" s="1"/>
  <c r="AH27" i="23"/>
  <c r="AH31" i="23" s="1"/>
  <c r="I43" i="23"/>
  <c r="J39" i="23"/>
  <c r="I42" i="23"/>
  <c r="Y55" i="23" l="1"/>
  <c r="AC54" i="23"/>
  <c r="AD54" i="23" s="1"/>
  <c r="AB54" i="23" s="1"/>
  <c r="AF54" i="23"/>
  <c r="AE54" i="23"/>
  <c r="J43" i="23"/>
  <c r="AA19" i="23"/>
  <c r="Y56" i="23" l="1"/>
  <c r="AE55" i="23"/>
  <c r="AC55" i="23"/>
  <c r="AD55" i="23" s="1"/>
  <c r="AB55" i="23" s="1"/>
  <c r="AF55" i="23"/>
  <c r="L10" i="23"/>
  <c r="J10" i="23" s="1"/>
  <c r="Y57" i="23" l="1"/>
  <c r="AF56" i="23"/>
  <c r="AE56" i="23"/>
  <c r="AC56" i="23"/>
  <c r="AD56" i="23" s="1"/>
  <c r="AB56" i="23" s="1"/>
  <c r="AH19" i="23"/>
  <c r="Y20" i="23" s="1"/>
  <c r="D16" i="23"/>
  <c r="D17" i="23"/>
  <c r="Y21" i="23" l="1"/>
  <c r="AC20" i="23"/>
  <c r="AD20" i="23" s="1"/>
  <c r="AB20" i="23" s="1"/>
  <c r="AE20" i="23"/>
  <c r="AF57" i="23"/>
  <c r="AE57" i="23"/>
  <c r="AC57" i="23"/>
  <c r="AD57" i="23" s="1"/>
  <c r="AB57" i="23" s="1"/>
  <c r="AH22" i="23"/>
  <c r="Y29" i="23" s="1"/>
  <c r="Z52" i="23"/>
  <c r="AA52" i="23" s="1"/>
  <c r="Z28" i="23"/>
  <c r="AA28" i="23" s="1"/>
  <c r="Y22" i="23" l="1"/>
  <c r="AE21" i="23"/>
  <c r="AC21" i="23"/>
  <c r="AD21" i="23" s="1"/>
  <c r="AB21" i="23" s="1"/>
  <c r="AC29" i="23"/>
  <c r="AD29" i="23" s="1"/>
  <c r="AB29" i="23" s="1"/>
  <c r="Z29" i="23" s="1"/>
  <c r="AA29" i="23" s="1"/>
  <c r="AF29" i="23"/>
  <c r="AE29" i="23"/>
  <c r="Y30" i="23"/>
  <c r="Z20" i="23"/>
  <c r="AA20" i="23" s="1"/>
  <c r="Z53" i="23"/>
  <c r="AA53" i="23" s="1"/>
  <c r="AE22" i="23" l="1"/>
  <c r="AC22" i="23"/>
  <c r="AD22" i="23" s="1"/>
  <c r="AB22" i="23" s="1"/>
  <c r="Y23" i="23"/>
  <c r="AC30" i="23"/>
  <c r="AD30" i="23" s="1"/>
  <c r="AB30" i="23" s="1"/>
  <c r="Z30" i="23" s="1"/>
  <c r="AA30" i="23" s="1"/>
  <c r="AE30" i="23"/>
  <c r="AF30" i="23"/>
  <c r="Y31" i="23"/>
  <c r="Z21" i="23"/>
  <c r="AA21" i="23" s="1"/>
  <c r="Z54" i="23"/>
  <c r="AA54" i="23" s="1"/>
  <c r="AC23" i="23" l="1"/>
  <c r="AD23" i="23" s="1"/>
  <c r="AB23" i="23" s="1"/>
  <c r="AE23" i="23"/>
  <c r="Y24" i="23"/>
  <c r="AC31" i="23"/>
  <c r="AD31" i="23" s="1"/>
  <c r="AB31" i="23" s="1"/>
  <c r="Z31" i="23" s="1"/>
  <c r="AA31" i="23" s="1"/>
  <c r="Y32" i="23"/>
  <c r="AF31" i="23"/>
  <c r="AE31" i="23"/>
  <c r="Z22" i="23"/>
  <c r="AA22" i="23" s="1"/>
  <c r="Z55" i="23"/>
  <c r="AA55" i="23" s="1"/>
  <c r="Y25" i="23" l="1"/>
  <c r="AE24" i="23"/>
  <c r="AC24" i="23"/>
  <c r="AD24" i="23" s="1"/>
  <c r="AB24" i="23" s="1"/>
  <c r="Y33" i="23"/>
  <c r="AC32" i="23"/>
  <c r="AD32" i="23" s="1"/>
  <c r="AB32" i="23" s="1"/>
  <c r="Z32" i="23" s="1"/>
  <c r="AA32" i="23" s="1"/>
  <c r="AF32" i="23"/>
  <c r="AE32" i="23"/>
  <c r="Z23" i="23"/>
  <c r="AA23" i="23" s="1"/>
  <c r="Z56" i="23"/>
  <c r="AA56" i="23" s="1"/>
  <c r="AE25" i="23" l="1"/>
  <c r="AC25" i="23"/>
  <c r="AD25" i="23" s="1"/>
  <c r="AB25" i="23" s="1"/>
  <c r="Y26" i="23"/>
  <c r="AF33" i="23"/>
  <c r="Y34" i="23"/>
  <c r="AC33" i="23"/>
  <c r="AD33" i="23" s="1"/>
  <c r="AB33" i="23" s="1"/>
  <c r="Z33" i="23" s="1"/>
  <c r="AA33" i="23" s="1"/>
  <c r="AE33" i="23"/>
  <c r="Z24" i="23"/>
  <c r="AA24" i="23" s="1"/>
  <c r="Z57" i="23"/>
  <c r="AA57" i="23" s="1"/>
  <c r="AE26" i="23" l="1"/>
  <c r="Y27" i="23"/>
  <c r="AC26" i="23"/>
  <c r="AD26" i="23" s="1"/>
  <c r="AB26" i="23" s="1"/>
  <c r="Y35" i="23"/>
  <c r="AC34" i="23"/>
  <c r="AD34" i="23" s="1"/>
  <c r="AB34" i="23" s="1"/>
  <c r="Z34" i="23" s="1"/>
  <c r="AA34" i="23" s="1"/>
  <c r="AF34" i="23"/>
  <c r="AE34" i="23"/>
  <c r="Z25" i="23"/>
  <c r="AA25" i="23" s="1"/>
  <c r="AC27" i="23" l="1"/>
  <c r="AD27" i="23" s="1"/>
  <c r="AB27" i="23" s="1"/>
  <c r="AE27" i="23"/>
  <c r="AF35" i="23"/>
  <c r="AC35" i="23"/>
  <c r="AD35" i="23" s="1"/>
  <c r="AB35" i="23" s="1"/>
  <c r="Z35" i="23" s="1"/>
  <c r="AA35" i="23" s="1"/>
  <c r="AE35" i="23"/>
  <c r="Y36" i="23"/>
  <c r="Z26" i="23"/>
  <c r="AA26" i="23" s="1"/>
  <c r="AE36" i="23" l="1"/>
  <c r="AC36" i="23"/>
  <c r="AD36" i="23" s="1"/>
  <c r="AB36" i="23" s="1"/>
  <c r="Z36" i="23" s="1"/>
  <c r="AA36" i="23" s="1"/>
  <c r="Y37" i="23"/>
  <c r="AF36" i="23"/>
  <c r="Z27" i="23"/>
  <c r="AA27" i="23" s="1"/>
  <c r="AE37" i="23" l="1"/>
  <c r="AC37" i="23"/>
  <c r="AD37" i="23" s="1"/>
  <c r="AB37" i="23" s="1"/>
  <c r="Z37" i="23" s="1"/>
  <c r="AA37" i="23" s="1"/>
  <c r="Y38" i="23"/>
  <c r="AF37" i="23"/>
  <c r="AF38" i="23" l="1"/>
  <c r="Y39" i="23"/>
  <c r="AC38" i="23"/>
  <c r="AD38" i="23" s="1"/>
  <c r="AB38" i="23" s="1"/>
  <c r="Z38" i="23" s="1"/>
  <c r="AE38" i="23"/>
  <c r="AE39" i="23" l="1"/>
  <c r="Y40" i="23"/>
  <c r="AC39" i="23"/>
  <c r="AD39" i="23" s="1"/>
  <c r="AB39" i="23" s="1"/>
  <c r="Z39" i="23" s="1"/>
  <c r="AA39" i="23" s="1"/>
  <c r="AF39" i="23"/>
  <c r="AA38" i="23"/>
  <c r="AC40" i="23" l="1"/>
  <c r="AD40" i="23" s="1"/>
  <c r="AB40" i="23" s="1"/>
  <c r="Z40" i="23" s="1"/>
  <c r="AA40" i="23" s="1"/>
  <c r="AF40" i="23"/>
  <c r="Y41" i="23"/>
  <c r="AE40" i="23"/>
  <c r="AE41" i="23" l="1"/>
  <c r="AC41" i="23"/>
  <c r="AD41" i="23" s="1"/>
  <c r="AB41" i="23" s="1"/>
  <c r="Z41" i="23" s="1"/>
  <c r="AA41" i="23" s="1"/>
  <c r="Y42" i="23"/>
  <c r="AF41" i="23"/>
  <c r="AE42" i="23" l="1"/>
  <c r="Y43" i="23"/>
  <c r="AF42" i="23"/>
  <c r="AC42" i="23"/>
  <c r="AD42" i="23" s="1"/>
  <c r="AB42" i="23" s="1"/>
  <c r="Z42" i="23" s="1"/>
  <c r="AA42" i="23" s="1"/>
  <c r="AC43" i="23" l="1"/>
  <c r="AD43" i="23" s="1"/>
  <c r="AB43" i="23" s="1"/>
  <c r="Z43" i="23" s="1"/>
  <c r="AA43" i="23" s="1"/>
  <c r="AE43" i="23"/>
  <c r="Y44" i="23"/>
  <c r="AF43" i="23"/>
  <c r="AC44" i="23" l="1"/>
  <c r="AD44" i="23" s="1"/>
  <c r="AB44" i="23" s="1"/>
  <c r="Z44" i="23" s="1"/>
  <c r="AA44" i="23" s="1"/>
  <c r="AF44" i="23"/>
  <c r="AE44" i="23"/>
  <c r="Y45" i="23"/>
  <c r="AF45" i="23" l="1"/>
  <c r="AC45" i="23"/>
  <c r="AD45" i="23" s="1"/>
  <c r="AB45" i="23" s="1"/>
  <c r="Z45" i="23" s="1"/>
  <c r="AA45" i="23" s="1"/>
  <c r="Y46" i="23"/>
  <c r="AE45" i="23"/>
  <c r="AC46" i="23" l="1"/>
  <c r="AD46" i="23" s="1"/>
  <c r="AB46" i="23" s="1"/>
  <c r="Z46" i="23" s="1"/>
  <c r="AA46" i="23" s="1"/>
  <c r="AF46" i="23"/>
  <c r="AE46" i="23"/>
  <c r="Y47" i="23"/>
  <c r="AE47" i="23" l="1"/>
  <c r="Y48" i="23"/>
  <c r="AF47" i="23"/>
  <c r="AC47" i="23"/>
  <c r="AD47" i="23" s="1"/>
  <c r="AB47" i="23" s="1"/>
  <c r="Z47" i="23" s="1"/>
  <c r="AA47" i="23" s="1"/>
  <c r="AE48" i="23" l="1"/>
  <c r="Y49" i="23"/>
  <c r="AF48" i="23"/>
  <c r="AC48" i="23"/>
  <c r="AD48" i="23" s="1"/>
  <c r="AB48" i="23" s="1"/>
  <c r="Z48" i="23" s="1"/>
  <c r="AC49" i="23" l="1"/>
  <c r="AD49" i="23" s="1"/>
  <c r="AB49" i="23" s="1"/>
  <c r="Z49" i="23" s="1"/>
  <c r="AA49" i="23" s="1"/>
  <c r="AE49" i="23"/>
  <c r="AF49" i="23"/>
  <c r="Y50" i="23"/>
  <c r="AA48" i="23"/>
  <c r="AG40" i="23"/>
  <c r="AH40" i="23" l="1"/>
  <c r="AI40" i="23"/>
  <c r="AF50" i="23"/>
  <c r="AC50" i="23"/>
  <c r="AD50" i="23" s="1"/>
  <c r="AB50" i="23" s="1"/>
  <c r="Z50" i="23" s="1"/>
  <c r="AA50" i="23" s="1"/>
  <c r="AE50" i="23"/>
  <c r="Y51" i="23"/>
  <c r="AG41" i="23"/>
  <c r="AI41" i="23" l="1"/>
  <c r="AH41" i="23"/>
  <c r="AE51" i="23"/>
  <c r="AF51" i="23"/>
  <c r="AC51" i="23"/>
  <c r="AD51" i="23" s="1"/>
  <c r="AB51" i="23" s="1"/>
  <c r="Z51" i="23" s="1"/>
  <c r="AA51" i="23" s="1"/>
  <c r="I46" i="23" l="1"/>
  <c r="I49" i="23" s="1"/>
  <c r="AI43" i="23"/>
  <c r="AL24" i="23" l="1"/>
  <c r="AM24" i="23" s="1"/>
  <c r="I50" i="23"/>
  <c r="AI33" i="23"/>
  <c r="AI32" i="23"/>
  <c r="AI44" i="23"/>
  <c r="AI28" i="23"/>
  <c r="AI29" i="23"/>
  <c r="J46" i="23" l="1"/>
  <c r="AL25" i="23" l="1"/>
  <c r="AM25" i="23" s="1"/>
  <c r="AL26" i="23" l="1"/>
  <c r="AM26" i="23" s="1"/>
  <c r="AL27" i="23" l="1"/>
  <c r="AM27" i="23" s="1"/>
  <c r="AL28" i="23" l="1"/>
  <c r="AM28" i="23" s="1"/>
  <c r="AL29" i="23" l="1"/>
  <c r="AM29" i="23" s="1"/>
  <c r="AL30" i="23" l="1"/>
  <c r="AM30" i="23" s="1"/>
  <c r="AL31" i="23" l="1"/>
  <c r="AM31" i="23" s="1"/>
  <c r="AL32" i="23" l="1"/>
  <c r="AM32" i="23" s="1"/>
  <c r="AL33" i="23" l="1"/>
  <c r="AM33" i="23" s="1"/>
  <c r="AL34" i="23" l="1"/>
  <c r="AM34" i="23" s="1"/>
  <c r="AL35" i="23" l="1"/>
  <c r="AM35" i="23" s="1"/>
  <c r="AL36" i="23" l="1"/>
  <c r="AM36" i="23" s="1"/>
  <c r="AL37" i="23" l="1"/>
  <c r="AM37" i="23" s="1"/>
  <c r="AL38" i="23" l="1"/>
  <c r="AM38" i="23" s="1"/>
  <c r="AL39" i="23" l="1"/>
  <c r="AM39" i="23" s="1"/>
  <c r="AL40" i="23" l="1"/>
  <c r="AM40" i="23" s="1"/>
  <c r="AL41" i="23" l="1"/>
  <c r="AM41" i="23" s="1"/>
  <c r="AL42" i="23" l="1"/>
  <c r="AM42" i="23" s="1"/>
  <c r="AL43" i="23" l="1"/>
  <c r="AM43" i="23" s="1"/>
  <c r="AL44" i="23" l="1"/>
  <c r="AM44" i="23" s="1"/>
  <c r="AL45" i="23" l="1"/>
  <c r="AM45" i="23" s="1"/>
  <c r="AL46" i="23" l="1"/>
  <c r="AM46" i="23" s="1"/>
  <c r="AL47" i="23" l="1"/>
  <c r="AM47" i="23" s="1"/>
  <c r="AL48" i="23" l="1"/>
  <c r="AM48" i="23" s="1"/>
  <c r="AL49" i="23" l="1"/>
  <c r="AM49" i="23" s="1"/>
  <c r="AL50" i="23" l="1"/>
  <c r="AM50" i="23" s="1"/>
  <c r="F57" i="23" l="1"/>
  <c r="AK49" i="23"/>
  <c r="AI50" i="23" l="1"/>
  <c r="AI51" i="23"/>
  <c r="F56" i="23"/>
  <c r="F58" i="23"/>
  <c r="K58" i="23" s="1"/>
  <c r="F53" i="23"/>
  <c r="J58" i="23"/>
  <c r="F54" i="23"/>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<sst xmlns="http://schemas.openxmlformats.org/spreadsheetml/2006/main" count="143" uniqueCount="101">
  <si>
    <t>Date:</t>
  </si>
  <si>
    <t>Compression</t>
  </si>
  <si>
    <t xml:space="preserve"> </t>
  </si>
  <si>
    <t>R. Abbott</t>
  </si>
  <si>
    <t>Revision:</t>
  </si>
  <si>
    <t>A</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</si>
  <si>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</si>
  <si>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</si>
  <si>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</si>
  <si>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</si>
  <si>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</si>
  <si>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</si>
  <si>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</si>
  <si>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</si>
  <si>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</si>
  <si>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</si>
  <si>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</si>
  <si>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</si>
  <si>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</si>
  <si>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</si>
  <si>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</si>
  <si>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</si>
  <si>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</si>
  <si>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</si>
  <si>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</si>
  <si>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</si>
  <si>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</si>
  <si>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</si>
  <si>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</si>
  <si>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</si>
  <si>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</si>
  <si>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</si>
  <si>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</si>
  <si>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</si>
  <si>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</si>
  <si>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</si>
  <si>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</si>
  <si>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</si>
  <si>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</si>
  <si>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</si>
  <si>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</si>
  <si>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</si>
  <si>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</si>
  <si>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</si>
  <si>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</si>
  <si>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</si>
  <si>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</si>
  <si>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</si>
  <si>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</si>
  <si>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</si>
  <si>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</si>
  <si>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</si>
  <si>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</si>
  <si>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</si>
  <si>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</si>
  <si>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</si>
  <si>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</si>
  <si>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</si>
  <si>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</si>
  <si>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</si>
  <si>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</si>
  <si>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</si>
  <si>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</si>
  <si>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</si>
  <si>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</si>
  <si>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</si>
  <si>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</si>
  <si>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</si>
  <si>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</si>
  <si>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</si>
  <si>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Effective Slenderness Ratio</t>
  </si>
  <si>
    <t>S =</t>
  </si>
  <si>
    <t>Euler Column Allowable</t>
  </si>
  <si>
    <t>Johnson Column Allowable</t>
  </si>
  <si>
    <t>Tangent Modulus Column Allowable</t>
  </si>
  <si>
    <t>lb</t>
  </si>
  <si>
    <t>Minimum Radius of Gyration</t>
  </si>
  <si>
    <t>P =</t>
  </si>
  <si>
    <t>Applied Load:</t>
  </si>
  <si>
    <t>Johnson Euler Intercept</t>
  </si>
  <si>
    <t>Upper Strength Limitation</t>
  </si>
  <si>
    <t>F =</t>
  </si>
  <si>
    <t>psi</t>
  </si>
  <si>
    <t>Final Column Allowable</t>
  </si>
  <si>
    <t>e =</t>
  </si>
  <si>
    <t>c =</t>
  </si>
  <si>
    <t>RH =</t>
  </si>
  <si>
    <r>
      <t>F'</t>
    </r>
    <r>
      <rPr>
        <sz val="10"/>
        <rFont val="Calibri"/>
        <family val="2"/>
        <scheme val="minor"/>
      </rPr>
      <t xml:space="preserve"> =</t>
    </r>
  </si>
  <si>
    <t>Effective Length</t>
  </si>
  <si>
    <t>L' =</t>
  </si>
  <si>
    <t>Beam Column Allowable</t>
  </si>
  <si>
    <t>Beam Column Iteration</t>
  </si>
  <si>
    <t>P' =</t>
  </si>
  <si>
    <t>BEAM COLUMN ANALYSIS</t>
  </si>
  <si>
    <t>AA-SM-018-005</t>
  </si>
  <si>
    <t>http://www.abbottaerospace.com/subscribe</t>
  </si>
  <si>
    <t>http://www.xl-viking.com/download-free-trial/</t>
  </si>
  <si>
    <t>http://www.abbottaerospace.com/engineering-services</t>
  </si>
  <si>
    <t>=</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</si>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</sst>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5">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sz val="10"/>
      <color theme="1"/>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3"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36">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1" fontId="22" fillId="0" borderId="0" xfId="0" applyNumberFormat="1" applyFont="1" applyBorder="1" applyAlignment="1" applyProtection="1">
      <alignment horizontal="right"/>
      <protection locked="0"/>
    </xf>
    <xf numFmtId="0" fontId="6" fillId="0" borderId="0" xfId="6" applyFont="1"/>
    <xf numFmtId="0" fontId="6" fillId="0" borderId="0" xfId="6" applyFont="1" applyBorder="1"/>
    <xf numFmtId="165" fontId="6" fillId="0" borderId="0" xfId="6" applyNumberFormat="1" applyFont="1" applyBorder="1" applyAlignment="1">
      <alignment horizontal="center"/>
    </xf>
    <xf numFmtId="0" fontId="6" fillId="0" borderId="0" xfId="6" applyFont="1" applyAlignment="1">
      <alignment horizontal="right"/>
    </xf>
    <xf numFmtId="164" fontId="17" fillId="0" borderId="0" xfId="6" applyNumberFormat="1" applyFont="1" applyAlignment="1">
      <alignment horizontal="right"/>
    </xf>
    <xf numFmtId="0" fontId="6" fillId="0" borderId="0" xfId="6" applyFont="1" applyBorder="1" applyAlignment="1">
      <alignment horizontal="right"/>
    </xf>
    <xf numFmtId="0" fontId="6" fillId="0" borderId="0" xfId="6" applyFont="1" applyBorder="1" applyAlignment="1">
      <alignment horizontal="left"/>
    </xf>
    <xf numFmtId="165" fontId="6" fillId="0" borderId="0" xfId="6" applyNumberFormat="1" applyFont="1"/>
    <xf numFmtId="1" fontId="6" fillId="0" borderId="0" xfId="6" applyNumberFormat="1" applyFont="1" applyFill="1" applyAlignment="1">
      <alignment horizontal="right"/>
    </xf>
    <xf numFmtId="165" fontId="6" fillId="0" borderId="0" xfId="0" applyNumberFormat="1" applyFont="1" applyAlignment="1">
      <alignment horizontal="right"/>
    </xf>
    <xf numFmtId="1" fontId="6" fillId="0" borderId="0" xfId="6" applyNumberFormat="1" applyFont="1" applyBorder="1"/>
    <xf numFmtId="1" fontId="6" fillId="0" borderId="0" xfId="6" applyNumberFormat="1" applyFont="1"/>
    <xf numFmtId="0" fontId="6" fillId="0" borderId="0" xfId="3" applyFont="1" applyBorder="1" applyAlignment="1">
      <alignment horizontal="left" vertical="top" wrapText="1"/>
    </xf>
    <xf numFmtId="0" fontId="24" fillId="0" borderId="0" xfId="8" applyFont="1" applyBorder="1" applyAlignment="1" applyProtection="1">
      <alignment horizontal="center"/>
    </xf>
    <xf numFmtId="0" fontId="19" fillId="0" borderId="0" xfId="9" applyBorder="1" applyAlignment="1" applyProtection="1">
      <alignment horizontal="center"/>
    </xf>
    <xf numFmtId="0" fontId="23" fillId="0" borderId="0" xfId="8" applyBorder="1" applyAlignment="1">
      <alignment horizontal="center"/>
    </xf>
    <xf numFmtId="0" fontId="19" fillId="0" borderId="0" xfId="9" applyFont="1" applyBorder="1" applyAlignment="1" applyProtection="1">
      <alignment horizontal="center"/>
    </xf>
    <xf numFmtId="165" fontId="6" fillId="0" borderId="0" xfId="0" applyNumberFormat="1" applyFont="1"/>
    <xf numFmtId="166" fontId="17" fillId="0" borderId="0" xfId="0" applyNumberFormat="1" applyFont="1" applyAlignment="1">
      <alignment horizontal="right" vertical="top"/>
    </xf>
    <xf numFmtId="165" fontId="17" fillId="0" borderId="0" xfId="0" applyNumberFormat="1" applyFont="1"/>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6" fillId="0" borderId="0" xfId="2" applyFont="1" applyAlignment="1">
      <alignment horizontal="left" vertical="top" wrapText="1"/>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3467154390343"/>
          <c:y val="4.0169133192388996E-2"/>
          <c:w val="0.75496600560758453"/>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5.023915710682413</c:v>
                </c:pt>
                <c:pt idx="1">
                  <c:v>10.047831421364826</c:v>
                </c:pt>
                <c:pt idx="2">
                  <c:v>15.071747132047239</c:v>
                </c:pt>
                <c:pt idx="3">
                  <c:v>20.095662842729652</c:v>
                </c:pt>
                <c:pt idx="4">
                  <c:v>25.119578553412065</c:v>
                </c:pt>
                <c:pt idx="5">
                  <c:v>30.143494264094478</c:v>
                </c:pt>
                <c:pt idx="6">
                  <c:v>35.167409974776888</c:v>
                </c:pt>
                <c:pt idx="7">
                  <c:v>40.191325685459304</c:v>
                </c:pt>
                <c:pt idx="8">
                  <c:v>45.215241396141714</c:v>
                </c:pt>
                <c:pt idx="9">
                  <c:v>46.209082258295808</c:v>
                </c:pt>
                <c:pt idx="10">
                  <c:v>47.202923120449903</c:v>
                </c:pt>
                <c:pt idx="11">
                  <c:v>48.196763982603997</c:v>
                </c:pt>
                <c:pt idx="12">
                  <c:v>49.190604844758091</c:v>
                </c:pt>
                <c:pt idx="13">
                  <c:v>50.184445706912186</c:v>
                </c:pt>
                <c:pt idx="14">
                  <c:v>51.17828656906628</c:v>
                </c:pt>
                <c:pt idx="15">
                  <c:v>52.172127431220375</c:v>
                </c:pt>
                <c:pt idx="16">
                  <c:v>53.165968293374469</c:v>
                </c:pt>
                <c:pt idx="17">
                  <c:v>54.159809155528563</c:v>
                </c:pt>
                <c:pt idx="18">
                  <c:v>55.153650017682658</c:v>
                </c:pt>
                <c:pt idx="19">
                  <c:v>56.147490879836752</c:v>
                </c:pt>
                <c:pt idx="20">
                  <c:v>57.141331741990847</c:v>
                </c:pt>
                <c:pt idx="21">
                  <c:v>58.135172604144941</c:v>
                </c:pt>
                <c:pt idx="22">
                  <c:v>59.129013466299035</c:v>
                </c:pt>
                <c:pt idx="23">
                  <c:v>60.12285432845313</c:v>
                </c:pt>
                <c:pt idx="24">
                  <c:v>61.116695190607224</c:v>
                </c:pt>
                <c:pt idx="25">
                  <c:v>62.110536052761319</c:v>
                </c:pt>
                <c:pt idx="26">
                  <c:v>63.104376914915413</c:v>
                </c:pt>
                <c:pt idx="27">
                  <c:v>64.098217777069507</c:v>
                </c:pt>
                <c:pt idx="28">
                  <c:v>65.092058639223609</c:v>
                </c:pt>
                <c:pt idx="29">
                  <c:v>66.08589950137771</c:v>
                </c:pt>
                <c:pt idx="30">
                  <c:v>67.079740363531812</c:v>
                </c:pt>
                <c:pt idx="31">
                  <c:v>68.073581225685913</c:v>
                </c:pt>
                <c:pt idx="32">
                  <c:v>69.067422087840058</c:v>
                </c:pt>
                <c:pt idx="33">
                  <c:v>76.567422087840058</c:v>
                </c:pt>
                <c:pt idx="34">
                  <c:v>84.067422087840058</c:v>
                </c:pt>
                <c:pt idx="35">
                  <c:v>94.067422087840058</c:v>
                </c:pt>
                <c:pt idx="36">
                  <c:v>114.06742208784006</c:v>
                </c:pt>
                <c:pt idx="37">
                  <c:v>134.06742208784004</c:v>
                </c:pt>
              </c:numCache>
            </c:numRef>
          </c:xVal>
          <c:yVal>
            <c:numRef>
              <c:f>Sheet1!$AF$20:$AF$57</c:f>
              <c:numCache>
                <c:formatCode>0</c:formatCode>
                <c:ptCount val="38"/>
                <c:pt idx="8">
                  <c:v>139999.99999999997</c:v>
                </c:pt>
                <c:pt idx="9">
                  <c:v>134042.66593587125</c:v>
                </c:pt>
                <c:pt idx="10">
                  <c:v>128457.64489426493</c:v>
                </c:pt>
                <c:pt idx="11">
                  <c:v>123214.5466568479</c:v>
                </c:pt>
                <c:pt idx="12">
                  <c:v>118286.01966320875</c:v>
                </c:pt>
                <c:pt idx="13">
                  <c:v>113647.39357509103</c:v>
                </c:pt>
                <c:pt idx="14">
                  <c:v>109276.36994845139</c:v>
                </c:pt>
                <c:pt idx="15">
                  <c:v>105152.75375326112</c:v>
                </c:pt>
                <c:pt idx="16">
                  <c:v>101258.21969070805</c:v>
                </c:pt>
                <c:pt idx="17">
                  <c:v>97576.10824729607</c:v>
                </c:pt>
                <c:pt idx="18">
                  <c:v>94091.247238464057</c:v>
                </c:pt>
                <c:pt idx="19">
                  <c:v>90789.795264852975</c:v>
                </c:pt>
                <c:pt idx="20">
                  <c:v>87659.104059273712</c:v>
                </c:pt>
                <c:pt idx="21">
                  <c:v>84687.597163321043</c:v>
                </c:pt>
                <c:pt idx="22">
                  <c:v>81864.662756668578</c:v>
                </c:pt>
                <c:pt idx="23">
                  <c:v>79180.558783218294</c:v>
                </c:pt>
                <c:pt idx="24">
                  <c:v>76626.328787628445</c:v>
                </c:pt>
                <c:pt idx="25">
                  <c:v>74193.727102348785</c:v>
                </c:pt>
                <c:pt idx="26">
                  <c:v>71875.152216494724</c:v>
                </c:pt>
                <c:pt idx="27">
                  <c:v>69663.587319685525</c:v>
                </c:pt>
                <c:pt idx="28">
                  <c:v>67552.547151253399</c:v>
                </c:pt>
                <c:pt idx="29">
                  <c:v>65536.030402026212</c:v>
                </c:pt>
                <c:pt idx="30">
                  <c:v>63608.477015509008</c:v>
                </c:pt>
                <c:pt idx="31">
                  <c:v>61764.729820475535</c:v>
                </c:pt>
                <c:pt idx="32">
                  <c:v>60000</c:v>
                </c:pt>
                <c:pt idx="33">
                  <c:v>48821.339706009516</c:v>
                </c:pt>
                <c:pt idx="34">
                  <c:v>40498.811948115042</c:v>
                </c:pt>
                <c:pt idx="35">
                  <c:v>32345.901413852316</c:v>
                </c:pt>
                <c:pt idx="36">
                  <c:v>21997.558938782458</c:v>
                </c:pt>
                <c:pt idx="37">
                  <c:v>15923.965427185625</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Sheet1!$Z$19:$Z$57</c:f>
              <c:numCache>
                <c:formatCode>0.00</c:formatCode>
                <c:ptCount val="39"/>
                <c:pt idx="0">
                  <c:v>0</c:v>
                </c:pt>
                <c:pt idx="1">
                  <c:v>1.113573352195413</c:v>
                </c:pt>
                <c:pt idx="2">
                  <c:v>2.227146704390826</c:v>
                </c:pt>
                <c:pt idx="3">
                  <c:v>3.3407200565862389</c:v>
                </c:pt>
                <c:pt idx="4">
                  <c:v>4.4542934087816519</c:v>
                </c:pt>
                <c:pt idx="5">
                  <c:v>5.5678667609770649</c:v>
                </c:pt>
                <c:pt idx="6">
                  <c:v>6.6814401131724779</c:v>
                </c:pt>
                <c:pt idx="7">
                  <c:v>7.7950134653678917</c:v>
                </c:pt>
                <c:pt idx="8">
                  <c:v>8.9085868175633038</c:v>
                </c:pt>
                <c:pt idx="9">
                  <c:v>10.022160169758729</c:v>
                </c:pt>
                <c:pt idx="10">
                  <c:v>12.312189737610483</c:v>
                </c:pt>
                <c:pt idx="11">
                  <c:v>14.985542458718758</c:v>
                </c:pt>
                <c:pt idx="12">
                  <c:v>18.047812778315073</c:v>
                </c:pt>
                <c:pt idx="13">
                  <c:v>21.475996628663033</c:v>
                </c:pt>
                <c:pt idx="14">
                  <c:v>25.210839069227728</c:v>
                </c:pt>
                <c:pt idx="15">
                  <c:v>29.154993257181602</c:v>
                </c:pt>
                <c:pt idx="16">
                  <c:v>33.180769270909771</c:v>
                </c:pt>
                <c:pt idx="17">
                  <c:v>37.148073573104796</c:v>
                </c:pt>
                <c:pt idx="18">
                  <c:v>40.927920317461101</c:v>
                </c:pt>
                <c:pt idx="19">
                  <c:v>44.423165488675835</c:v>
                </c:pt>
                <c:pt idx="20">
                  <c:v>47.579224554036763</c:v>
                </c:pt>
                <c:pt idx="21">
                  <c:v>50.38286354526592</c:v>
                </c:pt>
                <c:pt idx="22">
                  <c:v>52.852537368593119</c:v>
                </c:pt>
                <c:pt idx="23">
                  <c:v>55.025815130051583</c:v>
                </c:pt>
                <c:pt idx="24">
                  <c:v>56.948222764430874</c:v>
                </c:pt>
                <c:pt idx="25">
                  <c:v>58.665430497836638</c:v>
                </c:pt>
                <c:pt idx="26">
                  <c:v>60.218828021121077</c:v>
                </c:pt>
                <c:pt idx="27">
                  <c:v>61.643654854641383</c:v>
                </c:pt>
                <c:pt idx="28">
                  <c:v>62.968720427877955</c:v>
                </c:pt>
                <c:pt idx="29">
                  <c:v>64.216950606858404</c:v>
                </c:pt>
                <c:pt idx="30">
                  <c:v>65.406264800885452</c:v>
                </c:pt>
                <c:pt idx="31">
                  <c:v>66.550505484142036</c:v>
                </c:pt>
                <c:pt idx="32">
                  <c:v>67.660286476827338</c:v>
                </c:pt>
                <c:pt idx="33">
                  <c:v>68.743710368065578</c:v>
                </c:pt>
                <c:pt idx="34">
                  <c:v>76.510975676019569</c:v>
                </c:pt>
                <c:pt idx="35">
                  <c:v>84.055884781989718</c:v>
                </c:pt>
                <c:pt idx="36">
                  <c:v>94.065714487309961</c:v>
                </c:pt>
                <c:pt idx="37">
                  <c:v>114.06735765352653</c:v>
                </c:pt>
                <c:pt idx="38">
                  <c:v>134.06741795384636</c:v>
                </c:pt>
              </c:numCache>
            </c:numRef>
          </c:xVal>
          <c:yVal>
            <c:numRef>
              <c:f>Sheet1!$AC$19:$AC$57</c:f>
              <c:numCache>
                <c:formatCode>0</c:formatCode>
                <c:ptCount val="39"/>
                <c:pt idx="0">
                  <c:v>140000</c:v>
                </c:pt>
                <c:pt idx="1">
                  <c:v>140000</c:v>
                </c:pt>
                <c:pt idx="2">
                  <c:v>140000</c:v>
                </c:pt>
                <c:pt idx="3">
                  <c:v>140000</c:v>
                </c:pt>
                <c:pt idx="4">
                  <c:v>140000</c:v>
                </c:pt>
                <c:pt idx="5">
                  <c:v>140000</c:v>
                </c:pt>
                <c:pt idx="6">
                  <c:v>140000</c:v>
                </c:pt>
                <c:pt idx="7">
                  <c:v>140000</c:v>
                </c:pt>
                <c:pt idx="8">
                  <c:v>140000</c:v>
                </c:pt>
                <c:pt idx="9">
                  <c:v>139999.99999999997</c:v>
                </c:pt>
                <c:pt idx="10">
                  <c:v>134042.66593587125</c:v>
                </c:pt>
                <c:pt idx="11">
                  <c:v>128457.64489426493</c:v>
                </c:pt>
                <c:pt idx="12">
                  <c:v>123214.5466568479</c:v>
                </c:pt>
                <c:pt idx="13">
                  <c:v>118286.01966320875</c:v>
                </c:pt>
                <c:pt idx="14">
                  <c:v>113647.39357509103</c:v>
                </c:pt>
                <c:pt idx="15">
                  <c:v>109276.36994845139</c:v>
                </c:pt>
                <c:pt idx="16">
                  <c:v>105152.75375326112</c:v>
                </c:pt>
                <c:pt idx="17">
                  <c:v>101258.21969070805</c:v>
                </c:pt>
                <c:pt idx="18">
                  <c:v>97576.10824729607</c:v>
                </c:pt>
                <c:pt idx="19">
                  <c:v>94091.247238464057</c:v>
                </c:pt>
                <c:pt idx="20">
                  <c:v>90789.795264852975</c:v>
                </c:pt>
                <c:pt idx="21">
                  <c:v>87659.104059273712</c:v>
                </c:pt>
                <c:pt idx="22">
                  <c:v>84687.597163321043</c:v>
                </c:pt>
                <c:pt idx="23">
                  <c:v>81864.662756668578</c:v>
                </c:pt>
                <c:pt idx="24">
                  <c:v>79180.558783218294</c:v>
                </c:pt>
                <c:pt idx="25">
                  <c:v>76626.328787628445</c:v>
                </c:pt>
                <c:pt idx="26">
                  <c:v>74193.727102348785</c:v>
                </c:pt>
                <c:pt idx="27">
                  <c:v>71875.152216494724</c:v>
                </c:pt>
                <c:pt idx="28">
                  <c:v>69663.587319685525</c:v>
                </c:pt>
                <c:pt idx="29">
                  <c:v>67552.547151253399</c:v>
                </c:pt>
                <c:pt idx="30">
                  <c:v>65536.030402026212</c:v>
                </c:pt>
                <c:pt idx="31">
                  <c:v>63608.477015509008</c:v>
                </c:pt>
                <c:pt idx="32">
                  <c:v>61764.729820475535</c:v>
                </c:pt>
                <c:pt idx="33">
                  <c:v>60000</c:v>
                </c:pt>
                <c:pt idx="34">
                  <c:v>48821.339706009516</c:v>
                </c:pt>
                <c:pt idx="35">
                  <c:v>40498.811948115042</c:v>
                </c:pt>
                <c:pt idx="36">
                  <c:v>32345.901413852316</c:v>
                </c:pt>
                <c:pt idx="37">
                  <c:v>21997.558938782458</c:v>
                </c:pt>
                <c:pt idx="38">
                  <c:v>15923.965427185625</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5.023915710682413</c:v>
                </c:pt>
                <c:pt idx="1">
                  <c:v>10.047831421364826</c:v>
                </c:pt>
                <c:pt idx="2">
                  <c:v>15.071747132047239</c:v>
                </c:pt>
                <c:pt idx="3">
                  <c:v>20.095662842729652</c:v>
                </c:pt>
                <c:pt idx="4">
                  <c:v>25.119578553412065</c:v>
                </c:pt>
                <c:pt idx="5">
                  <c:v>30.143494264094478</c:v>
                </c:pt>
                <c:pt idx="6">
                  <c:v>35.167409974776888</c:v>
                </c:pt>
                <c:pt idx="7">
                  <c:v>40.191325685459304</c:v>
                </c:pt>
                <c:pt idx="8">
                  <c:v>45.215241396141714</c:v>
                </c:pt>
                <c:pt idx="9">
                  <c:v>46.209082258295808</c:v>
                </c:pt>
                <c:pt idx="10">
                  <c:v>47.202923120449903</c:v>
                </c:pt>
                <c:pt idx="11">
                  <c:v>48.196763982603997</c:v>
                </c:pt>
                <c:pt idx="12">
                  <c:v>49.190604844758091</c:v>
                </c:pt>
                <c:pt idx="13">
                  <c:v>50.184445706912186</c:v>
                </c:pt>
                <c:pt idx="14">
                  <c:v>51.17828656906628</c:v>
                </c:pt>
                <c:pt idx="15">
                  <c:v>52.172127431220375</c:v>
                </c:pt>
                <c:pt idx="16">
                  <c:v>53.165968293374469</c:v>
                </c:pt>
                <c:pt idx="17">
                  <c:v>54.159809155528563</c:v>
                </c:pt>
                <c:pt idx="18">
                  <c:v>55.153650017682658</c:v>
                </c:pt>
                <c:pt idx="19">
                  <c:v>56.147490879836752</c:v>
                </c:pt>
                <c:pt idx="20">
                  <c:v>57.141331741990847</c:v>
                </c:pt>
                <c:pt idx="21">
                  <c:v>58.135172604144941</c:v>
                </c:pt>
                <c:pt idx="22">
                  <c:v>59.129013466299035</c:v>
                </c:pt>
                <c:pt idx="23">
                  <c:v>60.12285432845313</c:v>
                </c:pt>
                <c:pt idx="24">
                  <c:v>61.116695190607224</c:v>
                </c:pt>
                <c:pt idx="25">
                  <c:v>62.110536052761319</c:v>
                </c:pt>
                <c:pt idx="26">
                  <c:v>63.104376914915413</c:v>
                </c:pt>
                <c:pt idx="27">
                  <c:v>64.098217777069507</c:v>
                </c:pt>
                <c:pt idx="28">
                  <c:v>65.092058639223609</c:v>
                </c:pt>
                <c:pt idx="29">
                  <c:v>66.08589950137771</c:v>
                </c:pt>
                <c:pt idx="30">
                  <c:v>67.079740363531812</c:v>
                </c:pt>
                <c:pt idx="31">
                  <c:v>68.073581225685913</c:v>
                </c:pt>
                <c:pt idx="32">
                  <c:v>69.067422087840058</c:v>
                </c:pt>
                <c:pt idx="33">
                  <c:v>76.567422087840058</c:v>
                </c:pt>
                <c:pt idx="34">
                  <c:v>84.067422087840058</c:v>
                </c:pt>
                <c:pt idx="35">
                  <c:v>94.067422087840058</c:v>
                </c:pt>
                <c:pt idx="36">
                  <c:v>114.06742208784006</c:v>
                </c:pt>
                <c:pt idx="37">
                  <c:v>134.06742208784004</c:v>
                </c:pt>
              </c:numCache>
            </c:numRef>
          </c:xVal>
          <c:yVal>
            <c:numRef>
              <c:f>Sheet1!$AE$20:$AE$57</c:f>
              <c:numCache>
                <c:formatCode>0</c:formatCode>
                <c:ptCount val="38"/>
                <c:pt idx="0">
                  <c:v>119682.53968253969</c:v>
                </c:pt>
                <c:pt idx="1">
                  <c:v>118730.15873015873</c:v>
                </c:pt>
                <c:pt idx="2">
                  <c:v>117142.85714285714</c:v>
                </c:pt>
                <c:pt idx="3">
                  <c:v>114920.63492063491</c:v>
                </c:pt>
                <c:pt idx="4">
                  <c:v>112063.49206349206</c:v>
                </c:pt>
                <c:pt idx="5">
                  <c:v>108571.42857142857</c:v>
                </c:pt>
                <c:pt idx="6">
                  <c:v>104444.44444444444</c:v>
                </c:pt>
                <c:pt idx="7">
                  <c:v>99682.539682539675</c:v>
                </c:pt>
                <c:pt idx="8">
                  <c:v>94285.71428571429</c:v>
                </c:pt>
                <c:pt idx="9">
                  <c:v>93142.879732619505</c:v>
                </c:pt>
                <c:pt idx="10">
                  <c:v>91975.198494700686</c:v>
                </c:pt>
                <c:pt idx="11">
                  <c:v>90782.670571957802</c:v>
                </c:pt>
                <c:pt idx="12">
                  <c:v>89565.295964390869</c:v>
                </c:pt>
                <c:pt idx="13">
                  <c:v>88323.074671999871</c:v>
                </c:pt>
                <c:pt idx="14">
                  <c:v>87056.006694784825</c:v>
                </c:pt>
                <c:pt idx="15">
                  <c:v>85764.092032745713</c:v>
                </c:pt>
                <c:pt idx="16">
                  <c:v>84447.330685882538</c:v>
                </c:pt>
                <c:pt idx="17">
                  <c:v>83105.722654195328</c:v>
                </c:pt>
                <c:pt idx="18">
                  <c:v>81739.267937684039</c:v>
                </c:pt>
                <c:pt idx="19">
                  <c:v>80347.9665363487</c:v>
                </c:pt>
                <c:pt idx="20">
                  <c:v>78931.818450189312</c:v>
                </c:pt>
                <c:pt idx="21">
                  <c:v>77490.82367920586</c:v>
                </c:pt>
                <c:pt idx="22">
                  <c:v>76024.982223398343</c:v>
                </c:pt>
                <c:pt idx="23">
                  <c:v>74534.294082766777</c:v>
                </c:pt>
                <c:pt idx="24">
                  <c:v>73018.759257311161</c:v>
                </c:pt>
                <c:pt idx="25">
                  <c:v>71478.377747031482</c:v>
                </c:pt>
                <c:pt idx="26">
                  <c:v>69913.149551927752</c:v>
                </c:pt>
                <c:pt idx="27">
                  <c:v>68323.074671999959</c:v>
                </c:pt>
                <c:pt idx="28">
                  <c:v>66708.153107248087</c:v>
                </c:pt>
                <c:pt idx="29">
                  <c:v>65068.384857672179</c:v>
                </c:pt>
                <c:pt idx="30">
                  <c:v>63403.769923272201</c:v>
                </c:pt>
                <c:pt idx="31">
                  <c:v>61714.308304048158</c:v>
                </c:pt>
                <c:pt idx="32">
                  <c:v>60000</c:v>
                </c:pt>
                <c:pt idx="33">
                  <c:v>46261.75312520421</c:v>
                </c:pt>
                <c:pt idx="34">
                  <c:v>31108.503513334377</c:v>
                </c:pt>
                <c:pt idx="35">
                  <c:v>8703.0553287261428</c:v>
                </c:pt>
                <c:pt idx="36">
                  <c:v>-43654.522304885177</c:v>
                </c:pt>
                <c:pt idx="37">
                  <c:v>-106074.3416243562</c:v>
                </c:pt>
              </c:numCache>
            </c:numRef>
          </c:yVal>
          <c:smooth val="0"/>
          <c:extLst>
            <c:ext xmlns:c16="http://schemas.microsoft.com/office/drawing/2014/chart" uri="{C3380CC4-5D6E-409C-BE32-E72D297353CC}">
              <c16:uniqueId val="{00000002-9424-4D7D-9771-0A53775EF07E}"/>
            </c:ext>
          </c:extLst>
        </c:ser>
        <c:ser>
          <c:idx val="3"/>
          <c:order val="4"/>
          <c:tx>
            <c:v>Beam Column Analysis</c:v>
          </c:tx>
          <c:spPr>
            <a:ln w="9525">
              <a:solidFill>
                <a:schemeClr val="tx1"/>
              </a:solidFill>
            </a:ln>
          </c:spPr>
          <c:marker>
            <c:symbol val="none"/>
          </c:marker>
          <c:dPt>
            <c:idx val="1"/>
            <c:bubble3D val="0"/>
            <c:spPr>
              <a:ln w="9525">
                <a:solidFill>
                  <a:srgbClr val="FF0000"/>
                </a:solidFill>
              </a:ln>
            </c:spPr>
            <c:extLst>
              <c:ext xmlns:c16="http://schemas.microsoft.com/office/drawing/2014/chart" uri="{C3380CC4-5D6E-409C-BE32-E72D297353CC}">
                <c16:uniqueId val="{00000007-9424-4D7D-9771-0A53775EF07E}"/>
              </c:ext>
            </c:extLst>
          </c:dPt>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0-7CDD-43E3-AAD6-FAA839FB1BD7}"/>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Sheet1!$AH$31:$AH$32</c:f>
              <c:numCache>
                <c:formatCode>0.0</c:formatCode>
                <c:ptCount val="2"/>
                <c:pt idx="0">
                  <c:v>185.67534675228183</c:v>
                </c:pt>
                <c:pt idx="1">
                  <c:v>185.67534675228183</c:v>
                </c:pt>
              </c:numCache>
            </c:numRef>
          </c:xVal>
          <c:yVal>
            <c:numRef>
              <c:f>Sheet1!$AI$31:$AI$32</c:f>
              <c:numCache>
                <c:formatCode>0.0</c:formatCode>
                <c:ptCount val="2"/>
                <c:pt idx="0" formatCode="General">
                  <c:v>0</c:v>
                </c:pt>
                <c:pt idx="1">
                  <c:v>8302.1247707315779</c:v>
                </c:pt>
              </c:numCache>
            </c:numRef>
          </c:yVal>
          <c:smooth val="0"/>
          <c:extLst>
            <c:ext xmlns:c16="http://schemas.microsoft.com/office/drawing/2014/chart" uri="{C3380CC4-5D6E-409C-BE32-E72D297353CC}">
              <c16:uniqueId val="{00000004-9424-4D7D-9771-0A53775EF07E}"/>
            </c:ext>
          </c:extLst>
        </c:ser>
        <c:ser>
          <c:idx val="5"/>
          <c:order val="6"/>
          <c:tx>
            <c:v>Upper Strength Limit</c:v>
          </c:tx>
          <c:spPr>
            <a:ln w="25400">
              <a:solidFill>
                <a:srgbClr val="FF0000"/>
              </a:solidFill>
              <a:prstDash val="dash"/>
            </a:ln>
          </c:spPr>
          <c:marker>
            <c:symbol val="none"/>
          </c:marker>
          <c:xVal>
            <c:numRef>
              <c:f>Sheet1!$AH$46:$AH$47</c:f>
              <c:numCache>
                <c:formatCode>0.0</c:formatCode>
                <c:ptCount val="2"/>
                <c:pt idx="0" formatCode="General">
                  <c:v>0</c:v>
                </c:pt>
                <c:pt idx="1">
                  <c:v>185.67534675228183</c:v>
                </c:pt>
              </c:numCache>
            </c:numRef>
          </c:xVal>
          <c:yVal>
            <c:numRef>
              <c:f>Sheet1!$AI$46:$AI$47</c:f>
              <c:numCache>
                <c:formatCode>General</c:formatCode>
                <c:ptCount val="2"/>
                <c:pt idx="0">
                  <c:v>120000</c:v>
                </c:pt>
                <c:pt idx="1">
                  <c:v>120000</c:v>
                </c:pt>
              </c:numCache>
            </c:numRef>
          </c:yVal>
          <c:smooth val="0"/>
          <c:extLst>
            <c:ext xmlns:c16="http://schemas.microsoft.com/office/drawing/2014/chart" uri="{C3380CC4-5D6E-409C-BE32-E72D297353CC}">
              <c16:uniqueId val="{00000000-6EC2-4B10-A79D-1969E91852BD}"/>
            </c:ext>
          </c:extLst>
        </c:ser>
        <c:ser>
          <c:idx val="7"/>
          <c:order val="7"/>
          <c:tx>
            <c:v>Beam Column Strength</c:v>
          </c:tx>
          <c:spPr>
            <a:ln w="19050">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6F29-4F2A-97A5-45E4B6BD3033}"/>
                </c:ext>
              </c:extLst>
            </c:dLbl>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Sheet1!$AH$50:$AH$51</c:f>
              <c:numCache>
                <c:formatCode>General</c:formatCode>
                <c:ptCount val="2"/>
                <c:pt idx="0">
                  <c:v>0</c:v>
                </c:pt>
                <c:pt idx="1">
                  <c:v>185.67534675228183</c:v>
                </c:pt>
              </c:numCache>
            </c:numRef>
          </c:xVal>
          <c:yVal>
            <c:numRef>
              <c:f>Sheet1!$AI$50:$AI$51</c:f>
              <c:numCache>
                <c:formatCode>0</c:formatCode>
                <c:ptCount val="2"/>
                <c:pt idx="0">
                  <c:v>8302.1247707315779</c:v>
                </c:pt>
                <c:pt idx="1">
                  <c:v>8302.1247707315779</c:v>
                </c:pt>
              </c:numCache>
            </c:numRef>
          </c:yVal>
          <c:smooth val="0"/>
          <c:extLst>
            <c:ext xmlns:c16="http://schemas.microsoft.com/office/drawing/2014/chart" uri="{C3380CC4-5D6E-409C-BE32-E72D297353CC}">
              <c16:uniqueId val="{00000000-6F29-4F2A-97A5-45E4B6BD3033}"/>
            </c:ext>
          </c:extLst>
        </c:ser>
        <c:dLbls>
          <c:showLegendKey val="0"/>
          <c:showVal val="0"/>
          <c:showCatName val="0"/>
          <c:showSerName val="0"/>
          <c:showPercent val="0"/>
          <c:showBubbleSize val="0"/>
        </c:dLbls>
        <c:axId val="1059497832"/>
        <c:axId val="1059494696"/>
        <c:extLst>
          <c:ext xmlns:c15="http://schemas.microsoft.com/office/drawing/2012/chart" uri="{02D57815-91ED-43cb-92C2-25804820EDAC}">
            <c15:filteredScatterSeries>
              <c15:ser>
                <c:idx val="1"/>
                <c:order val="3"/>
                <c:spPr>
                  <a:ln w="19050">
                    <a:solidFill>
                      <a:schemeClr val="tx1"/>
                    </a:solidFill>
                  </a:ln>
                </c:spPr>
                <c:marker>
                  <c:symbol val="none"/>
                </c:marker>
                <c:dLbls>
                  <c:dLbl>
                    <c:idx val="0"/>
                    <c:delete val="1"/>
                    <c:extLst>
                      <c:ext uri="{CE6537A1-D6FC-4f65-9D91-7224C49458BB}"/>
                      <c:ext xmlns:c16="http://schemas.microsoft.com/office/drawing/2014/chart" uri="{C3380CC4-5D6E-409C-BE32-E72D297353CC}">
                        <c16:uniqueId val="{00000006-9424-4D7D-9771-0A53775EF07E}"/>
                      </c:ext>
                    </c:extLst>
                  </c:dLbl>
                  <c:dLbl>
                    <c:idx val="1"/>
                    <c:delete val="1"/>
                    <c:extLst>
                      <c:ex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uri="{CE6537A1-D6FC-4f65-9D91-7224C49458BB}">
                      <c15:showLeaderLines val="0"/>
                    </c:ext>
                  </c:extLst>
                </c:dLbls>
                <c:xVal>
                  <c:numRef>
                    <c:extLst>
                      <c:ext uri="{02D57815-91ED-43cb-92C2-25804820EDAC}">
                        <c15:formulaRef>
                          <c15:sqref>Sheet1!$AH$27:$AH$29</c15:sqref>
                        </c15:formulaRef>
                      </c:ext>
                    </c:extLst>
                    <c:numCache>
                      <c:formatCode>0.0</c:formatCode>
                      <c:ptCount val="3"/>
                      <c:pt idx="0">
                        <c:v>185.67534675228183</c:v>
                      </c:pt>
                      <c:pt idx="1">
                        <c:v>185.67534675228183</c:v>
                      </c:pt>
                      <c:pt idx="2" formatCode="General">
                        <c:v>0</c:v>
                      </c:pt>
                    </c:numCache>
                  </c:numRef>
                </c:xVal>
                <c:yVal>
                  <c:numRef>
                    <c:extLst>
                      <c:ext uri="{02D57815-91ED-43cb-92C2-25804820EDAC}">
                        <c15:formulaRef>
                          <c15:sqref>Sheet1!$AI$27:$AI$29</c15:sqref>
                        </c15:formulaRef>
                      </c:ext>
                    </c:extLst>
                    <c:numCache>
                      <c:formatCode>General</c:formatCode>
                      <c:ptCount val="3"/>
                      <c:pt idx="0">
                        <c:v>0</c:v>
                      </c:pt>
                      <c:pt idx="1">
                        <c:v>8302.1247707315779</c:v>
                      </c:pt>
                      <c:pt idx="2">
                        <c:v>8302.1247707315779</c:v>
                      </c:pt>
                    </c:numCache>
                  </c:numRef>
                </c:yVal>
                <c:smooth val="0"/>
                <c:extLst>
                  <c:ext xmlns:c16="http://schemas.microsoft.com/office/drawing/2014/chart" uri="{C3380CC4-5D6E-409C-BE32-E72D297353CC}">
                    <c16:uniqueId val="{00000003-9424-4D7D-9771-0A53775EF07E}"/>
                  </c:ext>
                </c:extLst>
              </c15:ser>
            </c15:filteredScatterSeries>
            <c15:filteredScatterSeries>
              <c15:ser>
                <c:idx val="6"/>
                <c:order val="5"/>
                <c:spPr>
                  <a:ln w="9525">
                    <a:solidFill>
                      <a:schemeClr val="tx1"/>
                    </a:solidFill>
                  </a:ln>
                </c:spPr>
                <c:marker>
                  <c:symbol val="none"/>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D-9424-4D7D-9771-0A53775EF07E}"/>
                      </c:ext>
                    </c:extLst>
                  </c:dLbl>
                  <c:numFmt formatCode="#,##0" sourceLinked="0"/>
                  <c:spPr>
                    <a:noFill/>
                    <a:ln>
                      <a:noFill/>
                    </a:ln>
                    <a:effectLst/>
                  </c:spPr>
                  <c:txPr>
                    <a:bodyPr wrap="square" lIns="38100" tIns="19050" rIns="38100" bIns="19050" anchor="ctr">
                      <a:spAutoFit/>
                    </a:bodyPr>
                    <a:lstStyle/>
                    <a:p>
                      <a:pPr>
                        <a:defRPr b="0">
                          <a:solidFill>
                            <a:schemeClr val="tx1"/>
                          </a:solidFill>
                        </a:defRPr>
                      </a:pPr>
                      <a:endParaRPr lang="en-US"/>
                    </a:p>
                  </c:txPr>
                  <c:dLblPos val="l"/>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xVal>
                  <c:numRef>
                    <c:extLst xmlns:c15="http://schemas.microsoft.com/office/drawing/2012/chart">
                      <c:ext xmlns:c15="http://schemas.microsoft.com/office/drawing/2012/chart" uri="{02D57815-91ED-43cb-92C2-25804820EDAC}">
                        <c15:formulaRef>
                          <c15:sqref>Sheet1!$AH$43:$AH$44</c15:sqref>
                        </c15:formulaRef>
                      </c:ext>
                    </c:extLst>
                    <c:numCache>
                      <c:formatCode>General</c:formatCode>
                      <c:ptCount val="2"/>
                      <c:pt idx="0" formatCode="0.0">
                        <c:v>185.67534675228183</c:v>
                      </c:pt>
                      <c:pt idx="1">
                        <c:v>0</c:v>
                      </c:pt>
                    </c:numCache>
                  </c:numRef>
                </c:xVal>
                <c:yVal>
                  <c:numRef>
                    <c:extLst xmlns:c15="http://schemas.microsoft.com/office/drawing/2012/chart">
                      <c:ext xmlns:c15="http://schemas.microsoft.com/office/drawing/2012/chart" uri="{02D57815-91ED-43cb-92C2-25804820EDAC}">
                        <c15:formulaRef>
                          <c15:sqref>Sheet1!$AI$43:$AI$44</c15:sqref>
                        </c15:formulaRef>
                      </c:ext>
                    </c:extLst>
                    <c:numCache>
                      <c:formatCode>General</c:formatCode>
                      <c:ptCount val="2"/>
                      <c:pt idx="0">
                        <c:v>8302.1247707315779</c:v>
                      </c:pt>
                      <c:pt idx="1">
                        <c:v>8302.1247707315779</c:v>
                      </c:pt>
                    </c:numCache>
                  </c:numRef>
                </c:yVal>
                <c:smooth val="0"/>
                <c:extLst xmlns:c15="http://schemas.microsoft.com/office/drawing/2012/chart">
                  <c:ext xmlns:c16="http://schemas.microsoft.com/office/drawing/2014/chart" uri="{C3380CC4-5D6E-409C-BE32-E72D297353CC}">
                    <c16:uniqueId val="{0000000C-9424-4D7D-9771-0A53775EF07E}"/>
                  </c:ext>
                </c:extLst>
              </c15:ser>
            </c15:filteredScatterSeries>
          </c:ext>
        </c:extLst>
      </c:scatterChart>
      <c:valAx>
        <c:axId val="105949783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4156456784646275"/>
              <c:y val="0.9483420643312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1059494696"/>
        <c:crosses val="autoZero"/>
        <c:crossBetween val="midCat"/>
        <c:majorUnit val="20"/>
      </c:valAx>
      <c:valAx>
        <c:axId val="105949469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1059497832"/>
        <c:crosses val="autoZero"/>
        <c:crossBetween val="midCat"/>
      </c:valAx>
      <c:spPr>
        <a:noFill/>
        <a:ln w="12700">
          <a:solidFill>
            <a:schemeClr val="bg1">
              <a:lumMod val="50000"/>
            </a:schemeClr>
          </a:solidFill>
        </a:ln>
      </c:spPr>
    </c:plotArea>
    <c:legend>
      <c:legendPos val="r"/>
      <c:legendEntry>
        <c:idx val="3"/>
        <c:delete val="1"/>
      </c:legendEntry>
      <c:layout>
        <c:manualLayout>
          <c:xMode val="edge"/>
          <c:yMode val="edge"/>
          <c:x val="0.30220048843077413"/>
          <c:y val="2.5750601345463905E-2"/>
          <c:w val="0.66203951722547216"/>
          <c:h val="0.2316389681796097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21</xdr:row>
      <xdr:rowOff>160019</xdr:rowOff>
    </xdr:from>
    <xdr:to>
      <xdr:col>6</xdr:col>
      <xdr:colOff>609599</xdr:colOff>
      <xdr:row>50</xdr:row>
      <xdr:rowOff>10884</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163606</xdr:colOff>
      <xdr:row>52</xdr:row>
      <xdr:rowOff>112059</xdr:rowOff>
    </xdr:from>
    <xdr:to>
      <xdr:col>3</xdr:col>
      <xdr:colOff>571134</xdr:colOff>
      <xdr:row>56</xdr:row>
      <xdr:rowOff>1345</xdr:rowOff>
    </xdr:to>
    <xdr:pic>
      <xdr:nvPicPr>
        <xdr:cNvPr id="12" name="Picture 11"/>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606" y="9265024"/>
          <a:ext cx="2290116" cy="60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77950"/>
          <a:ext cx="2535971" cy="642298"/>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68"/>
    <col min="3" max="3" width="10.6640625" style="68" bestFit="1" customWidth="1"/>
    <col min="4" max="11" width="9.109375" style="68"/>
    <col min="12" max="12" width="5.44140625" style="57" customWidth="1"/>
    <col min="13" max="17" width="5.33203125" style="84" customWidth="1"/>
    <col min="18" max="19" width="5.33203125" style="85" customWidth="1"/>
    <col min="20" max="25" width="9.109375" style="87"/>
    <col min="26" max="16384" width="9.109375" style="68"/>
  </cols>
  <sheetData>
    <row r="1" spans="1:25" s="57" customFormat="1" ht="13.8">
      <c r="A1" s="53"/>
      <c r="B1" s="54" t="s">
        <v>6</v>
      </c>
      <c r="C1" s="55" t="s">
        <v>3</v>
      </c>
      <c r="D1" s="53"/>
      <c r="E1" s="53"/>
      <c r="F1" s="54" t="s">
        <v>32</v>
      </c>
      <c r="G1" s="56"/>
      <c r="H1" s="53"/>
      <c r="I1" s="53"/>
      <c r="J1" s="53"/>
      <c r="K1" s="53"/>
      <c r="M1" s="80"/>
      <c r="N1" s="80"/>
      <c r="O1" s="80"/>
      <c r="P1" s="80"/>
      <c r="Q1" s="80"/>
      <c r="R1" s="80"/>
      <c r="S1" s="80"/>
      <c r="T1" s="81"/>
      <c r="U1" s="81"/>
      <c r="V1" s="81"/>
      <c r="W1" s="82"/>
      <c r="X1" s="83"/>
      <c r="Y1" s="81"/>
    </row>
    <row r="2" spans="1:25" s="57" customFormat="1" ht="13.8">
      <c r="A2" s="53"/>
      <c r="B2" s="54" t="s">
        <v>7</v>
      </c>
      <c r="C2" s="55" t="s">
        <v>2</v>
      </c>
      <c r="D2" s="53"/>
      <c r="E2" s="53"/>
      <c r="F2" s="54" t="s">
        <v>8</v>
      </c>
      <c r="G2" s="55"/>
      <c r="H2" s="53"/>
      <c r="I2" s="53"/>
      <c r="J2" s="53"/>
      <c r="K2" s="53"/>
      <c r="M2" s="80"/>
      <c r="N2" s="80"/>
      <c r="O2" s="80"/>
      <c r="P2" s="80"/>
      <c r="Q2" s="80"/>
      <c r="R2" s="80"/>
      <c r="S2" s="80"/>
      <c r="T2" s="81"/>
      <c r="U2" s="81"/>
      <c r="V2" s="81"/>
      <c r="W2" s="82"/>
      <c r="X2" s="83"/>
      <c r="Y2" s="81"/>
    </row>
    <row r="3" spans="1:25" s="57" customFormat="1" ht="13.8">
      <c r="A3" s="53"/>
      <c r="B3" s="54" t="s">
        <v>0</v>
      </c>
      <c r="C3" s="60"/>
      <c r="D3" s="53"/>
      <c r="E3" s="53"/>
      <c r="F3" s="54" t="s">
        <v>4</v>
      </c>
      <c r="G3" s="55"/>
      <c r="H3" s="53"/>
      <c r="I3" s="53"/>
      <c r="J3" s="53"/>
      <c r="K3" s="53"/>
      <c r="M3" s="80"/>
      <c r="N3" s="80"/>
      <c r="O3" s="80"/>
      <c r="P3" s="80"/>
      <c r="Q3" s="80"/>
      <c r="R3" s="80"/>
      <c r="S3" s="80"/>
      <c r="T3" s="81"/>
      <c r="U3" s="81"/>
      <c r="V3" s="81"/>
      <c r="W3" s="82"/>
      <c r="X3" s="83"/>
      <c r="Y3" s="81"/>
    </row>
    <row r="4" spans="1:25" s="57" customFormat="1" ht="13.8">
      <c r="A4" s="53"/>
      <c r="B4" s="54" t="s">
        <v>33</v>
      </c>
      <c r="C4" s="56"/>
      <c r="D4" s="53"/>
      <c r="E4" s="53"/>
      <c r="F4" s="54" t="s">
        <v>34</v>
      </c>
      <c r="G4" s="55" t="s">
        <v>35</v>
      </c>
      <c r="H4" s="53"/>
      <c r="I4" s="53"/>
      <c r="J4" s="53"/>
      <c r="K4" s="53"/>
      <c r="M4" s="80"/>
      <c r="N4" s="80"/>
      <c r="O4" s="80"/>
      <c r="P4" s="80"/>
      <c r="Q4" s="84"/>
      <c r="R4" s="85"/>
      <c r="S4" s="85"/>
      <c r="T4" s="81"/>
      <c r="U4" s="81"/>
      <c r="V4" s="81"/>
      <c r="W4" s="82"/>
      <c r="X4" s="83"/>
      <c r="Y4" s="81"/>
    </row>
    <row r="5" spans="1:25" s="57" customFormat="1" ht="13.8">
      <c r="A5" s="53"/>
      <c r="B5" s="54" t="s">
        <v>36</v>
      </c>
      <c r="C5" s="56"/>
      <c r="D5" s="53"/>
      <c r="E5" s="54"/>
      <c r="F5" s="53"/>
      <c r="G5" s="53"/>
      <c r="H5" s="53"/>
      <c r="I5" s="53"/>
      <c r="J5" s="53"/>
      <c r="K5" s="53"/>
      <c r="M5" s="80"/>
      <c r="N5" s="80"/>
      <c r="O5" s="80"/>
      <c r="P5" s="80"/>
      <c r="Q5" s="84"/>
      <c r="R5" s="85"/>
      <c r="S5" s="85"/>
      <c r="T5" s="81"/>
      <c r="U5" s="81"/>
      <c r="V5" s="81"/>
      <c r="W5" s="82"/>
      <c r="X5" s="83"/>
      <c r="Y5" s="81"/>
    </row>
    <row r="6" spans="1:25" s="57" customFormat="1" ht="13.8">
      <c r="A6" s="53"/>
      <c r="B6" s="53" t="s">
        <v>9</v>
      </c>
      <c r="C6" s="61"/>
      <c r="D6" s="53"/>
      <c r="E6" s="53"/>
      <c r="F6" s="53"/>
      <c r="G6" s="53"/>
      <c r="H6" s="53"/>
      <c r="I6" s="53"/>
      <c r="J6" s="53"/>
      <c r="K6" s="53"/>
      <c r="M6" s="80"/>
      <c r="N6" s="80"/>
      <c r="O6" s="80"/>
      <c r="P6" s="80"/>
      <c r="Q6" s="84"/>
      <c r="R6" s="85"/>
      <c r="S6" s="85"/>
      <c r="T6" s="81"/>
      <c r="U6" s="81"/>
      <c r="V6" s="81"/>
      <c r="W6" s="82"/>
      <c r="X6" s="83"/>
      <c r="Y6" s="81"/>
    </row>
    <row r="7" spans="1:25" s="57" customFormat="1" ht="13.8">
      <c r="A7" s="53"/>
      <c r="B7" s="53"/>
      <c r="C7" s="53"/>
      <c r="D7" s="53"/>
      <c r="E7" s="53"/>
      <c r="F7" s="53"/>
      <c r="G7" s="53"/>
      <c r="H7" s="53"/>
      <c r="I7" s="53"/>
      <c r="J7" s="53"/>
      <c r="K7" s="53"/>
      <c r="M7" s="80"/>
      <c r="N7" s="80"/>
      <c r="O7" s="80"/>
      <c r="P7" s="80"/>
      <c r="Q7" s="84"/>
      <c r="R7" s="85"/>
      <c r="S7" s="85"/>
      <c r="T7" s="81"/>
      <c r="U7" s="81"/>
      <c r="V7" s="81"/>
      <c r="W7" s="82"/>
      <c r="X7" s="83"/>
      <c r="Y7" s="81"/>
    </row>
    <row r="8" spans="1:25" s="57" customFormat="1" ht="13.8">
      <c r="A8" s="62"/>
      <c r="E8" s="58"/>
      <c r="F8" s="59"/>
      <c r="H8" s="63"/>
      <c r="I8" s="58"/>
      <c r="J8" s="64"/>
      <c r="K8" s="65"/>
      <c r="L8" s="66"/>
      <c r="M8" s="80"/>
      <c r="N8" s="80"/>
      <c r="O8" s="80"/>
      <c r="P8" s="80"/>
      <c r="Q8" s="84"/>
      <c r="R8" s="85"/>
      <c r="S8" s="85"/>
      <c r="T8" s="81"/>
      <c r="U8" s="81"/>
      <c r="V8" s="81"/>
      <c r="W8" s="81"/>
      <c r="X8" s="81"/>
      <c r="Y8" s="81"/>
    </row>
    <row r="9" spans="1:25" s="57" customFormat="1" ht="13.8">
      <c r="E9" s="58"/>
      <c r="F9" s="63"/>
      <c r="H9" s="63"/>
      <c r="I9" s="58"/>
      <c r="J9" s="65"/>
      <c r="K9" s="65"/>
      <c r="L9" s="66"/>
      <c r="M9" s="80"/>
      <c r="N9" s="80"/>
      <c r="O9" s="80"/>
      <c r="P9" s="80"/>
      <c r="Q9" s="84"/>
      <c r="R9" s="85"/>
      <c r="S9" s="85"/>
      <c r="T9" s="81"/>
      <c r="U9" s="81"/>
      <c r="V9" s="81"/>
      <c r="W9" s="81"/>
      <c r="X9" s="81"/>
      <c r="Y9" s="81"/>
    </row>
    <row r="10" spans="1:25" s="57" customFormat="1" ht="13.8">
      <c r="E10" s="58"/>
      <c r="F10" s="63"/>
      <c r="H10" s="63"/>
      <c r="I10" s="58"/>
      <c r="J10" s="59"/>
      <c r="K10" s="63"/>
      <c r="L10" s="66"/>
      <c r="M10" s="80"/>
      <c r="N10" s="80"/>
      <c r="O10" s="80"/>
      <c r="P10" s="80"/>
      <c r="Q10" s="84"/>
      <c r="R10" s="85"/>
      <c r="S10" s="85"/>
      <c r="T10" s="81"/>
      <c r="U10" s="81"/>
      <c r="V10" s="81"/>
      <c r="W10" s="81"/>
      <c r="X10" s="81"/>
      <c r="Y10" s="81"/>
    </row>
    <row r="11" spans="1:25" s="57" customFormat="1" ht="13.8">
      <c r="E11" s="58"/>
      <c r="F11" s="63"/>
      <c r="I11" s="67"/>
      <c r="J11" s="59"/>
      <c r="M11" s="80"/>
      <c r="N11" s="80"/>
      <c r="O11" s="80"/>
      <c r="P11" s="80"/>
      <c r="Q11" s="80"/>
      <c r="R11" s="80"/>
      <c r="S11" s="80"/>
      <c r="T11" s="81"/>
      <c r="U11" s="81"/>
      <c r="V11" s="81"/>
      <c r="W11" s="81"/>
      <c r="X11" s="81"/>
      <c r="Y11" s="81"/>
    </row>
    <row r="12" spans="1:25">
      <c r="C12" s="69" t="str">
        <f>G4</f>
        <v>IMPORTANT INFORMATION</v>
      </c>
      <c r="M12" s="80"/>
      <c r="N12" s="80"/>
      <c r="O12" s="80"/>
      <c r="P12" s="80"/>
      <c r="Q12" s="86"/>
      <c r="R12" s="86"/>
      <c r="S12" s="86"/>
    </row>
    <row r="13" spans="1:25" s="57" customFormat="1" ht="13.8">
      <c r="M13" s="80"/>
      <c r="N13" s="80"/>
      <c r="O13" s="80"/>
      <c r="P13" s="80"/>
      <c r="Q13" s="80"/>
      <c r="R13" s="80"/>
      <c r="S13" s="80"/>
      <c r="T13" s="81"/>
      <c r="U13" s="81"/>
      <c r="V13" s="81"/>
      <c r="W13" s="81"/>
      <c r="X13" s="81"/>
      <c r="Y13" s="81"/>
    </row>
    <row r="14" spans="1:25" s="57" customFormat="1" ht="13.8">
      <c r="B14" s="70" t="s">
        <v>37</v>
      </c>
      <c r="M14" s="80"/>
      <c r="N14" s="80"/>
      <c r="O14" s="80"/>
      <c r="P14" s="80"/>
      <c r="Q14" s="80"/>
      <c r="R14" s="80"/>
      <c r="S14" s="80"/>
      <c r="T14" s="81"/>
      <c r="U14" s="81"/>
      <c r="V14" s="81"/>
      <c r="W14" s="81"/>
      <c r="X14" s="81"/>
      <c r="Y14" s="81"/>
    </row>
    <row r="15" spans="1:25" s="57" customFormat="1" ht="13.8">
      <c r="A15" s="71"/>
      <c r="K15" s="71"/>
      <c r="M15" s="84"/>
      <c r="N15" s="84"/>
      <c r="O15" s="84"/>
      <c r="P15" s="84"/>
      <c r="Q15" s="84"/>
      <c r="R15" s="85"/>
      <c r="S15" s="85"/>
      <c r="T15" s="81"/>
      <c r="U15" s="81"/>
      <c r="V15" s="81"/>
      <c r="W15" s="81"/>
      <c r="X15" s="81"/>
      <c r="Y15" s="81"/>
    </row>
    <row r="16" spans="1:25" s="57" customFormat="1" ht="12.75" customHeight="1">
      <c r="B16" s="131" t="s">
        <v>42</v>
      </c>
      <c r="C16" s="131"/>
      <c r="D16" s="131"/>
      <c r="E16" s="131"/>
      <c r="F16" s="131"/>
      <c r="G16" s="131"/>
      <c r="H16" s="131"/>
      <c r="I16" s="131"/>
      <c r="J16" s="131"/>
      <c r="M16" s="84"/>
      <c r="N16" s="84"/>
      <c r="O16" s="84"/>
      <c r="P16" s="84"/>
      <c r="Q16" s="84"/>
      <c r="R16" s="85"/>
      <c r="S16" s="85"/>
      <c r="T16" s="81"/>
      <c r="U16" s="81"/>
      <c r="V16" s="81"/>
      <c r="W16" s="81"/>
      <c r="X16" s="81"/>
      <c r="Y16" s="81"/>
    </row>
    <row r="17" spans="1:25" s="57" customFormat="1" ht="13.8">
      <c r="B17" s="131"/>
      <c r="C17" s="131"/>
      <c r="D17" s="131"/>
      <c r="E17" s="131"/>
      <c r="F17" s="131"/>
      <c r="G17" s="131"/>
      <c r="H17" s="131"/>
      <c r="I17" s="131"/>
      <c r="J17" s="131"/>
      <c r="M17" s="84"/>
      <c r="N17" s="84"/>
      <c r="O17" s="84"/>
      <c r="P17" s="84"/>
      <c r="Q17" s="84"/>
      <c r="R17" s="85"/>
      <c r="S17" s="85"/>
      <c r="T17" s="81"/>
      <c r="U17" s="81"/>
      <c r="V17" s="81"/>
      <c r="W17" s="81"/>
      <c r="X17" s="81"/>
      <c r="Y17" s="81"/>
    </row>
    <row r="18" spans="1:25" s="57" customFormat="1" ht="13.8">
      <c r="B18" s="131"/>
      <c r="C18" s="131"/>
      <c r="D18" s="131"/>
      <c r="E18" s="131"/>
      <c r="F18" s="131"/>
      <c r="G18" s="131"/>
      <c r="H18" s="131"/>
      <c r="I18" s="131"/>
      <c r="J18" s="131"/>
      <c r="M18" s="84"/>
      <c r="N18" s="84"/>
      <c r="O18" s="84"/>
      <c r="P18" s="84"/>
      <c r="Q18" s="84"/>
      <c r="R18" s="85"/>
      <c r="S18" s="85"/>
      <c r="T18" s="81"/>
      <c r="U18" s="81"/>
      <c r="V18" s="81"/>
      <c r="W18" s="81"/>
      <c r="X18" s="81"/>
      <c r="Y18" s="81"/>
    </row>
    <row r="19" spans="1:25" s="57" customFormat="1" ht="13.8">
      <c r="B19" s="131"/>
      <c r="C19" s="131"/>
      <c r="D19" s="131"/>
      <c r="E19" s="131"/>
      <c r="F19" s="131"/>
      <c r="G19" s="131"/>
      <c r="H19" s="131"/>
      <c r="I19" s="131"/>
      <c r="J19" s="131"/>
      <c r="M19" s="84"/>
      <c r="N19" s="84"/>
      <c r="O19" s="84"/>
      <c r="P19" s="84"/>
      <c r="Q19" s="84"/>
      <c r="R19" s="85"/>
      <c r="S19" s="85"/>
      <c r="T19" s="81"/>
      <c r="U19" s="81"/>
      <c r="V19" s="81"/>
      <c r="W19" s="81"/>
      <c r="X19" s="81"/>
      <c r="Y19" s="81"/>
    </row>
    <row r="20" spans="1:25" s="57" customFormat="1" ht="12.75" customHeight="1">
      <c r="A20" s="71"/>
      <c r="B20" s="72" t="s">
        <v>43</v>
      </c>
      <c r="C20" s="71"/>
      <c r="D20" s="71"/>
      <c r="E20" s="71"/>
      <c r="F20" s="71"/>
      <c r="G20" s="71"/>
      <c r="H20" s="71"/>
      <c r="I20" s="71"/>
      <c r="J20" s="71"/>
      <c r="K20" s="71"/>
      <c r="M20" s="84"/>
      <c r="N20" s="84"/>
      <c r="O20" s="84"/>
      <c r="P20" s="84"/>
      <c r="Q20" s="84"/>
      <c r="R20" s="85"/>
      <c r="S20" s="85"/>
      <c r="T20" s="81"/>
      <c r="U20" s="81"/>
      <c r="V20" s="81"/>
      <c r="W20" s="81"/>
      <c r="X20" s="81"/>
      <c r="Y20" s="81"/>
    </row>
    <row r="21" spans="1:25" s="57" customFormat="1" ht="13.8">
      <c r="A21" s="71"/>
      <c r="B21" s="72"/>
      <c r="C21" s="71"/>
      <c r="D21" s="71"/>
      <c r="E21" s="71"/>
      <c r="F21" s="71"/>
      <c r="G21" s="71"/>
      <c r="H21" s="71"/>
      <c r="I21" s="71"/>
      <c r="J21" s="71"/>
      <c r="K21" s="71"/>
      <c r="M21" s="84"/>
      <c r="N21" s="84"/>
      <c r="O21" s="84"/>
      <c r="P21" s="84"/>
      <c r="Q21" s="84"/>
      <c r="R21" s="85"/>
      <c r="S21" s="85"/>
      <c r="T21" s="81"/>
      <c r="U21" s="81"/>
      <c r="V21" s="81"/>
      <c r="W21" s="81"/>
      <c r="X21" s="81"/>
      <c r="Y21" s="81"/>
    </row>
    <row r="22" spans="1:25" s="57" customFormat="1" ht="13.8">
      <c r="A22" s="71"/>
      <c r="B22" s="131" t="s">
        <v>44</v>
      </c>
      <c r="C22" s="131"/>
      <c r="D22" s="131"/>
      <c r="E22" s="131"/>
      <c r="F22" s="131"/>
      <c r="G22" s="131"/>
      <c r="H22" s="131"/>
      <c r="I22" s="131"/>
      <c r="J22" s="131"/>
      <c r="K22" s="71"/>
      <c r="M22" s="84"/>
      <c r="N22" s="84"/>
      <c r="O22" s="84"/>
      <c r="P22" s="84"/>
      <c r="Q22" s="84"/>
      <c r="R22" s="85"/>
      <c r="S22" s="85"/>
      <c r="T22" s="81"/>
      <c r="U22" s="81"/>
      <c r="V22" s="81"/>
      <c r="W22" s="81"/>
      <c r="X22" s="81"/>
      <c r="Y22" s="81"/>
    </row>
    <row r="23" spans="1:25" s="57" customFormat="1" ht="13.8">
      <c r="A23" s="71"/>
      <c r="B23" s="131"/>
      <c r="C23" s="131"/>
      <c r="D23" s="131"/>
      <c r="E23" s="131"/>
      <c r="F23" s="131"/>
      <c r="G23" s="131"/>
      <c r="H23" s="131"/>
      <c r="I23" s="131"/>
      <c r="J23" s="131"/>
      <c r="K23" s="71"/>
      <c r="M23" s="84"/>
      <c r="N23" s="84"/>
      <c r="O23" s="84"/>
      <c r="P23" s="84"/>
      <c r="Q23" s="84"/>
      <c r="R23" s="85"/>
      <c r="S23" s="88"/>
      <c r="T23" s="81"/>
      <c r="U23" s="81"/>
      <c r="V23" s="81"/>
      <c r="W23" s="81"/>
      <c r="X23" s="81"/>
      <c r="Y23" s="81"/>
    </row>
    <row r="24" spans="1:25" s="57" customFormat="1" ht="13.8">
      <c r="A24" s="71"/>
      <c r="B24" s="131"/>
      <c r="C24" s="131"/>
      <c r="D24" s="131"/>
      <c r="E24" s="131"/>
      <c r="F24" s="131"/>
      <c r="G24" s="131"/>
      <c r="H24" s="131"/>
      <c r="I24" s="131"/>
      <c r="J24" s="131"/>
      <c r="K24" s="71"/>
      <c r="M24" s="84"/>
      <c r="N24" s="84"/>
      <c r="O24" s="84"/>
      <c r="P24" s="84"/>
      <c r="Q24" s="84"/>
      <c r="R24" s="85"/>
      <c r="S24" s="88"/>
      <c r="T24" s="81"/>
      <c r="U24" s="81"/>
      <c r="V24" s="81"/>
      <c r="W24" s="81"/>
      <c r="X24" s="81"/>
      <c r="Y24" s="81"/>
    </row>
    <row r="25" spans="1:25" s="57" customFormat="1" ht="12.75" customHeight="1">
      <c r="A25" s="71"/>
      <c r="B25" s="123"/>
      <c r="C25" s="123"/>
      <c r="D25" s="123"/>
      <c r="E25" s="123"/>
      <c r="F25" s="124" t="s">
        <v>95</v>
      </c>
      <c r="G25" s="123"/>
      <c r="H25" s="123"/>
      <c r="I25" s="123"/>
      <c r="J25" s="123"/>
      <c r="K25" s="71"/>
      <c r="M25" s="84"/>
      <c r="N25" s="84"/>
      <c r="O25" s="84"/>
      <c r="P25" s="84"/>
      <c r="Q25" s="84"/>
      <c r="R25" s="85"/>
      <c r="S25" s="85"/>
      <c r="T25" s="81"/>
      <c r="U25" s="81"/>
      <c r="V25" s="81"/>
      <c r="W25" s="81"/>
      <c r="X25" s="81"/>
      <c r="Y25" s="81"/>
    </row>
    <row r="26" spans="1:25" s="57" customFormat="1" ht="13.8">
      <c r="A26" s="71"/>
      <c r="B26" s="131" t="s">
        <v>45</v>
      </c>
      <c r="C26" s="131"/>
      <c r="D26" s="131"/>
      <c r="E26" s="131"/>
      <c r="F26" s="131"/>
      <c r="G26" s="131"/>
      <c r="H26" s="131"/>
      <c r="I26" s="131"/>
      <c r="J26" s="131"/>
      <c r="K26" s="71"/>
      <c r="M26" s="84"/>
      <c r="N26" s="84"/>
      <c r="O26" s="84"/>
      <c r="P26" s="84"/>
      <c r="Q26" s="84"/>
      <c r="R26" s="85"/>
      <c r="S26" s="85"/>
      <c r="T26" s="81"/>
      <c r="U26" s="81"/>
      <c r="V26" s="81"/>
      <c r="W26" s="81"/>
      <c r="X26" s="81"/>
      <c r="Y26" s="81"/>
    </row>
    <row r="27" spans="1:25" s="57" customFormat="1" ht="13.8">
      <c r="A27" s="71"/>
      <c r="B27" s="131"/>
      <c r="C27" s="131"/>
      <c r="D27" s="131"/>
      <c r="E27" s="131"/>
      <c r="F27" s="131"/>
      <c r="G27" s="131"/>
      <c r="H27" s="131"/>
      <c r="I27" s="131"/>
      <c r="J27" s="131"/>
      <c r="K27" s="71"/>
      <c r="M27" s="84"/>
      <c r="N27" s="84"/>
      <c r="O27" s="84"/>
      <c r="P27" s="84"/>
      <c r="Q27" s="84"/>
      <c r="R27" s="85"/>
      <c r="S27" s="85"/>
      <c r="T27" s="81"/>
      <c r="U27" s="81"/>
      <c r="V27" s="81"/>
      <c r="W27" s="81"/>
      <c r="X27" s="81"/>
      <c r="Y27" s="81"/>
    </row>
    <row r="28" spans="1:25" s="57" customFormat="1" ht="13.8">
      <c r="A28" s="71"/>
      <c r="B28" s="123"/>
      <c r="C28" s="123"/>
      <c r="D28" s="123"/>
      <c r="E28" s="123"/>
      <c r="F28" s="123"/>
      <c r="G28" s="123"/>
      <c r="H28" s="123"/>
      <c r="I28" s="123"/>
      <c r="J28" s="123"/>
      <c r="K28" s="71"/>
      <c r="M28" s="84"/>
      <c r="N28" s="84"/>
      <c r="O28" s="84"/>
      <c r="P28" s="84"/>
      <c r="Q28" s="84"/>
      <c r="R28" s="85"/>
      <c r="S28" s="85"/>
      <c r="T28" s="81"/>
      <c r="U28" s="81"/>
      <c r="V28" s="81"/>
      <c r="W28" s="81"/>
      <c r="X28" s="81"/>
      <c r="Y28" s="81"/>
    </row>
    <row r="29" spans="1:25" s="57" customFormat="1" ht="13.8">
      <c r="A29" s="71"/>
      <c r="B29" s="131" t="s">
        <v>46</v>
      </c>
      <c r="C29" s="131"/>
      <c r="D29" s="131"/>
      <c r="E29" s="131"/>
      <c r="F29" s="131"/>
      <c r="G29" s="131"/>
      <c r="H29" s="131"/>
      <c r="I29" s="131"/>
      <c r="J29" s="131"/>
      <c r="K29" s="71"/>
      <c r="M29" s="84"/>
      <c r="N29" s="84"/>
      <c r="O29" s="84"/>
      <c r="P29" s="84"/>
      <c r="Q29" s="84"/>
      <c r="R29" s="85"/>
      <c r="S29" s="85"/>
      <c r="T29" s="81"/>
      <c r="U29" s="81"/>
      <c r="V29" s="81"/>
      <c r="W29" s="81"/>
      <c r="X29" s="81"/>
      <c r="Y29" s="81"/>
    </row>
    <row r="30" spans="1:25" s="57" customFormat="1" ht="13.8">
      <c r="A30" s="71"/>
      <c r="B30" s="131"/>
      <c r="C30" s="131"/>
      <c r="D30" s="131"/>
      <c r="E30" s="131"/>
      <c r="F30" s="131"/>
      <c r="G30" s="131"/>
      <c r="H30" s="131"/>
      <c r="I30" s="131"/>
      <c r="J30" s="131"/>
      <c r="K30" s="71"/>
      <c r="M30" s="84"/>
      <c r="N30" s="84"/>
      <c r="O30" s="84"/>
      <c r="P30" s="84"/>
      <c r="Q30" s="84"/>
      <c r="R30" s="85"/>
      <c r="S30" s="85"/>
      <c r="T30" s="81"/>
      <c r="U30" s="81"/>
      <c r="V30" s="81"/>
      <c r="W30" s="81"/>
      <c r="X30" s="81"/>
      <c r="Y30" s="81"/>
    </row>
    <row r="31" spans="1:25" s="57" customFormat="1" ht="12.75" customHeight="1">
      <c r="A31" s="71"/>
      <c r="B31" s="131"/>
      <c r="C31" s="131"/>
      <c r="D31" s="131"/>
      <c r="E31" s="131"/>
      <c r="F31" s="131"/>
      <c r="G31" s="131"/>
      <c r="H31" s="131"/>
      <c r="I31" s="131"/>
      <c r="J31" s="131"/>
      <c r="K31" s="71"/>
      <c r="M31" s="84"/>
      <c r="N31" s="84"/>
      <c r="O31" s="84"/>
      <c r="P31" s="84"/>
      <c r="Q31" s="84"/>
      <c r="R31" s="85"/>
      <c r="S31" s="85"/>
      <c r="T31" s="81"/>
      <c r="U31" s="81"/>
      <c r="V31" s="81"/>
      <c r="W31" s="81"/>
      <c r="X31" s="81"/>
      <c r="Y31" s="81"/>
    </row>
    <row r="32" spans="1:25" s="57" customFormat="1" ht="13.8">
      <c r="A32" s="71"/>
      <c r="B32" s="131"/>
      <c r="C32" s="131"/>
      <c r="D32" s="131"/>
      <c r="E32" s="131"/>
      <c r="F32" s="131"/>
      <c r="G32" s="131"/>
      <c r="H32" s="131"/>
      <c r="I32" s="131"/>
      <c r="J32" s="131"/>
      <c r="K32" s="71"/>
      <c r="M32" s="84"/>
      <c r="N32" s="84"/>
      <c r="O32" s="84"/>
      <c r="P32" s="84"/>
      <c r="Q32" s="84"/>
      <c r="R32" s="85"/>
      <c r="S32" s="85"/>
      <c r="T32" s="81"/>
      <c r="U32" s="81"/>
      <c r="V32" s="81"/>
      <c r="W32" s="81"/>
      <c r="X32" s="81"/>
      <c r="Y32" s="81"/>
    </row>
    <row r="33" spans="1:25" s="57" customFormat="1" ht="12.75" customHeight="1">
      <c r="A33" s="71"/>
      <c r="B33" s="131"/>
      <c r="C33" s="131"/>
      <c r="D33" s="131"/>
      <c r="E33" s="131"/>
      <c r="F33" s="131"/>
      <c r="G33" s="131"/>
      <c r="H33" s="131"/>
      <c r="I33" s="131"/>
      <c r="J33" s="131"/>
      <c r="K33" s="71"/>
      <c r="M33" s="84"/>
      <c r="N33" s="84"/>
      <c r="O33" s="84"/>
      <c r="P33" s="84"/>
      <c r="Q33" s="84"/>
      <c r="R33" s="85"/>
      <c r="S33" s="85"/>
      <c r="T33" s="81"/>
      <c r="U33" s="81"/>
      <c r="V33" s="81"/>
      <c r="W33" s="81"/>
      <c r="X33" s="81"/>
      <c r="Y33" s="81"/>
    </row>
    <row r="34" spans="1:25" s="57" customFormat="1" ht="13.8">
      <c r="A34" s="71"/>
      <c r="B34" s="123"/>
      <c r="C34" s="123"/>
      <c r="D34" s="133" t="s">
        <v>38</v>
      </c>
      <c r="E34" s="133"/>
      <c r="F34" s="133"/>
      <c r="G34" s="133"/>
      <c r="H34" s="133"/>
      <c r="I34" s="123"/>
      <c r="J34" s="123"/>
      <c r="K34" s="71"/>
      <c r="M34" s="84"/>
      <c r="N34" s="84"/>
      <c r="O34" s="84"/>
      <c r="P34" s="84"/>
      <c r="Q34" s="84"/>
      <c r="R34" s="85"/>
      <c r="S34" s="88"/>
      <c r="T34" s="81"/>
      <c r="U34" s="81"/>
      <c r="V34" s="81"/>
      <c r="W34" s="81"/>
      <c r="X34" s="81"/>
      <c r="Y34" s="81"/>
    </row>
    <row r="35" spans="1:25" s="57" customFormat="1" ht="13.8">
      <c r="A35" s="71"/>
      <c r="B35" s="71"/>
      <c r="C35" s="71"/>
      <c r="I35" s="71"/>
      <c r="J35" s="71"/>
      <c r="K35" s="71"/>
      <c r="M35" s="84"/>
      <c r="N35" s="84"/>
      <c r="O35" s="84"/>
      <c r="P35" s="84"/>
      <c r="Q35" s="84"/>
      <c r="R35" s="85"/>
      <c r="S35" s="88"/>
      <c r="T35" s="81"/>
      <c r="U35" s="81"/>
      <c r="V35" s="81"/>
      <c r="W35" s="81"/>
      <c r="X35" s="81"/>
      <c r="Y35" s="81"/>
    </row>
    <row r="36" spans="1:25" s="57" customFormat="1" ht="12.75" customHeight="1">
      <c r="A36" s="71"/>
      <c r="B36" s="72" t="s">
        <v>39</v>
      </c>
      <c r="C36" s="71"/>
      <c r="D36" s="71"/>
      <c r="E36" s="71"/>
      <c r="F36" s="125"/>
      <c r="G36" s="71"/>
      <c r="H36" s="71"/>
      <c r="I36" s="71"/>
      <c r="J36" s="71"/>
      <c r="K36" s="71"/>
      <c r="M36" s="84"/>
      <c r="N36" s="84"/>
      <c r="O36" s="84"/>
      <c r="P36" s="84"/>
      <c r="Q36" s="84"/>
      <c r="R36" s="85"/>
      <c r="S36" s="85"/>
      <c r="T36" s="81"/>
      <c r="U36" s="81"/>
      <c r="V36" s="81"/>
      <c r="W36" s="81"/>
      <c r="X36" s="81"/>
      <c r="Y36" s="81"/>
    </row>
    <row r="37" spans="1:25" s="57" customFormat="1" ht="13.8">
      <c r="A37" s="71"/>
      <c r="B37" s="72"/>
      <c r="C37" s="71"/>
      <c r="D37" s="71"/>
      <c r="E37" s="71"/>
      <c r="F37" s="125"/>
      <c r="G37" s="71"/>
      <c r="H37" s="71"/>
      <c r="I37" s="71"/>
      <c r="J37" s="71"/>
      <c r="K37" s="71"/>
      <c r="M37" s="84"/>
      <c r="N37" s="84"/>
      <c r="O37" s="84"/>
      <c r="P37" s="84"/>
      <c r="Q37" s="84"/>
      <c r="R37" s="85"/>
      <c r="S37" s="85"/>
      <c r="T37" s="81"/>
      <c r="U37" s="81"/>
      <c r="V37" s="81"/>
      <c r="W37" s="81"/>
      <c r="X37" s="81"/>
      <c r="Y37" s="81"/>
    </row>
    <row r="38" spans="1:25" s="57" customFormat="1" ht="13.8">
      <c r="A38" s="71"/>
      <c r="B38" s="131" t="s">
        <v>47</v>
      </c>
      <c r="C38" s="131"/>
      <c r="D38" s="131"/>
      <c r="E38" s="131"/>
      <c r="F38" s="131"/>
      <c r="G38" s="131"/>
      <c r="H38" s="131"/>
      <c r="I38" s="131"/>
      <c r="J38" s="131"/>
      <c r="K38" s="71"/>
      <c r="M38" s="84"/>
      <c r="N38" s="84"/>
      <c r="O38" s="84"/>
      <c r="P38" s="84"/>
      <c r="Q38" s="84"/>
      <c r="R38" s="85"/>
      <c r="S38" s="85"/>
      <c r="T38" s="81"/>
      <c r="U38" s="81"/>
      <c r="V38" s="81"/>
      <c r="W38" s="81"/>
      <c r="X38" s="81"/>
      <c r="Y38" s="81"/>
    </row>
    <row r="39" spans="1:25" s="57" customFormat="1" ht="13.8">
      <c r="A39" s="71"/>
      <c r="B39" s="131"/>
      <c r="C39" s="131"/>
      <c r="D39" s="131"/>
      <c r="E39" s="131"/>
      <c r="F39" s="131"/>
      <c r="G39" s="131"/>
      <c r="H39" s="131"/>
      <c r="I39" s="131"/>
      <c r="J39" s="131"/>
      <c r="K39" s="71"/>
      <c r="M39" s="84"/>
      <c r="N39" s="84"/>
      <c r="O39" s="84"/>
      <c r="P39" s="84"/>
      <c r="Q39" s="84"/>
      <c r="R39" s="85"/>
      <c r="S39" s="85"/>
      <c r="T39" s="81"/>
      <c r="U39" s="81"/>
      <c r="V39" s="81"/>
      <c r="W39" s="81"/>
      <c r="X39" s="81"/>
      <c r="Y39" s="81"/>
    </row>
    <row r="40" spans="1:25" s="57" customFormat="1" ht="13.8">
      <c r="A40" s="71"/>
      <c r="B40" s="123"/>
      <c r="C40" s="123"/>
      <c r="D40" s="123"/>
      <c r="E40" s="123"/>
      <c r="F40" s="123"/>
      <c r="G40" s="123"/>
      <c r="H40" s="123"/>
      <c r="I40" s="123"/>
      <c r="J40" s="123"/>
      <c r="K40" s="71"/>
      <c r="M40" s="84"/>
      <c r="N40" s="84"/>
      <c r="O40" s="84"/>
      <c r="P40" s="84"/>
      <c r="Q40" s="84"/>
      <c r="R40" s="85"/>
      <c r="S40" s="85"/>
      <c r="T40" s="81"/>
      <c r="U40" s="81"/>
      <c r="V40" s="81"/>
      <c r="W40" s="81"/>
      <c r="X40" s="81"/>
      <c r="Y40" s="81"/>
    </row>
    <row r="41" spans="1:25" s="57" customFormat="1" ht="13.8">
      <c r="A41" s="71"/>
      <c r="B41" s="131" t="s">
        <v>48</v>
      </c>
      <c r="C41" s="131"/>
      <c r="D41" s="131"/>
      <c r="E41" s="131"/>
      <c r="F41" s="131"/>
      <c r="G41" s="131"/>
      <c r="H41" s="131"/>
      <c r="I41" s="131"/>
      <c r="J41" s="131"/>
      <c r="K41" s="71"/>
      <c r="M41" s="84"/>
      <c r="N41" s="84"/>
      <c r="O41" s="84"/>
      <c r="P41" s="84"/>
      <c r="Q41" s="84"/>
      <c r="R41" s="85"/>
      <c r="S41" s="85"/>
      <c r="T41" s="81"/>
      <c r="U41" s="81"/>
      <c r="V41" s="81"/>
      <c r="W41" s="81"/>
      <c r="X41" s="81"/>
      <c r="Y41" s="81"/>
    </row>
    <row r="42" spans="1:25" s="57" customFormat="1" ht="13.8">
      <c r="A42" s="71"/>
      <c r="B42" s="131"/>
      <c r="C42" s="131"/>
      <c r="D42" s="131"/>
      <c r="E42" s="131"/>
      <c r="F42" s="131"/>
      <c r="G42" s="131"/>
      <c r="H42" s="131"/>
      <c r="I42" s="131"/>
      <c r="J42" s="131"/>
      <c r="K42" s="71"/>
      <c r="M42" s="84"/>
      <c r="N42" s="84"/>
      <c r="O42" s="84"/>
      <c r="P42" s="84"/>
      <c r="Q42" s="84"/>
      <c r="R42" s="85"/>
      <c r="S42" s="85"/>
      <c r="T42" s="81"/>
      <c r="U42" s="81"/>
      <c r="V42" s="81"/>
      <c r="W42" s="81"/>
      <c r="X42" s="81"/>
      <c r="Y42" s="81"/>
    </row>
    <row r="43" spans="1:25" s="57" customFormat="1" ht="13.8">
      <c r="A43" s="71"/>
      <c r="B43" s="131"/>
      <c r="C43" s="131"/>
      <c r="D43" s="131"/>
      <c r="E43" s="131"/>
      <c r="F43" s="131"/>
      <c r="G43" s="131"/>
      <c r="H43" s="131"/>
      <c r="I43" s="131"/>
      <c r="J43" s="131"/>
      <c r="K43" s="71"/>
      <c r="M43" s="84"/>
      <c r="N43" s="84"/>
      <c r="O43" s="84"/>
      <c r="P43" s="84"/>
      <c r="Q43" s="84"/>
      <c r="R43" s="85"/>
      <c r="S43" s="85"/>
      <c r="T43" s="81"/>
      <c r="U43" s="81"/>
      <c r="V43" s="81"/>
      <c r="W43" s="81"/>
      <c r="X43" s="81"/>
      <c r="Y43" s="81"/>
    </row>
    <row r="44" spans="1:25" s="57" customFormat="1" ht="13.8">
      <c r="A44" s="71"/>
      <c r="B44" s="123"/>
      <c r="C44" s="123"/>
      <c r="D44" s="123"/>
      <c r="E44" s="123"/>
      <c r="F44" s="123"/>
      <c r="G44" s="123"/>
      <c r="H44" s="123"/>
      <c r="I44" s="123"/>
      <c r="J44" s="123"/>
      <c r="K44" s="71"/>
      <c r="M44" s="84"/>
      <c r="N44" s="84"/>
      <c r="O44" s="84"/>
      <c r="P44" s="84"/>
      <c r="Q44" s="84"/>
      <c r="R44" s="85"/>
      <c r="S44" s="85"/>
      <c r="T44" s="81"/>
      <c r="U44" s="81"/>
      <c r="V44" s="81"/>
      <c r="W44" s="81"/>
      <c r="X44" s="81"/>
      <c r="Y44" s="81"/>
    </row>
    <row r="45" spans="1:25" s="57" customFormat="1" ht="12.75" customHeight="1">
      <c r="A45" s="71"/>
      <c r="B45" s="131" t="s">
        <v>40</v>
      </c>
      <c r="C45" s="131"/>
      <c r="D45" s="131"/>
      <c r="E45" s="131"/>
      <c r="F45" s="131"/>
      <c r="G45" s="131"/>
      <c r="H45" s="131"/>
      <c r="I45" s="131"/>
      <c r="J45" s="131"/>
      <c r="K45" s="71"/>
      <c r="M45" s="84"/>
      <c r="N45" s="84"/>
      <c r="O45" s="84"/>
      <c r="P45" s="84"/>
      <c r="Q45" s="84"/>
      <c r="R45" s="85"/>
      <c r="S45" s="85"/>
      <c r="T45" s="81"/>
      <c r="U45" s="81"/>
      <c r="V45" s="81"/>
      <c r="W45" s="81"/>
      <c r="X45" s="81"/>
      <c r="Y45" s="81"/>
    </row>
    <row r="46" spans="1:25" s="57" customFormat="1" ht="13.8">
      <c r="A46" s="71"/>
      <c r="B46" s="131"/>
      <c r="C46" s="131"/>
      <c r="D46" s="131"/>
      <c r="E46" s="131"/>
      <c r="F46" s="131"/>
      <c r="G46" s="131"/>
      <c r="H46" s="131"/>
      <c r="I46" s="131"/>
      <c r="J46" s="131"/>
      <c r="K46" s="71"/>
      <c r="M46" s="84"/>
      <c r="N46" s="84"/>
      <c r="O46" s="84"/>
      <c r="P46" s="84"/>
      <c r="Q46" s="84"/>
      <c r="R46" s="85"/>
      <c r="S46" s="85"/>
      <c r="T46" s="81"/>
      <c r="U46" s="81"/>
      <c r="V46" s="81"/>
      <c r="W46" s="81"/>
      <c r="X46" s="81"/>
      <c r="Y46" s="81"/>
    </row>
    <row r="47" spans="1:25" s="57" customFormat="1" ht="13.8">
      <c r="A47" s="71"/>
      <c r="B47" s="131"/>
      <c r="C47" s="131"/>
      <c r="D47" s="131"/>
      <c r="E47" s="131"/>
      <c r="F47" s="131"/>
      <c r="G47" s="131"/>
      <c r="H47" s="131"/>
      <c r="I47" s="131"/>
      <c r="J47" s="131"/>
      <c r="K47" s="71"/>
      <c r="M47" s="84"/>
      <c r="N47" s="84"/>
      <c r="O47" s="84"/>
      <c r="P47" s="84"/>
      <c r="Q47" s="84"/>
      <c r="R47" s="85"/>
      <c r="S47" s="85"/>
      <c r="T47" s="81"/>
      <c r="U47" s="81"/>
      <c r="V47" s="81"/>
      <c r="W47" s="81"/>
      <c r="X47" s="81"/>
      <c r="Y47" s="81"/>
    </row>
    <row r="48" spans="1:25" s="57" customFormat="1" ht="12.75" customHeight="1">
      <c r="A48" s="71"/>
      <c r="B48" s="131"/>
      <c r="C48" s="131"/>
      <c r="D48" s="131"/>
      <c r="E48" s="131"/>
      <c r="F48" s="131"/>
      <c r="G48" s="131"/>
      <c r="H48" s="131"/>
      <c r="I48" s="131"/>
      <c r="J48" s="131"/>
      <c r="K48" s="71"/>
      <c r="M48" s="84"/>
      <c r="N48" s="84"/>
      <c r="O48" s="84"/>
      <c r="P48" s="84"/>
      <c r="Q48" s="84"/>
      <c r="R48" s="85"/>
      <c r="S48" s="85"/>
      <c r="T48" s="81"/>
      <c r="U48" s="81"/>
      <c r="V48" s="81"/>
      <c r="W48" s="81"/>
      <c r="X48" s="81"/>
      <c r="Y48" s="81"/>
    </row>
    <row r="49" spans="1:25" s="57" customFormat="1" ht="13.8">
      <c r="A49" s="71"/>
      <c r="B49" s="71" t="s">
        <v>49</v>
      </c>
      <c r="C49" s="71"/>
      <c r="D49" s="71"/>
      <c r="E49" s="71"/>
      <c r="F49" s="71"/>
      <c r="G49" s="71"/>
      <c r="H49" s="71"/>
      <c r="I49" s="71"/>
      <c r="J49" s="71"/>
      <c r="K49" s="71"/>
      <c r="M49" s="84"/>
      <c r="N49" s="84"/>
      <c r="O49" s="84"/>
      <c r="P49" s="84"/>
      <c r="Q49" s="84"/>
      <c r="R49" s="85"/>
      <c r="S49" s="85"/>
      <c r="T49" s="81"/>
      <c r="U49" s="81"/>
      <c r="V49" s="81"/>
      <c r="W49" s="81"/>
      <c r="X49" s="81"/>
      <c r="Y49" s="81"/>
    </row>
    <row r="50" spans="1:25" s="57" customFormat="1" ht="13.8">
      <c r="A50" s="71"/>
      <c r="B50" s="71"/>
      <c r="C50" s="71"/>
      <c r="D50" s="71"/>
      <c r="F50" s="124" t="s">
        <v>96</v>
      </c>
      <c r="G50" s="125"/>
      <c r="H50" s="71"/>
      <c r="I50" s="71"/>
      <c r="J50" s="71"/>
      <c r="K50" s="71"/>
      <c r="M50" s="84"/>
      <c r="N50" s="84"/>
      <c r="O50" s="84"/>
      <c r="P50" s="84"/>
      <c r="Q50" s="84"/>
      <c r="R50" s="85"/>
      <c r="S50" s="85"/>
      <c r="T50" s="81"/>
      <c r="U50" s="81"/>
      <c r="V50" s="81"/>
      <c r="W50" s="81"/>
      <c r="X50" s="81"/>
      <c r="Y50" s="81"/>
    </row>
    <row r="51" spans="1:25" s="57" customFormat="1" ht="13.8">
      <c r="A51" s="71"/>
      <c r="B51" s="71"/>
      <c r="C51" s="71"/>
      <c r="D51" s="71"/>
      <c r="E51" s="71"/>
      <c r="F51" s="71"/>
      <c r="G51" s="71"/>
      <c r="H51" s="71"/>
      <c r="I51" s="71"/>
      <c r="J51" s="71"/>
      <c r="K51" s="71"/>
      <c r="M51" s="84"/>
      <c r="N51" s="84"/>
      <c r="O51" s="84"/>
      <c r="P51" s="84"/>
      <c r="Q51" s="84"/>
      <c r="R51" s="85"/>
      <c r="S51" s="85"/>
      <c r="T51" s="81"/>
      <c r="U51" s="81"/>
      <c r="V51" s="81"/>
      <c r="W51" s="81"/>
      <c r="X51" s="81"/>
      <c r="Y51" s="81"/>
    </row>
    <row r="52" spans="1:25" s="57" customFormat="1" ht="12.75" customHeight="1">
      <c r="A52" s="71"/>
      <c r="B52" s="72" t="s">
        <v>51</v>
      </c>
      <c r="C52" s="71"/>
      <c r="D52" s="71"/>
      <c r="E52" s="71"/>
      <c r="F52" s="71"/>
      <c r="G52" s="71"/>
      <c r="H52" s="71"/>
      <c r="I52" s="71"/>
      <c r="J52" s="71"/>
      <c r="K52" s="71"/>
      <c r="M52" s="84"/>
      <c r="N52" s="84"/>
      <c r="O52" s="84"/>
      <c r="P52" s="84"/>
      <c r="Q52" s="84"/>
      <c r="R52" s="85"/>
      <c r="S52" s="85"/>
      <c r="T52" s="81"/>
      <c r="U52" s="81"/>
      <c r="V52" s="81"/>
      <c r="W52" s="81"/>
      <c r="X52" s="81"/>
      <c r="Y52" s="81"/>
    </row>
    <row r="53" spans="1:25" s="57" customFormat="1" ht="13.8">
      <c r="A53" s="71"/>
      <c r="B53" s="71"/>
      <c r="C53" s="71"/>
      <c r="D53" s="71"/>
      <c r="E53" s="71"/>
      <c r="F53" s="71"/>
      <c r="G53" s="71"/>
      <c r="H53" s="71"/>
      <c r="I53" s="71"/>
      <c r="J53" s="71"/>
      <c r="K53" s="71"/>
      <c r="M53" s="84"/>
      <c r="N53" s="84"/>
      <c r="O53" s="84"/>
      <c r="P53" s="84"/>
      <c r="Q53" s="84"/>
      <c r="R53" s="85"/>
      <c r="S53" s="85"/>
      <c r="T53" s="81"/>
      <c r="U53" s="81"/>
      <c r="V53" s="81"/>
      <c r="W53" s="81"/>
      <c r="X53" s="81"/>
      <c r="Y53" s="81"/>
    </row>
    <row r="54" spans="1:25" s="57" customFormat="1" ht="13.8">
      <c r="A54" s="71"/>
      <c r="B54" s="132" t="s">
        <v>52</v>
      </c>
      <c r="C54" s="132"/>
      <c r="D54" s="132"/>
      <c r="E54" s="132"/>
      <c r="F54" s="132"/>
      <c r="G54" s="132"/>
      <c r="H54" s="132"/>
      <c r="I54" s="132"/>
      <c r="J54" s="132"/>
      <c r="K54" s="71"/>
      <c r="M54" s="84"/>
      <c r="N54" s="84"/>
      <c r="O54" s="84"/>
      <c r="P54" s="84"/>
      <c r="Q54" s="84"/>
      <c r="R54" s="85"/>
      <c r="S54" s="85"/>
      <c r="T54" s="81"/>
      <c r="U54" s="81"/>
      <c r="V54" s="81"/>
      <c r="W54" s="81"/>
      <c r="X54" s="81"/>
      <c r="Y54" s="81"/>
    </row>
    <row r="55" spans="1:25" s="57" customFormat="1" ht="13.8">
      <c r="A55" s="71"/>
      <c r="B55" s="132"/>
      <c r="C55" s="132"/>
      <c r="D55" s="132"/>
      <c r="E55" s="132"/>
      <c r="F55" s="132"/>
      <c r="G55" s="132"/>
      <c r="H55" s="132"/>
      <c r="I55" s="132"/>
      <c r="J55" s="132"/>
      <c r="K55" s="71"/>
      <c r="M55" s="84"/>
      <c r="N55" s="84"/>
      <c r="O55" s="84"/>
      <c r="P55" s="84"/>
      <c r="Q55" s="84"/>
      <c r="R55" s="85"/>
      <c r="S55" s="85"/>
      <c r="T55" s="81"/>
      <c r="U55" s="81"/>
      <c r="V55" s="81"/>
      <c r="W55" s="81"/>
      <c r="X55" s="81"/>
      <c r="Y55" s="81"/>
    </row>
    <row r="56" spans="1:25" s="57" customFormat="1" ht="13.8">
      <c r="A56" s="71"/>
      <c r="B56" s="132"/>
      <c r="C56" s="132"/>
      <c r="D56" s="132"/>
      <c r="E56" s="132"/>
      <c r="F56" s="132"/>
      <c r="G56" s="132"/>
      <c r="H56" s="132"/>
      <c r="I56" s="132"/>
      <c r="J56" s="132"/>
      <c r="K56" s="71"/>
      <c r="M56" s="84"/>
      <c r="N56" s="84"/>
      <c r="O56"/>
      <c r="P56" s="84"/>
      <c r="Q56" s="84"/>
      <c r="R56" s="85"/>
      <c r="S56" s="85"/>
      <c r="T56" s="81"/>
      <c r="U56" s="81"/>
      <c r="V56" s="81"/>
      <c r="W56" s="81"/>
      <c r="X56" s="81"/>
      <c r="Y56" s="81"/>
    </row>
    <row r="57" spans="1:25" s="57" customFormat="1" ht="13.8">
      <c r="A57" s="71"/>
      <c r="B57" s="71"/>
      <c r="C57" s="71"/>
      <c r="D57" s="71"/>
      <c r="F57" s="125"/>
      <c r="G57" s="71"/>
      <c r="H57" s="71"/>
      <c r="I57" s="71"/>
      <c r="J57" s="71"/>
      <c r="K57" s="71"/>
      <c r="M57" s="84"/>
      <c r="N57" s="84"/>
      <c r="O57" s="84"/>
      <c r="P57" s="84"/>
      <c r="Q57" s="84"/>
      <c r="R57" s="85"/>
      <c r="S57" s="85"/>
      <c r="T57" s="81"/>
      <c r="U57" s="81"/>
      <c r="V57" s="81"/>
      <c r="W57" s="81"/>
      <c r="X57" s="81"/>
      <c r="Y57" s="81"/>
    </row>
    <row r="58" spans="1:25" s="57" customFormat="1" ht="13.8">
      <c r="A58" s="71"/>
      <c r="B58" s="71"/>
      <c r="C58" s="71"/>
      <c r="D58" s="71"/>
      <c r="E58" s="71"/>
      <c r="F58" s="71"/>
      <c r="G58" s="71"/>
      <c r="H58" s="71"/>
      <c r="I58" s="71"/>
      <c r="J58" s="71"/>
      <c r="K58" s="71"/>
      <c r="M58" s="84"/>
      <c r="N58" s="84"/>
      <c r="O58" s="84"/>
      <c r="P58" s="84"/>
      <c r="Q58" s="84"/>
      <c r="R58" s="85"/>
      <c r="S58" s="85"/>
      <c r="T58" s="81"/>
      <c r="U58" s="81"/>
      <c r="V58" s="81"/>
      <c r="W58" s="81"/>
      <c r="X58" s="81"/>
      <c r="Y58" s="81"/>
    </row>
    <row r="59" spans="1:25" s="57" customFormat="1" ht="13.8">
      <c r="K59" s="71"/>
      <c r="M59" s="84"/>
      <c r="N59" s="84"/>
      <c r="O59" s="126"/>
      <c r="P59" s="84"/>
      <c r="Q59" s="84"/>
      <c r="R59" s="85"/>
      <c r="S59" s="85"/>
      <c r="T59" s="81"/>
      <c r="U59" s="81"/>
      <c r="V59" s="81"/>
      <c r="W59" s="81"/>
      <c r="X59" s="81"/>
      <c r="Y59" s="81"/>
    </row>
    <row r="60" spans="1:25" s="57" customFormat="1" ht="13.8">
      <c r="A60" s="71"/>
      <c r="B60" s="71" t="s">
        <v>41</v>
      </c>
      <c r="C60" s="71"/>
      <c r="D60" s="71"/>
      <c r="E60" s="71"/>
      <c r="F60" s="71"/>
      <c r="G60" s="71"/>
      <c r="H60" s="71"/>
      <c r="I60" s="71"/>
      <c r="J60" s="71"/>
      <c r="K60" s="71"/>
      <c r="M60" s="84"/>
      <c r="N60" s="84"/>
      <c r="O60" s="84"/>
      <c r="P60" s="84"/>
      <c r="Q60" s="84"/>
      <c r="R60" s="85"/>
      <c r="S60" s="85"/>
      <c r="T60" s="81"/>
      <c r="U60" s="81"/>
      <c r="V60" s="81"/>
      <c r="W60" s="81"/>
      <c r="X60" s="81"/>
      <c r="Y60" s="81"/>
    </row>
    <row r="61" spans="1:25" s="57" customFormat="1" ht="13.8">
      <c r="A61" s="71"/>
      <c r="C61" s="71"/>
      <c r="D61" s="71"/>
      <c r="F61" s="124" t="s">
        <v>97</v>
      </c>
      <c r="G61" s="127"/>
      <c r="H61" s="71"/>
      <c r="I61" s="71"/>
      <c r="J61" s="71"/>
      <c r="K61" s="71"/>
      <c r="M61" s="84"/>
      <c r="N61" s="84"/>
      <c r="O61" s="84"/>
      <c r="P61" s="84"/>
      <c r="Q61" s="84"/>
      <c r="R61" s="85"/>
      <c r="S61" s="85"/>
      <c r="T61" s="81"/>
      <c r="U61" s="81"/>
      <c r="V61" s="81"/>
      <c r="W61" s="81"/>
      <c r="X61" s="81"/>
      <c r="Y61" s="81"/>
    </row>
    <row r="62" spans="1:25" s="57" customFormat="1" ht="13.8">
      <c r="A62" s="71"/>
      <c r="B62" s="71"/>
      <c r="C62" s="71"/>
      <c r="D62" s="71"/>
      <c r="E62" s="71"/>
      <c r="F62" s="71"/>
      <c r="G62" s="71"/>
      <c r="H62" s="71"/>
      <c r="I62" s="71"/>
      <c r="J62" s="71"/>
      <c r="K62" s="71"/>
      <c r="M62" s="84"/>
      <c r="N62" s="84"/>
      <c r="O62" s="84"/>
      <c r="P62" s="84"/>
      <c r="Q62" s="84"/>
      <c r="R62" s="85"/>
      <c r="S62" s="85"/>
      <c r="T62" s="81"/>
      <c r="U62" s="81"/>
      <c r="V62" s="81"/>
      <c r="W62" s="81"/>
      <c r="X62" s="81"/>
      <c r="Y62" s="8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98"/>
  <sheetViews>
    <sheetView tabSelected="1" view="pageBreakPreview" topLeftCell="A4" zoomScale="85" zoomScaleNormal="100" zoomScaleSheetLayoutView="85" workbookViewId="0">
      <selection activeCell="B13" sqref="B13:K13"/>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10"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7"/>
      <c r="B1" s="58" t="s">
        <v>6</v>
      </c>
      <c r="C1" s="90" t="s">
        <v>3</v>
      </c>
      <c r="D1" s="57"/>
      <c r="E1" s="57"/>
      <c r="F1" s="58" t="s">
        <v>32</v>
      </c>
      <c r="G1" s="91">
        <v>1</v>
      </c>
      <c r="H1" s="57"/>
      <c r="I1" s="57"/>
      <c r="J1" s="57"/>
      <c r="K1" s="57"/>
      <c r="M1" s="2"/>
      <c r="N1" s="2"/>
      <c r="O1" s="2"/>
      <c r="P1" s="2"/>
      <c r="Q1" s="2"/>
      <c r="R1" s="2"/>
      <c r="S1" s="75"/>
      <c r="T1" s="73"/>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7"/>
      <c r="B2" s="58" t="s">
        <v>7</v>
      </c>
      <c r="C2" s="90" t="s">
        <v>2</v>
      </c>
      <c r="D2" s="57"/>
      <c r="E2" s="57"/>
      <c r="F2" s="58" t="s">
        <v>8</v>
      </c>
      <c r="G2" s="91" t="s">
        <v>94</v>
      </c>
      <c r="H2" s="57"/>
      <c r="I2" s="57"/>
      <c r="J2" s="57"/>
      <c r="K2" s="57"/>
      <c r="T2" s="74"/>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7"/>
      <c r="B3" s="58" t="s">
        <v>0</v>
      </c>
      <c r="C3" s="92" t="s">
        <v>54</v>
      </c>
      <c r="D3" s="57"/>
      <c r="E3" s="57"/>
      <c r="F3" s="58" t="s">
        <v>4</v>
      </c>
      <c r="G3" s="91" t="s">
        <v>5</v>
      </c>
      <c r="H3" s="57"/>
      <c r="I3" s="57"/>
      <c r="J3" s="57"/>
      <c r="K3" s="57"/>
      <c r="T3" s="74"/>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7"/>
      <c r="B4" s="58" t="s">
        <v>33</v>
      </c>
      <c r="C4" s="91"/>
      <c r="D4" s="57"/>
      <c r="E4" s="57"/>
      <c r="F4" s="58" t="s">
        <v>34</v>
      </c>
      <c r="G4" s="90" t="s">
        <v>93</v>
      </c>
      <c r="H4" s="57"/>
      <c r="I4" s="57"/>
      <c r="J4" s="57"/>
      <c r="K4" s="57"/>
      <c r="T4" s="74"/>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7"/>
      <c r="B5" s="58" t="s">
        <v>36</v>
      </c>
      <c r="C5" s="56" t="s">
        <v>55</v>
      </c>
      <c r="D5" s="57"/>
      <c r="E5" s="58"/>
      <c r="F5" s="57"/>
      <c r="G5" s="57"/>
      <c r="H5" s="57"/>
      <c r="I5" s="57"/>
      <c r="J5" s="57"/>
      <c r="K5" s="57"/>
      <c r="T5" s="74"/>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7"/>
      <c r="B6" s="57" t="s">
        <v>9</v>
      </c>
      <c r="C6" s="91"/>
      <c r="D6" s="57"/>
      <c r="E6" s="57"/>
      <c r="F6" s="57"/>
      <c r="G6" s="57"/>
      <c r="H6" s="57"/>
      <c r="I6" s="57"/>
      <c r="J6" s="57"/>
      <c r="K6" s="57"/>
      <c r="T6" s="74"/>
      <c r="U6" s="52" t="s">
        <v>31</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7"/>
      <c r="B7" s="57"/>
      <c r="C7" s="57"/>
      <c r="D7" s="57"/>
      <c r="E7" s="57"/>
      <c r="F7" s="57"/>
      <c r="G7" s="57"/>
      <c r="H7" s="57"/>
      <c r="I7" s="57"/>
      <c r="J7" s="57"/>
      <c r="K7" s="57"/>
      <c r="T7" s="74"/>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2"/>
      <c r="B8" s="57"/>
      <c r="C8" s="57"/>
      <c r="D8" s="57"/>
      <c r="E8" s="58" t="s">
        <v>6</v>
      </c>
      <c r="F8" s="59" t="str">
        <f>$C$1</f>
        <v>R. Abbott</v>
      </c>
      <c r="G8" s="57"/>
      <c r="H8" s="63"/>
      <c r="I8" s="58" t="s">
        <v>10</v>
      </c>
      <c r="J8" s="64" t="str">
        <f>$G$2</f>
        <v>AA-SM-018-005</v>
      </c>
      <c r="K8" s="65"/>
      <c r="L8" s="8"/>
      <c r="T8" s="74"/>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7"/>
      <c r="B9" s="57"/>
      <c r="C9" s="57"/>
      <c r="D9" s="57"/>
      <c r="E9" s="58" t="s">
        <v>7</v>
      </c>
      <c r="F9" s="63" t="str">
        <f>$C$2</f>
        <v xml:space="preserve"> </v>
      </c>
      <c r="G9" s="57"/>
      <c r="H9" s="63"/>
      <c r="I9" s="58" t="s">
        <v>11</v>
      </c>
      <c r="J9" s="65" t="s">
        <v>100</v>
      </c>
      <c r="K9" s="65"/>
      <c r="L9" s="8"/>
      <c r="M9" s="7">
        <v>1</v>
      </c>
      <c r="N9" s="7"/>
      <c r="O9" s="7"/>
      <c r="P9" s="7"/>
      <c r="Q9" s="7"/>
      <c r="R9" s="7"/>
      <c r="S9" s="76"/>
      <c r="T9" s="74"/>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7"/>
      <c r="B10" s="57"/>
      <c r="C10" s="57"/>
      <c r="D10" s="57"/>
      <c r="E10" s="58" t="s">
        <v>0</v>
      </c>
      <c r="F10" s="63" t="str">
        <f>$C$3</f>
        <v>Jan 2014</v>
      </c>
      <c r="G10" s="57"/>
      <c r="H10" s="63"/>
      <c r="I10" s="58" t="s">
        <v>12</v>
      </c>
      <c r="J10" s="59" t="str">
        <f>L10&amp;" of "&amp;$G$1</f>
        <v>1 of 1</v>
      </c>
      <c r="K10" s="63"/>
      <c r="L10" s="8">
        <f>SUM($M$1:M9)</f>
        <v>1</v>
      </c>
      <c r="T10" s="74"/>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58" t="s">
        <v>56</v>
      </c>
      <c r="F11" s="63" t="str">
        <f>$C$5</f>
        <v>STANDARD SPREADSHEET METHOD</v>
      </c>
      <c r="G11" s="57"/>
      <c r="H11" s="57"/>
      <c r="I11" s="67"/>
      <c r="J11" s="59"/>
      <c r="K11" s="57"/>
      <c r="L11" s="8"/>
      <c r="S11" s="41"/>
      <c r="T11" s="41"/>
    </row>
    <row r="12" spans="1:186" ht="15.6">
      <c r="A12" s="68"/>
      <c r="B12" s="69" t="str">
        <f>($C$4)&amp;" "&amp;$G$4</f>
        <v xml:space="preserve"> BEAM COLUMN ANALYSIS</v>
      </c>
      <c r="C12" s="68"/>
      <c r="D12" s="68"/>
      <c r="E12" s="68"/>
      <c r="F12" s="68"/>
      <c r="G12" s="68"/>
      <c r="H12" s="68"/>
      <c r="I12" s="68"/>
      <c r="J12" s="68"/>
      <c r="K12" s="68"/>
    </row>
    <row r="13" spans="1:186">
      <c r="A13" s="57"/>
      <c r="B13" s="135" t="s">
        <v>99</v>
      </c>
      <c r="C13" s="135"/>
      <c r="D13" s="135"/>
      <c r="E13" s="135"/>
      <c r="F13" s="135"/>
      <c r="G13" s="135"/>
      <c r="H13" s="135"/>
      <c r="I13" s="135"/>
      <c r="J13" s="135"/>
      <c r="K13" s="135"/>
    </row>
    <row r="14" spans="1:186">
      <c r="A14" s="14"/>
      <c r="B14" s="42"/>
      <c r="C14" s="15"/>
      <c r="D14" s="15"/>
      <c r="E14" s="15"/>
      <c r="F14" s="15"/>
      <c r="G14" s="15"/>
      <c r="H14" s="15"/>
      <c r="I14" s="15"/>
      <c r="J14" s="15"/>
      <c r="K14" s="15"/>
      <c r="S14" s="41"/>
      <c r="T14" s="41"/>
      <c r="Y14" s="22" t="s">
        <v>19</v>
      </c>
      <c r="Z14" s="22" t="s">
        <v>20</v>
      </c>
      <c r="AA14" s="22" t="s">
        <v>21</v>
      </c>
      <c r="AB14" s="22" t="s">
        <v>22</v>
      </c>
      <c r="AC14" s="22" t="s">
        <v>1</v>
      </c>
      <c r="AD14" s="22" t="s">
        <v>18</v>
      </c>
      <c r="AE14" s="22" t="s">
        <v>14</v>
      </c>
      <c r="AF14" s="22" t="s">
        <v>14</v>
      </c>
      <c r="AI14" s="9"/>
      <c r="AK14" s="9"/>
    </row>
    <row r="15" spans="1:186">
      <c r="A15" s="15"/>
      <c r="B15" s="17" t="s">
        <v>60</v>
      </c>
      <c r="C15" s="17"/>
      <c r="D15" s="17"/>
      <c r="E15" s="17" t="s">
        <v>68</v>
      </c>
      <c r="F15" s="17"/>
      <c r="G15" s="17"/>
      <c r="H15" s="17" t="s">
        <v>78</v>
      </c>
      <c r="I15" s="17"/>
      <c r="J15" s="17"/>
      <c r="K15" s="17"/>
      <c r="S15" s="41"/>
      <c r="T15" s="41"/>
      <c r="Y15" s="22"/>
      <c r="Z15" s="22" t="s">
        <v>19</v>
      </c>
      <c r="AA15" s="22" t="s">
        <v>23</v>
      </c>
      <c r="AB15" s="22" t="s">
        <v>24</v>
      </c>
      <c r="AC15" s="22" t="s">
        <v>14</v>
      </c>
      <c r="AD15" s="22" t="s">
        <v>16</v>
      </c>
      <c r="AE15" s="22" t="s">
        <v>25</v>
      </c>
      <c r="AF15" s="22" t="s">
        <v>26</v>
      </c>
      <c r="AI15" s="9"/>
      <c r="AJ15" s="9"/>
      <c r="AK15" s="9"/>
    </row>
    <row r="16" spans="1:186" ht="15">
      <c r="A16" s="14"/>
      <c r="B16" s="24" t="s">
        <v>57</v>
      </c>
      <c r="C16" s="95">
        <v>140000</v>
      </c>
      <c r="D16" s="17" t="str">
        <f>IF(C16="","","psi")</f>
        <v>psi</v>
      </c>
      <c r="E16" s="24" t="s">
        <v>61</v>
      </c>
      <c r="F16" s="99">
        <v>20.318000000000001</v>
      </c>
      <c r="G16" s="21" t="s">
        <v>65</v>
      </c>
      <c r="H16" s="20" t="s">
        <v>77</v>
      </c>
      <c r="I16" s="130">
        <f>419*12.125/4.175</f>
        <v>1216.8562874251497</v>
      </c>
      <c r="J16" s="6" t="s">
        <v>75</v>
      </c>
      <c r="K16" s="19"/>
      <c r="S16" s="41"/>
      <c r="T16" s="41"/>
      <c r="Y16" s="22"/>
      <c r="Z16" s="22"/>
      <c r="AA16" s="22" t="s">
        <v>27</v>
      </c>
      <c r="AB16" s="22"/>
      <c r="AC16" s="22" t="s">
        <v>13</v>
      </c>
      <c r="AD16" s="22"/>
      <c r="AE16" s="22" t="s">
        <v>28</v>
      </c>
      <c r="AF16" s="22" t="s">
        <v>29</v>
      </c>
      <c r="AI16" s="9"/>
      <c r="AJ16" s="15"/>
      <c r="AK16" s="9"/>
    </row>
    <row r="17" spans="1:91" ht="13.95" customHeight="1">
      <c r="A17" s="15"/>
      <c r="B17" s="24" t="s">
        <v>58</v>
      </c>
      <c r="C17" s="95">
        <v>120000</v>
      </c>
      <c r="D17" s="17" t="str">
        <f>IF(C17="","","psi")</f>
        <v>psi</v>
      </c>
      <c r="E17" s="97" t="s">
        <v>62</v>
      </c>
      <c r="F17" s="129">
        <f>(0.4387/2)^2*PI()</f>
        <v>0.15115591625771543</v>
      </c>
      <c r="G17" s="101" t="s">
        <v>66</v>
      </c>
      <c r="K17" s="17"/>
      <c r="S17" s="41"/>
      <c r="T17" s="41"/>
      <c r="U17" s="15"/>
      <c r="V17" s="15"/>
      <c r="W17" s="15"/>
      <c r="X17" s="15"/>
      <c r="Y17" s="15"/>
      <c r="Z17" s="15"/>
      <c r="AA17" s="15"/>
      <c r="AB17" s="15"/>
      <c r="AC17" s="15"/>
      <c r="AD17" s="15"/>
      <c r="AE17" s="22" t="s">
        <v>30</v>
      </c>
      <c r="AF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59</v>
      </c>
      <c r="C18" s="95">
        <v>29000000</v>
      </c>
      <c r="D18" s="17" t="str">
        <f>IF(C18="","","psi")</f>
        <v>psi</v>
      </c>
      <c r="E18" s="20" t="s">
        <v>64</v>
      </c>
      <c r="F18" s="100">
        <v>1.81E-3</v>
      </c>
      <c r="G18" s="102" t="s">
        <v>67</v>
      </c>
      <c r="H18" s="6" t="s">
        <v>80</v>
      </c>
      <c r="K18" s="17"/>
      <c r="S18" s="41"/>
      <c r="T18" s="41"/>
      <c r="U18" s="22"/>
      <c r="V18" s="15"/>
      <c r="W18" s="15">
        <f>0.5*0.04</f>
        <v>0.02</v>
      </c>
      <c r="X18" s="15"/>
      <c r="Y18" s="22"/>
      <c r="Z18" s="22"/>
      <c r="AA18" s="22"/>
      <c r="AB18" s="22"/>
      <c r="AC18" s="22" t="s">
        <v>17</v>
      </c>
      <c r="AD18" s="22" t="s">
        <v>17</v>
      </c>
      <c r="AE18" s="22" t="s">
        <v>17</v>
      </c>
      <c r="AF18" s="22" t="s">
        <v>17</v>
      </c>
      <c r="AH18" s="15"/>
      <c r="AI18" s="9"/>
      <c r="AK18" s="9"/>
      <c r="AL18" s="49"/>
      <c r="AM18" s="49"/>
      <c r="AN18" s="49"/>
      <c r="AO18" s="49"/>
      <c r="AP18" s="49"/>
      <c r="AQ18" s="49"/>
      <c r="AR18" s="49"/>
      <c r="AS18" s="49"/>
      <c r="AT18" s="49"/>
      <c r="AU18" s="49"/>
      <c r="AV18" s="49"/>
      <c r="AW18" s="49"/>
      <c r="AX18" s="49"/>
      <c r="AY18" s="49"/>
      <c r="AZ18" s="49"/>
      <c r="BA18" s="49"/>
      <c r="BB18" s="15"/>
      <c r="BC18" s="50"/>
      <c r="BD18" s="50"/>
      <c r="BE18" s="50"/>
      <c r="BF18" s="50"/>
      <c r="BG18" s="50"/>
      <c r="BH18" s="50"/>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ht="15">
      <c r="A19" s="15"/>
      <c r="B19" s="24" t="s">
        <v>15</v>
      </c>
      <c r="C19" s="48">
        <v>10</v>
      </c>
      <c r="D19" s="40"/>
      <c r="E19" s="98" t="s">
        <v>63</v>
      </c>
      <c r="F19" s="99">
        <v>1</v>
      </c>
      <c r="G19" s="21"/>
      <c r="H19" s="20" t="s">
        <v>81</v>
      </c>
      <c r="I19" s="107">
        <v>120000</v>
      </c>
      <c r="J19" s="6" t="s">
        <v>82</v>
      </c>
      <c r="K19" s="17"/>
      <c r="S19" s="41"/>
      <c r="T19" s="41"/>
      <c r="U19" s="15"/>
      <c r="V19" s="15"/>
      <c r="W19" s="15"/>
      <c r="X19" s="15"/>
      <c r="Y19" s="22">
        <v>0</v>
      </c>
      <c r="Z19" s="44">
        <v>0</v>
      </c>
      <c r="AA19" s="46">
        <f t="shared" ref="AA19:AA57" si="0">Z19/12^0.5</f>
        <v>0</v>
      </c>
      <c r="AB19" s="45">
        <v>0</v>
      </c>
      <c r="AC19" s="43">
        <f>C16</f>
        <v>140000</v>
      </c>
      <c r="AD19" s="43">
        <f>AC19/((AC19/C18)+0.002*C19*(AC19/C17)^C19)</f>
        <v>1424790.3618112213</v>
      </c>
      <c r="AE19" s="43">
        <f>C17-(C17^2/(4*PI()^2*C18))*Y19^2</f>
        <v>120000</v>
      </c>
      <c r="AF19" s="43"/>
      <c r="AH19" s="15">
        <f>(Y28-Y19)/9</f>
        <v>5.023915710682413</v>
      </c>
      <c r="AI19" s="9"/>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E20" s="114" t="s">
        <v>84</v>
      </c>
      <c r="F20" s="115">
        <v>0</v>
      </c>
      <c r="G20" s="111" t="s">
        <v>65</v>
      </c>
      <c r="H20" s="40"/>
      <c r="I20" s="40"/>
      <c r="J20" s="40"/>
      <c r="K20" s="40"/>
      <c r="S20" s="41"/>
      <c r="T20" s="41"/>
      <c r="U20" s="15"/>
      <c r="V20" s="51"/>
      <c r="W20" s="15"/>
      <c r="X20" s="15"/>
      <c r="Y20" s="43">
        <f>Y19+AH19</f>
        <v>5.023915710682413</v>
      </c>
      <c r="Z20" s="44">
        <f t="shared" ref="Z20:Z57" si="1">(PI()^2/AB20)^0.5</f>
        <v>1.113573352195413</v>
      </c>
      <c r="AA20" s="46">
        <f t="shared" si="0"/>
        <v>0.32146093732620784</v>
      </c>
      <c r="AB20" s="45">
        <f>(PI()^2*C18/Y20^2)/AD20</f>
        <v>7.9590656309496417</v>
      </c>
      <c r="AC20" s="43">
        <f>IF((PI()^2*C18/Y20^2)&gt;C16,C16,(PI()^2*C18/Y20^2))</f>
        <v>140000</v>
      </c>
      <c r="AD20" s="43">
        <f>AC20/((AC20/C18)+0.002*C19*(AC20/C17)^C19)</f>
        <v>1424790.3618112213</v>
      </c>
      <c r="AE20" s="43">
        <f>C17-(C17^2/(4*PI()^2*C18))*Y20^2</f>
        <v>119682.53968253969</v>
      </c>
      <c r="AF20" s="43"/>
      <c r="AG20" s="37"/>
      <c r="AH20" s="15">
        <f>C17/2</f>
        <v>60000</v>
      </c>
      <c r="AI20" s="9"/>
      <c r="AK20" s="15" t="s">
        <v>91</v>
      </c>
      <c r="AL20" s="15"/>
      <c r="AM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E21" s="116" t="s">
        <v>85</v>
      </c>
      <c r="F21" s="115">
        <v>0.215</v>
      </c>
      <c r="G21" s="117" t="s">
        <v>65</v>
      </c>
      <c r="H21" s="6" t="s">
        <v>79</v>
      </c>
      <c r="I21" s="40"/>
      <c r="J21" s="40"/>
      <c r="S21" s="41"/>
      <c r="T21" s="41"/>
      <c r="U21" s="15"/>
      <c r="V21" s="15"/>
      <c r="W21" s="15"/>
      <c r="X21" s="15"/>
      <c r="Y21" s="43">
        <f>Y20+AH19</f>
        <v>10.047831421364826</v>
      </c>
      <c r="Z21" s="44">
        <f t="shared" si="1"/>
        <v>2.227146704390826</v>
      </c>
      <c r="AA21" s="46">
        <f t="shared" si="0"/>
        <v>0.64292187465241568</v>
      </c>
      <c r="AB21" s="45">
        <f>(PI()^2*C18/Y21^2)/AD21</f>
        <v>1.9897664077374104</v>
      </c>
      <c r="AC21" s="43">
        <f>IF((PI()^2*C18/Y21^2)&gt;C16,C16,(PI()^2*C18/Y21^2))</f>
        <v>140000</v>
      </c>
      <c r="AD21" s="43">
        <f>AC21/((AC21/C18)+0.002*C19*(AC21/C17)^C19)</f>
        <v>1424790.3618112213</v>
      </c>
      <c r="AE21" s="43">
        <f>C17-(C17^2/(4*PI()^2*C18))*Y21^2</f>
        <v>118730.15873015873</v>
      </c>
      <c r="AF21" s="43"/>
      <c r="AG21" s="37"/>
      <c r="AH21" s="15">
        <f>C16</f>
        <v>140000</v>
      </c>
      <c r="AI21" s="9"/>
      <c r="AK21" s="15"/>
      <c r="AL21" s="15"/>
      <c r="AM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15"/>
      <c r="H22" s="20" t="s">
        <v>64</v>
      </c>
      <c r="I22" s="6" t="str">
        <f ca="1">[1]!xlv(I23)</f>
        <v>√[2 × π² × Ec / Fcy]</v>
      </c>
      <c r="J22" s="21"/>
      <c r="S22" s="41"/>
      <c r="T22" s="41"/>
      <c r="U22" s="15"/>
      <c r="V22" s="18"/>
      <c r="W22" s="18"/>
      <c r="X22" s="18"/>
      <c r="Y22" s="43">
        <f>Y21+AH19</f>
        <v>15.071747132047239</v>
      </c>
      <c r="Z22" s="44">
        <f t="shared" si="1"/>
        <v>3.3407200565862389</v>
      </c>
      <c r="AA22" s="46">
        <f t="shared" si="0"/>
        <v>0.96438281197862352</v>
      </c>
      <c r="AB22" s="45">
        <f>(PI()^2*C18/Y22^2)/AD22</f>
        <v>0.88434062566107141</v>
      </c>
      <c r="AC22" s="43">
        <f>IF((PI()^2*C18/Y22^2)&gt;C16,C16,(PI()^2*C18/Y22^2))</f>
        <v>140000</v>
      </c>
      <c r="AD22" s="43">
        <f>AC22/((AC22/C18)+0.002*C19*(AC22/C17)^C19)</f>
        <v>1424790.3618112213</v>
      </c>
      <c r="AE22" s="43">
        <f>C17-(C17^2/(4*PI()^2*C18))*Y22^2</f>
        <v>117142.85714285714</v>
      </c>
      <c r="AF22" s="43"/>
      <c r="AG22" s="37"/>
      <c r="AH22" s="15">
        <f>(Y52-Y28)/24</f>
        <v>0.99384086215409762</v>
      </c>
      <c r="AI22" s="9"/>
      <c r="AK22" s="113"/>
      <c r="AL22" s="113"/>
      <c r="AM22" s="111"/>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B23" s="24"/>
      <c r="C23" s="17"/>
      <c r="D23" s="95"/>
      <c r="E23" s="17"/>
      <c r="F23" s="11"/>
      <c r="G23" s="24"/>
      <c r="H23" s="20" t="s">
        <v>64</v>
      </c>
      <c r="I23" s="108">
        <f>SQRT(2*PI()^2*C18/C17)</f>
        <v>69.067422087840058</v>
      </c>
      <c r="J23" s="21"/>
      <c r="S23" s="41"/>
      <c r="T23" s="41"/>
      <c r="U23" s="15"/>
      <c r="V23" s="18"/>
      <c r="W23" s="18"/>
      <c r="X23" s="18"/>
      <c r="Y23" s="43">
        <f>Y22+AH19</f>
        <v>20.095662842729652</v>
      </c>
      <c r="Z23" s="44">
        <f t="shared" si="1"/>
        <v>4.4542934087816519</v>
      </c>
      <c r="AA23" s="46">
        <f t="shared" si="0"/>
        <v>1.2858437493048314</v>
      </c>
      <c r="AB23" s="45">
        <f>(PI()^2*C18/Y23^2)/AD23</f>
        <v>0.49744160193435261</v>
      </c>
      <c r="AC23" s="43">
        <f>IF((PI()^2*C18/Y23^2)&gt;C16,C16,(PI()^2*C18/Y23^2))</f>
        <v>140000</v>
      </c>
      <c r="AD23" s="43">
        <f>AC23/((AC23/C18)+0.002*C19*(AC23/C17)^C19)</f>
        <v>1424790.3618112213</v>
      </c>
      <c r="AE23" s="43">
        <f>C17-(C17^2/(4*PI()^2*C18))*Y23^2</f>
        <v>114920.63492063491</v>
      </c>
      <c r="AF23" s="43"/>
      <c r="AG23" s="37"/>
      <c r="AH23" s="15"/>
      <c r="AI23" s="9"/>
      <c r="AK23" s="113"/>
      <c r="AL23" s="113"/>
      <c r="AM23" s="111"/>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F24" s="11"/>
      <c r="G24" s="24"/>
      <c r="S24" s="41"/>
      <c r="T24" s="41"/>
      <c r="U24" s="15"/>
      <c r="V24" s="18"/>
      <c r="W24" s="25"/>
      <c r="X24" s="18"/>
      <c r="Y24" s="43">
        <f>Y23+AH19</f>
        <v>25.119578553412065</v>
      </c>
      <c r="Z24" s="44">
        <f t="shared" si="1"/>
        <v>5.5678667609770649</v>
      </c>
      <c r="AA24" s="46">
        <f t="shared" si="0"/>
        <v>1.6073046866310392</v>
      </c>
      <c r="AB24" s="45">
        <f>(PI()^2*C18/Y24^2)/AD24</f>
        <v>0.3183626252379857</v>
      </c>
      <c r="AC24" s="43">
        <f>IF((PI()^2*C18/Y24^2)&gt;C16,C16,(PI()^2*C18/Y24^2))</f>
        <v>140000</v>
      </c>
      <c r="AD24" s="43">
        <f>AC24/((AC24/C18)+0.002*C19*(AC24/C17)^C19)</f>
        <v>1424790.3618112213</v>
      </c>
      <c r="AE24" s="43">
        <f>C17-(C17^2/(4*PI()^2*C18))*Y24^2</f>
        <v>112063.49206349206</v>
      </c>
      <c r="AF24" s="43"/>
      <c r="AG24" s="37"/>
      <c r="AH24" s="15"/>
      <c r="AI24" s="9"/>
      <c r="AK24" s="113"/>
      <c r="AL24" s="121">
        <f>I49</f>
        <v>8302.1247707315779</v>
      </c>
      <c r="AM24" s="122">
        <f>AL24 - I49/(1+(F20*F21/I31^2)*  (1/COS(I27/(2*I31)*(AL24/C18)^0.5)))</f>
        <v>0</v>
      </c>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17"/>
      <c r="C25" s="17"/>
      <c r="D25" s="95"/>
      <c r="E25" s="17"/>
      <c r="F25" s="11"/>
      <c r="G25" s="24"/>
      <c r="H25" s="6" t="s">
        <v>88</v>
      </c>
      <c r="S25" s="41"/>
      <c r="T25" s="41"/>
      <c r="U25" s="15"/>
      <c r="V25" s="18"/>
      <c r="Y25" s="43">
        <f>Y24+AH19</f>
        <v>30.143494264094478</v>
      </c>
      <c r="Z25" s="44">
        <f t="shared" si="1"/>
        <v>6.6814401131724779</v>
      </c>
      <c r="AA25" s="46">
        <f t="shared" si="0"/>
        <v>1.928765623957247</v>
      </c>
      <c r="AB25" s="45">
        <f>(PI()^2*C18/Y25^2)/AD25</f>
        <v>0.22108515641526785</v>
      </c>
      <c r="AC25" s="43">
        <f>IF((PI()^2*C18/Y25^2)&gt;C16,C16,(PI()^2*C18/Y25^2))</f>
        <v>140000</v>
      </c>
      <c r="AD25" s="43">
        <f>AC25/((AC25/C18)+0.002*C19*(AC25/C17)^C19)</f>
        <v>1424790.3618112213</v>
      </c>
      <c r="AE25" s="43">
        <f>C17-(C17^2/(4*PI()^2*C18))*Y25^2</f>
        <v>108571.42857142857</v>
      </c>
      <c r="AF25" s="43"/>
      <c r="AG25" s="37"/>
      <c r="AI25" s="9"/>
      <c r="AJ25" s="15"/>
      <c r="AK25" s="113"/>
      <c r="AL25" s="121">
        <f>AL24-AM24/2</f>
        <v>8302.1247707315779</v>
      </c>
      <c r="AM25" s="122">
        <f>AL25 - I49/(1+(F20*F21/I31^2)*  (1/COS(I27/(2*I31)*(AL25/C18)^0.5)))</f>
        <v>0</v>
      </c>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17"/>
      <c r="C26" s="17"/>
      <c r="D26" s="95"/>
      <c r="E26" s="17"/>
      <c r="F26" s="11"/>
      <c r="G26" s="24"/>
      <c r="H26" s="20" t="s">
        <v>89</v>
      </c>
      <c r="I26" s="6" t="str">
        <f ca="1">[1]!xlv(I27)</f>
        <v>(L / √[C])</v>
      </c>
      <c r="S26" s="41"/>
      <c r="T26" s="41"/>
      <c r="U26" s="15"/>
      <c r="V26" s="18"/>
      <c r="Y26" s="43">
        <f>Y25+AH19</f>
        <v>35.167409974776888</v>
      </c>
      <c r="Z26" s="44">
        <f t="shared" si="1"/>
        <v>7.7950134653678917</v>
      </c>
      <c r="AA26" s="46">
        <f t="shared" si="0"/>
        <v>2.2502265612834549</v>
      </c>
      <c r="AB26" s="45">
        <f>(PI()^2*C18/Y26^2)/AD26</f>
        <v>0.16242991083570699</v>
      </c>
      <c r="AC26" s="43">
        <f>IF((PI()^2*C18/Y26^2)&gt;C16,C16,(PI()^2*C18/Y26^2))</f>
        <v>140000</v>
      </c>
      <c r="AD26" s="43">
        <f>AC26/((AC26/C18)+0.002*C19*(AC26/C17)^C19)</f>
        <v>1424790.3618112213</v>
      </c>
      <c r="AE26" s="43">
        <f>C17-(C17^2/(4*PI()^2*C18))*Y26^2</f>
        <v>104444.44444444444</v>
      </c>
      <c r="AF26" s="43"/>
      <c r="AG26" s="37"/>
      <c r="AH26" s="18"/>
      <c r="AI26" s="18"/>
      <c r="AJ26" s="9"/>
      <c r="AK26" s="113"/>
      <c r="AL26" s="121">
        <f t="shared" ref="AL26:AL50" si="2">AL25-AM25/2</f>
        <v>8302.1247707315779</v>
      </c>
      <c r="AM26" s="122">
        <f>AL26 - I49/(1+(F20*F21/I31^2)*  (1/COS(I27/(2*I31)*(AL26/C18)^0.5)))</f>
        <v>0</v>
      </c>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24"/>
      <c r="C27" s="17"/>
      <c r="D27" s="95"/>
      <c r="E27" s="17"/>
      <c r="F27" s="11"/>
      <c r="G27" s="24"/>
      <c r="H27" s="20" t="s">
        <v>89</v>
      </c>
      <c r="I27" s="120">
        <f>(F16/SQRT(F19))</f>
        <v>20.318000000000001</v>
      </c>
      <c r="J27" s="6" t="s">
        <v>65</v>
      </c>
      <c r="S27" s="41"/>
      <c r="T27" s="41"/>
      <c r="U27" s="15"/>
      <c r="V27" s="18"/>
      <c r="Y27" s="43">
        <f>Y26+AH19</f>
        <v>40.191325685459304</v>
      </c>
      <c r="Z27" s="44">
        <f t="shared" si="1"/>
        <v>8.9085868175633038</v>
      </c>
      <c r="AA27" s="46">
        <f t="shared" si="0"/>
        <v>2.5716874986096627</v>
      </c>
      <c r="AB27" s="45">
        <f>(PI()^2*C18/Y27^2)/AD27</f>
        <v>0.12436040048358815</v>
      </c>
      <c r="AC27" s="43">
        <f>IF((PI()^2*C18/Y27^2)&gt;C16,C16,(PI()^2*C18/Y27^2))</f>
        <v>140000</v>
      </c>
      <c r="AD27" s="43">
        <f>AC27/((AC27/C18)+0.002*C19*(AC27/C17)^C19)</f>
        <v>1424790.3618112213</v>
      </c>
      <c r="AE27" s="43">
        <f>C17-(C17^2/(4*PI()^2*C18))*Y27^2</f>
        <v>99682.539682539675</v>
      </c>
      <c r="AF27" s="43"/>
      <c r="AG27" s="37"/>
      <c r="AH27" s="105">
        <f>I35</f>
        <v>185.67534675228183</v>
      </c>
      <c r="AI27" s="18">
        <v>0</v>
      </c>
      <c r="AJ27" s="18"/>
      <c r="AK27" s="113"/>
      <c r="AL27" s="121">
        <f t="shared" si="2"/>
        <v>8302.1247707315779</v>
      </c>
      <c r="AM27" s="122">
        <f>AL27 - I49/(1+(F20*F21/I31^2)*  (1/COS(I27/(2*I31)*(AL27/C18)^0.5)))</f>
        <v>0</v>
      </c>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24"/>
      <c r="C28" s="96"/>
      <c r="D28" s="95"/>
      <c r="E28" s="17"/>
      <c r="F28" s="11"/>
      <c r="G28" s="11"/>
      <c r="S28" s="41"/>
      <c r="T28" s="41"/>
      <c r="U28" s="15"/>
      <c r="V28" s="18"/>
      <c r="Y28" s="43">
        <f>(PI()^2*MIN(C18)/AH21)^0.5</f>
        <v>45.215241396141714</v>
      </c>
      <c r="Z28" s="44">
        <f t="shared" si="1"/>
        <v>10.022160169758729</v>
      </c>
      <c r="AA28" s="46">
        <f t="shared" si="0"/>
        <v>2.8931484359358741</v>
      </c>
      <c r="AB28" s="45">
        <f>(PI()^2*C18/Y28^2)/AD28</f>
        <v>9.8260069517896606E-2</v>
      </c>
      <c r="AC28" s="43">
        <f>IF((PI()^2*C18/Y28^2)&gt;C16,C16,(PI()^2*C18/Y28^2))</f>
        <v>139999.99999999997</v>
      </c>
      <c r="AD28" s="43">
        <f>AC28/((AC28/C18)+0.002*C19*(AC28/C17)^C19)</f>
        <v>1424790.3618112244</v>
      </c>
      <c r="AE28" s="43">
        <f>C17-(C17^2/(4*PI()^2*C18))*Y28^2</f>
        <v>94285.71428571429</v>
      </c>
      <c r="AF28" s="43">
        <f>PI()^2*C18/Y28^2</f>
        <v>139999.99999999997</v>
      </c>
      <c r="AG28" s="37"/>
      <c r="AH28" s="105">
        <f>I35</f>
        <v>185.67534675228183</v>
      </c>
      <c r="AI28" s="18">
        <f>AI43</f>
        <v>8302.1247707315779</v>
      </c>
      <c r="AJ28" s="18"/>
      <c r="AK28" s="113"/>
      <c r="AL28" s="121">
        <f t="shared" si="2"/>
        <v>8302.1247707315779</v>
      </c>
      <c r="AM28" s="122">
        <f>AL28 - I49/(1+(F20*F21/I31^2)*  (1/COS(I27/(2*I31)*(AL28/C18)^0.5)))</f>
        <v>0</v>
      </c>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17"/>
      <c r="C29" s="96"/>
      <c r="D29" s="95"/>
      <c r="E29" s="17"/>
      <c r="F29" s="11"/>
      <c r="G29" s="24"/>
      <c r="H29" s="6" t="s">
        <v>76</v>
      </c>
      <c r="S29" s="41"/>
      <c r="T29" s="41"/>
      <c r="U29" s="15"/>
      <c r="V29" s="18"/>
      <c r="W29" s="26"/>
      <c r="X29" s="22"/>
      <c r="Y29" s="43">
        <f>Y28+AH22</f>
        <v>46.209082258295808</v>
      </c>
      <c r="Z29" s="44">
        <f t="shared" si="1"/>
        <v>12.312189737610483</v>
      </c>
      <c r="AA29" s="46">
        <f t="shared" si="0"/>
        <v>3.5542230296615802</v>
      </c>
      <c r="AB29" s="45">
        <f>(PI()^2*C18/Y29^2)/AD29</f>
        <v>6.5107219147631956E-2</v>
      </c>
      <c r="AC29" s="43">
        <f>IF((PI()^2*C18/Y29^2)&gt;C16,C16,(PI()^2*C18/Y29^2))</f>
        <v>134042.66593587125</v>
      </c>
      <c r="AD29" s="43">
        <f>AC29/((AC29/C18)+0.002*C19*(AC29/C17)^C19)</f>
        <v>2058798.8197119394</v>
      </c>
      <c r="AE29" s="43">
        <f>C17-(C17^2/(4*PI()^2*C18))*Y29^2</f>
        <v>93142.879732619505</v>
      </c>
      <c r="AF29" s="43">
        <f>PI()^2*C18/Y29^2</f>
        <v>134042.66593587125</v>
      </c>
      <c r="AG29" s="37"/>
      <c r="AH29" s="18">
        <v>0</v>
      </c>
      <c r="AI29" s="18">
        <f>AI43</f>
        <v>8302.1247707315779</v>
      </c>
      <c r="AJ29" s="18"/>
      <c r="AK29" s="113"/>
      <c r="AL29" s="121">
        <f t="shared" si="2"/>
        <v>8302.1247707315779</v>
      </c>
      <c r="AM29" s="122">
        <f>AL29 - I49/(1+(F20*F21/I31^2)*  (1/COS(I27/(2*I31)*(AL29/C18)^0.5)))</f>
        <v>0</v>
      </c>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6"/>
      <c r="D30" s="95"/>
      <c r="E30" s="17"/>
      <c r="F30" s="17"/>
      <c r="G30" s="17"/>
      <c r="H30" s="20" t="s">
        <v>69</v>
      </c>
      <c r="I30" s="6" t="str">
        <f ca="1">[1]!xlv(I31)</f>
        <v>√[I / A]</v>
      </c>
      <c r="J30" s="19"/>
      <c r="S30" s="41"/>
      <c r="T30" s="41"/>
      <c r="U30" s="15"/>
      <c r="V30" s="18"/>
      <c r="W30" s="26"/>
      <c r="X30" s="22"/>
      <c r="Y30" s="43">
        <f>Y29+AH22</f>
        <v>47.202923120449903</v>
      </c>
      <c r="Z30" s="44">
        <f t="shared" si="1"/>
        <v>14.985542458718758</v>
      </c>
      <c r="AA30" s="46">
        <f t="shared" si="0"/>
        <v>4.3259534862469211</v>
      </c>
      <c r="AB30" s="45">
        <f>(PI()^2*C18/Y30^2)/AD30</f>
        <v>4.3949588018741048E-2</v>
      </c>
      <c r="AC30" s="43">
        <f>IF((PI()^2*C18/Y30^2)&gt;C16,C16,(PI()^2*C18/Y30^2))</f>
        <v>128457.64489426493</v>
      </c>
      <c r="AD30" s="43">
        <f>AC30/((AC30/C18)+0.002*C19*(AC30/C17)^C19)</f>
        <v>2922840.7064814311</v>
      </c>
      <c r="AE30" s="43">
        <f>C17-(C17^2/(4*PI()^2*C18))*Y30^2</f>
        <v>91975.198494700686</v>
      </c>
      <c r="AF30" s="43">
        <f>PI()^2*C18/Y30^2</f>
        <v>128457.64489426493</v>
      </c>
      <c r="AG30" s="37"/>
      <c r="AH30" s="18"/>
      <c r="AI30" s="18"/>
      <c r="AJ30" s="18"/>
      <c r="AK30" s="113"/>
      <c r="AL30" s="121">
        <f t="shared" si="2"/>
        <v>8302.1247707315779</v>
      </c>
      <c r="AM30" s="122">
        <f>AL30 - I49/(1+(F20*F21/I31^2)*  (1/COS(I27/(2*I31)*(AL30/C18)^0.5)))</f>
        <v>0</v>
      </c>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6"/>
      <c r="D31" s="95"/>
      <c r="E31" s="17"/>
      <c r="F31" s="17"/>
      <c r="G31" s="24"/>
      <c r="H31" s="20" t="s">
        <v>69</v>
      </c>
      <c r="I31" s="103">
        <f>SQRT(F18/F17)</f>
        <v>0.10942755920691613</v>
      </c>
      <c r="J31" s="39" t="s">
        <v>65</v>
      </c>
      <c r="S31" s="41"/>
      <c r="T31" s="41"/>
      <c r="U31" s="15"/>
      <c r="V31" s="18"/>
      <c r="W31" s="21"/>
      <c r="X31" s="21"/>
      <c r="Y31" s="43">
        <f>Y30+AH22</f>
        <v>48.196763982603997</v>
      </c>
      <c r="Z31" s="44">
        <f t="shared" si="1"/>
        <v>18.047812778315073</v>
      </c>
      <c r="AA31" s="46">
        <f t="shared" si="0"/>
        <v>5.2099547829220878</v>
      </c>
      <c r="AB31" s="45">
        <f>(PI()^2*C18/Y31^2)/AD31</f>
        <v>3.0300555547284856E-2</v>
      </c>
      <c r="AC31" s="43">
        <f>IF((PI()^2*C18/Y31^2)&gt;C16,C16,(PI()^2*C18/Y31^2))</f>
        <v>123214.5466568479</v>
      </c>
      <c r="AD31" s="43">
        <f>AC31/((AC31/C18)+0.002*C19*(AC31/C17)^C19)</f>
        <v>4066412.1311098798</v>
      </c>
      <c r="AE31" s="43">
        <f>C17-(C17^2/(4*PI()^2*C18))*Y31^2</f>
        <v>90782.670571957802</v>
      </c>
      <c r="AF31" s="43">
        <f>PI()^2*C18/Y31^2</f>
        <v>123214.5466568479</v>
      </c>
      <c r="AG31" s="37"/>
      <c r="AH31" s="105">
        <f>AH27</f>
        <v>185.67534675228183</v>
      </c>
      <c r="AI31" s="18">
        <v>0</v>
      </c>
      <c r="AJ31" s="18"/>
      <c r="AK31" s="113"/>
      <c r="AL31" s="121">
        <f t="shared" si="2"/>
        <v>8302.1247707315779</v>
      </c>
      <c r="AM31" s="122">
        <f>AL31 - I49/(1+(F20*F21/I31^2)*  (1/COS(I27/(2*I31)*(AL31/C18)^0.5)))</f>
        <v>0</v>
      </c>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17"/>
      <c r="D32" s="95"/>
      <c r="E32" s="17"/>
      <c r="F32" s="17"/>
      <c r="G32" s="11"/>
      <c r="S32" s="41"/>
      <c r="T32" s="41"/>
      <c r="U32" s="15"/>
      <c r="V32" s="18"/>
      <c r="W32" s="22"/>
      <c r="X32" s="21"/>
      <c r="Y32" s="43">
        <f>Y31+AH22</f>
        <v>49.190604844758091</v>
      </c>
      <c r="Z32" s="44">
        <f t="shared" si="1"/>
        <v>21.475996628663033</v>
      </c>
      <c r="AA32" s="46">
        <f t="shared" si="0"/>
        <v>6.1995862173370488</v>
      </c>
      <c r="AB32" s="45">
        <f>(PI()^2*C18/Y32^2)/AD32</f>
        <v>2.1398980902674621E-2</v>
      </c>
      <c r="AC32" s="43">
        <f>IF((PI()^2*C18/Y32^2)&gt;C16,C16,(PI()^2*C18/Y32^2))</f>
        <v>118286.01966320875</v>
      </c>
      <c r="AD32" s="43">
        <f>AC32/((AC32/C18)+0.002*C19*(AC32/C17)^C19)</f>
        <v>5527647.3305522874</v>
      </c>
      <c r="AE32" s="43">
        <f>C17-(C17^2/(4*PI()^2*C18))*Y32^2</f>
        <v>89565.295964390869</v>
      </c>
      <c r="AF32" s="43">
        <f>PI()^2*C18/Y32^2</f>
        <v>118286.01966320875</v>
      </c>
      <c r="AG32" s="37"/>
      <c r="AH32" s="105">
        <f>AH28</f>
        <v>185.67534675228183</v>
      </c>
      <c r="AI32" s="105">
        <f>AI43</f>
        <v>8302.1247707315779</v>
      </c>
      <c r="AJ32" s="18"/>
      <c r="AK32" s="113"/>
      <c r="AL32" s="121">
        <f t="shared" si="2"/>
        <v>8302.1247707315779</v>
      </c>
      <c r="AM32" s="122">
        <f>AL32 - I49/(1+(F20*F21/I31^2)*  (1/COS(I27/(2*I31)*(AL32/C18)^0.5)))</f>
        <v>0</v>
      </c>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24"/>
      <c r="C33" s="17"/>
      <c r="D33" s="95"/>
      <c r="E33" s="17"/>
      <c r="F33" s="17"/>
      <c r="H33" s="6" t="s">
        <v>70</v>
      </c>
      <c r="I33" s="40"/>
      <c r="J33" s="40"/>
      <c r="S33" s="41"/>
      <c r="T33" s="41"/>
      <c r="U33" s="15"/>
      <c r="X33" s="21"/>
      <c r="Y33" s="43">
        <f>Y32+AH22</f>
        <v>50.184445706912186</v>
      </c>
      <c r="Z33" s="44">
        <f t="shared" si="1"/>
        <v>25.210839069227728</v>
      </c>
      <c r="AA33" s="46">
        <f t="shared" si="0"/>
        <v>7.2777423615574817</v>
      </c>
      <c r="AB33" s="45">
        <f>(PI()^2*C18/Y33^2)/AD33</f>
        <v>1.5528344059907941E-2</v>
      </c>
      <c r="AC33" s="43">
        <f>IF((PI()^2*C18/Y33^2)&gt;C16,C16,(PI()^2*C18/Y33^2))</f>
        <v>113647.39357509103</v>
      </c>
      <c r="AD33" s="43">
        <f>AC33/((AC33/C18)+0.002*C19*(AC33/C17)^C19)</f>
        <v>7318706.5624410687</v>
      </c>
      <c r="AE33" s="43">
        <f>C17-(C17^2/(4*PI()^2*C18))*Y33^2</f>
        <v>88323.074671999871</v>
      </c>
      <c r="AF33" s="43">
        <f>PI()^2*C18/Y33^2</f>
        <v>113647.39357509103</v>
      </c>
      <c r="AG33" s="37"/>
      <c r="AH33" s="18">
        <f>AH29</f>
        <v>0</v>
      </c>
      <c r="AI33" s="105">
        <f>AI43</f>
        <v>8302.1247707315779</v>
      </c>
      <c r="AJ33" s="18"/>
      <c r="AK33" s="113"/>
      <c r="AL33" s="121">
        <f t="shared" si="2"/>
        <v>8302.1247707315779</v>
      </c>
      <c r="AM33" s="122">
        <f>AL33 - I49/(1+(F20*F21/I31^2)*  (1/COS(I27/(2*I31)*(AL33/C18)^0.5)))</f>
        <v>0</v>
      </c>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5"/>
      <c r="E34" s="17"/>
      <c r="F34" s="17"/>
      <c r="H34" s="20" t="s">
        <v>71</v>
      </c>
      <c r="I34" s="6" t="str">
        <f ca="1">[1]!xlv(I35)</f>
        <v>(L / √[C]) / R</v>
      </c>
      <c r="J34" s="94"/>
      <c r="S34" s="41"/>
      <c r="T34" s="41"/>
      <c r="U34" s="15"/>
      <c r="X34" s="21"/>
      <c r="Y34" s="43">
        <f>Y33+AH22</f>
        <v>51.17828656906628</v>
      </c>
      <c r="Z34" s="44">
        <f t="shared" si="1"/>
        <v>29.154993257181602</v>
      </c>
      <c r="AA34" s="46">
        <f t="shared" si="0"/>
        <v>8.416321602627761</v>
      </c>
      <c r="AB34" s="45">
        <f>(PI()^2*C18/Y34^2)/AD34</f>
        <v>1.1611113082838362E-2</v>
      </c>
      <c r="AC34" s="43">
        <f>IF((PI()^2*C18/Y34^2)&gt;C16,C16,(PI()^2*C18/Y34^2))</f>
        <v>109276.36994845139</v>
      </c>
      <c r="AD34" s="43">
        <f>AC34/((AC34/C18)+0.002*C19*(AC34/C17)^C19)</f>
        <v>9411360.4069506265</v>
      </c>
      <c r="AE34" s="43">
        <f>C17-(C17^2/(4*PI()^2*C18))*Y34^2</f>
        <v>87056.006694784825</v>
      </c>
      <c r="AF34" s="43">
        <f>PI()^2*C18/Y34^2</f>
        <v>109276.36994845139</v>
      </c>
      <c r="AG34" s="37"/>
      <c r="AH34" s="18"/>
      <c r="AI34" s="18"/>
      <c r="AJ34" s="18"/>
      <c r="AK34" s="113"/>
      <c r="AL34" s="121">
        <f t="shared" si="2"/>
        <v>8302.1247707315779</v>
      </c>
      <c r="AM34" s="122">
        <f>AL34 - I49/(1+(F20*F21/I31^2)*  (1/COS(I27/(2*I31)*(AL34/C18)^0.5)))</f>
        <v>0</v>
      </c>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F35" s="17"/>
      <c r="G35" s="24"/>
      <c r="H35" s="20" t="s">
        <v>71</v>
      </c>
      <c r="I35" s="104">
        <f>(F16/SQRT(F19))/I31</f>
        <v>185.67534675228183</v>
      </c>
      <c r="J35" s="17"/>
      <c r="S35" s="41"/>
      <c r="T35" s="41"/>
      <c r="U35" s="15"/>
      <c r="V35" s="18"/>
      <c r="W35" s="18"/>
      <c r="X35" s="18"/>
      <c r="Y35" s="43">
        <f>Y34+AH22</f>
        <v>52.172127431220375</v>
      </c>
      <c r="Z35" s="44">
        <f t="shared" si="1"/>
        <v>33.180769270909771</v>
      </c>
      <c r="AA35" s="46">
        <f t="shared" si="0"/>
        <v>9.5784630352393094</v>
      </c>
      <c r="AB35" s="45">
        <f>(PI()^2*C18/Y35^2)/AD35</f>
        <v>8.9645159486304894E-3</v>
      </c>
      <c r="AC35" s="43">
        <f>IF((PI()^2*C18/Y35^2)&gt;C16,C16,(PI()^2*C18/Y35^2))</f>
        <v>105152.75375326112</v>
      </c>
      <c r="AD35" s="43">
        <f>AC35/((AC35/C18)+0.002*C19*(AC35/C17)^C19)</f>
        <v>11729886.405001635</v>
      </c>
      <c r="AE35" s="43">
        <f>C17-(C17^2/(4*PI()^2*C18))*Y35^2</f>
        <v>85764.092032745713</v>
      </c>
      <c r="AF35" s="43">
        <f>PI()^2*C18/Y35^2</f>
        <v>105152.75375326112</v>
      </c>
      <c r="AG35" s="37"/>
      <c r="AI35" s="9"/>
      <c r="AJ35" s="18"/>
      <c r="AK35" s="112"/>
      <c r="AL35" s="121">
        <f t="shared" si="2"/>
        <v>8302.1247707315779</v>
      </c>
      <c r="AM35" s="122">
        <f>AL35 - I49/(1+(F20*F21/I31^2)*  (1/COS(I27/(2*I31)*(AL35/C18)^0.5)))</f>
        <v>0</v>
      </c>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5"/>
      <c r="E36" s="17"/>
      <c r="F36" s="17"/>
      <c r="G36" s="24"/>
      <c r="S36" s="41"/>
      <c r="T36" s="41"/>
      <c r="U36" s="15"/>
      <c r="Y36" s="43">
        <f>Y35+AH22</f>
        <v>53.165968293374469</v>
      </c>
      <c r="Z36" s="44">
        <f t="shared" si="1"/>
        <v>37.148073573104796</v>
      </c>
      <c r="AA36" s="46">
        <f t="shared" si="0"/>
        <v>10.723725138654039</v>
      </c>
      <c r="AB36" s="45">
        <f>(PI()^2*C18/Y36^2)/AD36</f>
        <v>7.1519941632970964E-3</v>
      </c>
      <c r="AC36" s="43">
        <f>IF((PI()^2*C18/Y36^2)&gt;C16,C16,(PI()^2*C18/Y36^2))</f>
        <v>101258.21969070805</v>
      </c>
      <c r="AD36" s="43">
        <f>AC36/((AC36/C18)+0.002*C19*(AC36/C17)^C19)</f>
        <v>14158040.034533197</v>
      </c>
      <c r="AE36" s="43">
        <f>C17-(C17^2/(4*PI()^2*C18))*Y36^2</f>
        <v>84447.330685882538</v>
      </c>
      <c r="AF36" s="43">
        <f>PI()^2*C18/Y36^2</f>
        <v>101258.21969070805</v>
      </c>
      <c r="AG36" s="37"/>
      <c r="AI36" s="9"/>
      <c r="AJ36" s="18"/>
      <c r="AK36" s="112"/>
      <c r="AL36" s="121">
        <f t="shared" si="2"/>
        <v>8302.1247707315779</v>
      </c>
      <c r="AM36" s="122">
        <f>AL36 - I49/(1+(F20*F21/I31^2)*  (1/COS(I27/(2*I31)*(AL36/C18)^0.5)))</f>
        <v>0</v>
      </c>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5"/>
      <c r="E37" s="17"/>
      <c r="F37" s="17"/>
      <c r="G37" s="24"/>
      <c r="H37" s="21" t="s">
        <v>72</v>
      </c>
      <c r="I37" s="21"/>
      <c r="J37" s="11"/>
      <c r="K37" s="28"/>
      <c r="S37" s="41"/>
      <c r="T37" s="41"/>
      <c r="U37" s="15"/>
      <c r="Y37" s="43">
        <f>Y36+AH22</f>
        <v>54.159809155528563</v>
      </c>
      <c r="Z37" s="44">
        <f t="shared" si="1"/>
        <v>40.927920317461101</v>
      </c>
      <c r="AA37" s="46">
        <f t="shared" si="0"/>
        <v>11.81487290632886</v>
      </c>
      <c r="AB37" s="45">
        <f>(PI()^2*C18/Y37^2)/AD37</f>
        <v>5.8919681543119946E-3</v>
      </c>
      <c r="AC37" s="43">
        <f>IF((PI()^2*C18/Y37^2)&gt;C16,C16,(PI()^2*C18/Y37^2))</f>
        <v>97576.10824729607</v>
      </c>
      <c r="AD37" s="43">
        <f>AC37/((AC37/C18)+0.002*C19*(AC37/C17)^C19)</f>
        <v>16560868.234816527</v>
      </c>
      <c r="AE37" s="43">
        <f>C17-(C17^2/(4*PI()^2*C18))*Y37^2</f>
        <v>83105.722654195328</v>
      </c>
      <c r="AF37" s="43">
        <f>PI()^2*C18/Y37^2</f>
        <v>97576.10824729607</v>
      </c>
      <c r="AG37" s="37"/>
      <c r="AI37" s="9"/>
      <c r="AJ37" s="18"/>
      <c r="AK37" s="112"/>
      <c r="AL37" s="121">
        <f t="shared" si="2"/>
        <v>8302.1247707315779</v>
      </c>
      <c r="AM37" s="122">
        <f>AL37 - I49/(1+(F20*F21/I31^2)*  (1/COS(I27/(2*I31)*(AL37/C18)^0.5)))</f>
        <v>0</v>
      </c>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5"/>
      <c r="E38" s="17"/>
      <c r="F38" s="17"/>
      <c r="G38" s="24"/>
      <c r="H38" s="20" t="s">
        <v>98</v>
      </c>
      <c r="I38" s="6" t="str">
        <f ca="1">[1]!xlv(I39)</f>
        <v>(π² × Ec) / (S)²</v>
      </c>
      <c r="K38" s="12"/>
      <c r="S38" s="41"/>
      <c r="T38" s="41"/>
      <c r="U38" s="15"/>
      <c r="Y38" s="43">
        <f>Y37+AH22</f>
        <v>55.153650017682658</v>
      </c>
      <c r="Z38" s="44">
        <f t="shared" si="1"/>
        <v>44.423165488675835</v>
      </c>
      <c r="AA38" s="46">
        <f t="shared" si="0"/>
        <v>12.823863276571144</v>
      </c>
      <c r="AB38" s="45">
        <f>(PI()^2*C18/Y38^2)/AD38</f>
        <v>5.0012750676172724E-3</v>
      </c>
      <c r="AC38" s="43">
        <f>IF((PI()^2*C18/Y38^2)&gt;C16,C16,(PI()^2*C18/Y38^2))</f>
        <v>94091.247238464057</v>
      </c>
      <c r="AD38" s="43">
        <f>AC38/((AC38/C18)+0.002*C19*(AC38/C17)^C19)</f>
        <v>18813451.763070371</v>
      </c>
      <c r="AE38" s="43">
        <f>C17-(C17^2/(4*PI()^2*C18))*Y38^2</f>
        <v>81739.267937684039</v>
      </c>
      <c r="AF38" s="43">
        <f>PI()^2*C18/Y38^2</f>
        <v>94091.247238464057</v>
      </c>
      <c r="AG38" s="37"/>
      <c r="AI38" s="9"/>
      <c r="AJ38" s="18"/>
      <c r="AK38" s="112"/>
      <c r="AL38" s="121">
        <f t="shared" si="2"/>
        <v>8302.1247707315779</v>
      </c>
      <c r="AM38" s="122">
        <f>AL38 - I49/(1+(F20*F21/I31^2)*  (1/COS(I27/(2*I31)*(AL38/C18)^0.5)))</f>
        <v>0</v>
      </c>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17"/>
      <c r="C39" s="17"/>
      <c r="D39" s="17"/>
      <c r="E39" s="17"/>
      <c r="F39" s="17"/>
      <c r="G39" s="24"/>
      <c r="H39" s="20" t="s">
        <v>98</v>
      </c>
      <c r="I39" s="37">
        <f>(PI()^2*C18)/(I35)^2</f>
        <v>8302.1247707315779</v>
      </c>
      <c r="J39" s="106" t="str">
        <f>IF(I39="","","psi")</f>
        <v>psi</v>
      </c>
      <c r="K39" s="12"/>
      <c r="S39" s="41"/>
      <c r="T39" s="41"/>
      <c r="U39" s="22"/>
      <c r="V39" s="15"/>
      <c r="W39" s="15"/>
      <c r="X39" s="15"/>
      <c r="Y39" s="43">
        <f>Y38+AH22</f>
        <v>56.147490879836752</v>
      </c>
      <c r="Z39" s="44">
        <f t="shared" si="1"/>
        <v>47.579224554036763</v>
      </c>
      <c r="AA39" s="46">
        <f t="shared" si="0"/>
        <v>13.73493905205339</v>
      </c>
      <c r="AB39" s="45">
        <f>(PI()^2*C18/Y39^2)/AD39</f>
        <v>4.3597845310493462E-3</v>
      </c>
      <c r="AC39" s="43">
        <f>IF((PI()^2*C18/Y39^2)&gt;C16,C16,(PI()^2*C18/Y39^2))</f>
        <v>90789.795264852975</v>
      </c>
      <c r="AD39" s="43">
        <f>AC39/((AC39/C18)+0.002*C19*(AC39/C17)^C19)</f>
        <v>20824376.667761832</v>
      </c>
      <c r="AE39" s="43">
        <f>C17-(C17^2/(4*PI()^2*C18))*Y39^2</f>
        <v>80347.9665363487</v>
      </c>
      <c r="AF39" s="43">
        <f>PI()^2*C18/Y39^2</f>
        <v>90789.795264852975</v>
      </c>
      <c r="AG39" s="37"/>
      <c r="AI39" s="13"/>
      <c r="AK39" s="111"/>
      <c r="AL39" s="121">
        <f t="shared" si="2"/>
        <v>8302.1247707315779</v>
      </c>
      <c r="AM39" s="122">
        <f>AL39 - I49/(1+(F20*F21/I31^2)*  (1/COS(I27/(2*I31)*(AL39/C18)^0.5)))</f>
        <v>0</v>
      </c>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17"/>
      <c r="C40" s="17"/>
      <c r="D40" s="17"/>
      <c r="E40" s="17"/>
      <c r="F40" s="17"/>
      <c r="G40" s="24"/>
      <c r="H40" s="94"/>
      <c r="I40" s="94"/>
      <c r="J40" s="94"/>
      <c r="K40" s="39"/>
      <c r="S40" s="41"/>
      <c r="T40" s="41"/>
      <c r="U40" s="15"/>
      <c r="Y40" s="43">
        <f>Y39+AH22</f>
        <v>57.141331741990847</v>
      </c>
      <c r="Z40" s="44">
        <f t="shared" si="1"/>
        <v>50.38286354526592</v>
      </c>
      <c r="AA40" s="46">
        <f t="shared" si="0"/>
        <v>14.544279915201731</v>
      </c>
      <c r="AB40" s="45">
        <f>(PI()^2*C18/Y40^2)/AD40</f>
        <v>3.8880697809161834E-3</v>
      </c>
      <c r="AC40" s="43">
        <f>IF((PI()^2*C18/Y40^2)&gt;C16,C16,(PI()^2*C18/Y40^2))</f>
        <v>87659.104059273712</v>
      </c>
      <c r="AD40" s="43">
        <f>AC40/((AC40/C18)+0.002*C19*(AC40/C17)^C19)</f>
        <v>22545661.214603446</v>
      </c>
      <c r="AE40" s="43">
        <f>C17-(C17^2/(4*PI()^2*C18))*Y40^2</f>
        <v>78931.818450189312</v>
      </c>
      <c r="AF40" s="43">
        <f>PI()^2*C18/Y40^2</f>
        <v>87659.104059273712</v>
      </c>
      <c r="AG40" s="9">
        <f>MATCH(I35,Z19:Z57)</f>
        <v>39</v>
      </c>
      <c r="AH40" s="13">
        <f>IF(I35&gt;Z57,I35,INDEX(Z19:Z57,AG40))</f>
        <v>185.67534675228183</v>
      </c>
      <c r="AI40" s="13">
        <f>IF(I35&gt;Z57,I39,INDEX(AC19:AC57,AG40))</f>
        <v>8302.1247707315779</v>
      </c>
      <c r="AK40" s="111"/>
      <c r="AL40" s="121">
        <f t="shared" si="2"/>
        <v>8302.1247707315779</v>
      </c>
      <c r="AM40" s="122">
        <f>AL40 - I49/(1+(F20*F21/I31^2)*  (1/COS(I27/(2*I31)*(AL40/C18)^0.5)))</f>
        <v>0</v>
      </c>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93"/>
      <c r="C41" s="17"/>
      <c r="D41" s="17"/>
      <c r="E41" s="17"/>
      <c r="F41" s="17"/>
      <c r="G41" s="17"/>
      <c r="H41" s="30" t="s">
        <v>73</v>
      </c>
      <c r="I41" s="5"/>
      <c r="J41" s="5"/>
      <c r="K41" s="40"/>
      <c r="S41" s="41"/>
      <c r="T41" s="41"/>
      <c r="U41" s="15"/>
      <c r="Y41" s="43">
        <f>Y40+AH22</f>
        <v>58.135172604144941</v>
      </c>
      <c r="Z41" s="44">
        <f t="shared" si="1"/>
        <v>52.852537368593119</v>
      </c>
      <c r="AA41" s="46">
        <f t="shared" si="0"/>
        <v>15.257213338555998</v>
      </c>
      <c r="AB41" s="45">
        <f>(PI()^2*C18/Y41^2)/AD41</f>
        <v>3.5331986960633159E-3</v>
      </c>
      <c r="AC41" s="43">
        <f>IF((PI()^2*C18/Y41^2)&gt;C16,C16,(PI()^2*C18/Y41^2))</f>
        <v>84687.597163321043</v>
      </c>
      <c r="AD41" s="43">
        <f>AC41/((AC41/C18)+0.002*C19*(AC41/C17)^C19)</f>
        <v>23969101.216322713</v>
      </c>
      <c r="AE41" s="43">
        <f>C17-(C17^2/(4*PI()^2*C18))*Y41^2</f>
        <v>77490.82367920586</v>
      </c>
      <c r="AF41" s="43">
        <f>PI()^2*C18/Y41^2</f>
        <v>84687.597163321043</v>
      </c>
      <c r="AG41" s="9">
        <f>AG40+1</f>
        <v>40</v>
      </c>
      <c r="AH41" s="13">
        <f>IF(I35&gt;Z57,I39,INDEX(Z19:Z57,AG41))</f>
        <v>8302.1247707315779</v>
      </c>
      <c r="AI41" s="13">
        <f>IF(I35&gt;Z57,I39,INDEX(AC19:AC57,AG41))</f>
        <v>8302.1247707315779</v>
      </c>
      <c r="AK41" s="111"/>
      <c r="AL41" s="121">
        <f t="shared" si="2"/>
        <v>8302.1247707315779</v>
      </c>
      <c r="AM41" s="122">
        <f>AL41 - I49/(1+(F20*F21/I31^2)*  (1/COS(I27/(2*I31)*(AL41/C18)^0.5)))</f>
        <v>0</v>
      </c>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22"/>
      <c r="B42" s="24"/>
      <c r="C42" s="30"/>
      <c r="D42" s="17"/>
      <c r="E42" s="17"/>
      <c r="F42" s="17"/>
      <c r="G42" s="17"/>
      <c r="H42" s="20" t="s">
        <v>98</v>
      </c>
      <c r="I42" s="6" t="str">
        <f ca="1">[1]!xlv(I43)</f>
        <v>Fcy - (Fcy² / (4 × π² × Ec)) × (S)²</v>
      </c>
      <c r="K42" s="40"/>
      <c r="S42" s="41"/>
      <c r="T42" s="41"/>
      <c r="U42" s="15"/>
      <c r="Y42" s="43">
        <f>Y41+AH22</f>
        <v>59.129013466299035</v>
      </c>
      <c r="Z42" s="44">
        <f t="shared" si="1"/>
        <v>55.025815130051583</v>
      </c>
      <c r="AA42" s="46">
        <f t="shared" si="0"/>
        <v>15.884584588856933</v>
      </c>
      <c r="AB42" s="45">
        <f>(PI()^2*C18/Y42^2)/AD42</f>
        <v>3.2596185145340453E-3</v>
      </c>
      <c r="AC42" s="43">
        <f>IF((PI()^2*C18/Y42^2)&gt;C16,C16,(PI()^2*C18/Y42^2))</f>
        <v>81864.662756668578</v>
      </c>
      <c r="AD42" s="43">
        <f>AC42/((AC42/C18)+0.002*C19*(AC42/C17)^C19)</f>
        <v>25114798.67709947</v>
      </c>
      <c r="AE42" s="43">
        <f>C17-(C17^2/(4*PI()^2*C18))*Y42^2</f>
        <v>76024.982223398343</v>
      </c>
      <c r="AF42" s="43">
        <f>PI()^2*C18/Y42^2</f>
        <v>81864.662756668578</v>
      </c>
      <c r="AG42" s="37"/>
      <c r="AI42" s="13"/>
      <c r="AJ42" s="18"/>
      <c r="AK42" s="111"/>
      <c r="AL42" s="121">
        <f t="shared" si="2"/>
        <v>8302.1247707315779</v>
      </c>
      <c r="AM42" s="122">
        <f>AL42 - I49/(1+(F20*F21/I31^2)*  (1/COS(I27/(2*I31)*(AL42/C18)^0.5)))</f>
        <v>0</v>
      </c>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24"/>
      <c r="C43" s="30"/>
      <c r="D43" s="17"/>
      <c r="E43" s="28"/>
      <c r="F43" s="28"/>
      <c r="G43" s="28"/>
      <c r="H43" s="20" t="s">
        <v>98</v>
      </c>
      <c r="I43" s="37">
        <f>C17-(C17^2/(4*PI()^2*C18))*(I35)^2</f>
        <v>-313623.93356113945</v>
      </c>
      <c r="J43" s="106" t="str">
        <f>IF(I43="","","psi")</f>
        <v>psi</v>
      </c>
      <c r="K43" s="39"/>
      <c r="S43" s="41"/>
      <c r="T43" s="41"/>
      <c r="U43" s="15"/>
      <c r="Y43" s="43">
        <f>Y42+AH22</f>
        <v>60.12285432845313</v>
      </c>
      <c r="Z43" s="44">
        <f t="shared" si="1"/>
        <v>56.948222764430874</v>
      </c>
      <c r="AA43" s="46">
        <f t="shared" si="0"/>
        <v>16.439535871457469</v>
      </c>
      <c r="AB43" s="45">
        <f>(PI()^2*C18/Y43^2)/AD43</f>
        <v>3.0432623630842438E-3</v>
      </c>
      <c r="AC43" s="43">
        <f>IF((PI()^2*C18/Y43^2)&gt;C16,C16,(PI()^2*C18/Y43^2))</f>
        <v>79180.558783218294</v>
      </c>
      <c r="AD43" s="43">
        <f>AC43/((AC43/C18)+0.002*C19*(AC43/C17)^C19)</f>
        <v>26018314.997649912</v>
      </c>
      <c r="AE43" s="43">
        <f>C17-(C17^2/(4*PI()^2*C18))*Y43^2</f>
        <v>74534.294082766777</v>
      </c>
      <c r="AF43" s="43">
        <f>PI()^2*C18/Y43^2</f>
        <v>79180.558783218294</v>
      </c>
      <c r="AG43" s="37"/>
      <c r="AH43" s="105">
        <f>AH32</f>
        <v>185.67534675228183</v>
      </c>
      <c r="AI43" s="18">
        <f>MIN(((AI41-AI40)*(I35-AH40)/(AH41-AH40))+AI40,I19)</f>
        <v>8302.1247707315779</v>
      </c>
      <c r="AJ43" s="18"/>
      <c r="AK43" s="111"/>
      <c r="AL43" s="121">
        <f t="shared" si="2"/>
        <v>8302.1247707315779</v>
      </c>
      <c r="AM43" s="122">
        <f>AL43 - I49/(1+(F20*F21/I31^2)*  (1/COS(I27/(2*I31)*(AL43/C18)^0.5)))</f>
        <v>0</v>
      </c>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15"/>
      <c r="B44" s="5"/>
      <c r="C44" s="33"/>
      <c r="D44" s="15"/>
      <c r="E44" s="18"/>
      <c r="F44" s="18"/>
      <c r="G44" s="18"/>
      <c r="S44" s="41"/>
      <c r="T44" s="41"/>
      <c r="U44" s="22"/>
      <c r="V44" s="18"/>
      <c r="W44" s="21"/>
      <c r="X44" s="21"/>
      <c r="Y44" s="43">
        <f>Y43+AH22</f>
        <v>61.116695190607224</v>
      </c>
      <c r="Z44" s="44">
        <f t="shared" si="1"/>
        <v>58.665430497836638</v>
      </c>
      <c r="AA44" s="46">
        <f t="shared" si="0"/>
        <v>16.935251045025634</v>
      </c>
      <c r="AB44" s="45">
        <f>(PI()^2*C18/Y44^2)/AD44</f>
        <v>2.8677099387438088E-3</v>
      </c>
      <c r="AC44" s="43">
        <f>IF((PI()^2*C18/Y44^2)&gt;C16,C16,(PI()^2*C18/Y44^2))</f>
        <v>76626.328787628445</v>
      </c>
      <c r="AD44" s="43">
        <f>AC44/((AC44/C18)+0.002*C19*(AC44/C17)^C19)</f>
        <v>26720390.285076868</v>
      </c>
      <c r="AE44" s="43">
        <f>C17-(C17^2/(4*PI()^2*C18))*Y44^2</f>
        <v>73018.759257311161</v>
      </c>
      <c r="AF44" s="43">
        <f>PI()^2*C18/Y44^2</f>
        <v>76626.328787628445</v>
      </c>
      <c r="AG44" s="37"/>
      <c r="AH44" s="18">
        <f>AH33</f>
        <v>0</v>
      </c>
      <c r="AI44" s="18">
        <f>AI43</f>
        <v>8302.1247707315779</v>
      </c>
      <c r="AJ44" s="18"/>
      <c r="AK44" s="111"/>
      <c r="AL44" s="121">
        <f t="shared" si="2"/>
        <v>8302.1247707315779</v>
      </c>
      <c r="AM44" s="122">
        <f>AL44 - I49/(1+(F20*F21/I31^2)*  (1/COS(I27/(2*I31)*(AL44/C18)^0.5)))</f>
        <v>0</v>
      </c>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9"/>
      <c r="D45" s="39"/>
      <c r="E45" s="39"/>
      <c r="F45" s="39"/>
      <c r="G45" s="39"/>
      <c r="H45" s="30" t="s">
        <v>74</v>
      </c>
      <c r="J45" s="6"/>
      <c r="K45" s="17"/>
      <c r="L45" s="1"/>
      <c r="M45" s="7"/>
      <c r="N45" s="7"/>
      <c r="O45" s="7"/>
      <c r="P45" s="7"/>
      <c r="Q45" s="7"/>
      <c r="R45" s="7"/>
      <c r="S45" s="41"/>
      <c r="T45" s="41"/>
      <c r="U45" s="22"/>
      <c r="V45" s="31"/>
      <c r="W45" s="22"/>
      <c r="X45" s="32"/>
      <c r="Y45" s="43">
        <f>Y44+AH22</f>
        <v>62.110536052761319</v>
      </c>
      <c r="Z45" s="44">
        <f t="shared" si="1"/>
        <v>60.218828021121077</v>
      </c>
      <c r="AA45" s="46">
        <f t="shared" si="0"/>
        <v>17.383678284139016</v>
      </c>
      <c r="AB45" s="45">
        <f>(PI()^2*C18/Y45^2)/AD45</f>
        <v>2.7216680014873771E-3</v>
      </c>
      <c r="AC45" s="43">
        <f>IF((PI()^2*C18/Y45^2)&gt;C16,C16,(PI()^2*C18/Y45^2))</f>
        <v>74193.727102348785</v>
      </c>
      <c r="AD45" s="43">
        <f>AC45/((AC45/C18)+0.002*C19*(AC45/C17)^C19)</f>
        <v>27260388.505064655</v>
      </c>
      <c r="AE45" s="43">
        <f>C17-(C17^2/(4*PI()^2*C18))*Y45^2</f>
        <v>71478.377747031482</v>
      </c>
      <c r="AF45" s="43">
        <f>PI()^2*C18/Y45^2</f>
        <v>74193.727102348785</v>
      </c>
      <c r="AG45" s="37"/>
      <c r="AH45" s="18"/>
      <c r="AI45" s="18"/>
      <c r="AK45" s="111"/>
      <c r="AL45" s="121">
        <f t="shared" si="2"/>
        <v>8302.1247707315779</v>
      </c>
      <c r="AM45" s="122">
        <f>AL45 - I49/(1+(F20*F21/I31^2)*  (1/COS(I27/(2*I31)*(AL45/C18)^0.5)))</f>
        <v>0</v>
      </c>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9"/>
      <c r="D46" s="39"/>
      <c r="E46" s="39"/>
      <c r="F46" s="39"/>
      <c r="G46" s="39"/>
      <c r="H46" s="20" t="s">
        <v>98</v>
      </c>
      <c r="I46" s="47">
        <f>((AI41-AI40)*(I35-AH40)/(AH41-AH40))+AI40</f>
        <v>8302.1247707315779</v>
      </c>
      <c r="J46" s="106" t="str">
        <f>IF(I46="","","psi")</f>
        <v>psi</v>
      </c>
      <c r="K46" s="17"/>
      <c r="L46" s="1"/>
      <c r="M46" s="7"/>
      <c r="N46" s="7"/>
      <c r="O46" s="7"/>
      <c r="P46" s="7"/>
      <c r="Q46" s="7"/>
      <c r="R46" s="7"/>
      <c r="S46" s="41"/>
      <c r="T46" s="41"/>
      <c r="U46" s="22"/>
      <c r="V46" s="31"/>
      <c r="W46" s="21"/>
      <c r="X46" s="24"/>
      <c r="Y46" s="43">
        <f>Y45+AH22</f>
        <v>63.104376914915413</v>
      </c>
      <c r="Z46" s="44">
        <f t="shared" si="1"/>
        <v>61.643654854641383</v>
      </c>
      <c r="AA46" s="46">
        <f t="shared" si="0"/>
        <v>17.794990362079794</v>
      </c>
      <c r="AB46" s="45">
        <f>(PI()^2*C18/Y46^2)/AD46</f>
        <v>2.5973052005046314E-3</v>
      </c>
      <c r="AC46" s="43">
        <f>IF((PI()^2*C18/Y46^2)&gt;C16,C16,(PI()^2*C18/Y46^2))</f>
        <v>71875.152216494724</v>
      </c>
      <c r="AD46" s="43">
        <f>AC46/((AC46/C18)+0.002*C19*(AC46/C17)^C19)</f>
        <v>27672971.279051099</v>
      </c>
      <c r="AE46" s="43">
        <f>C17-(C17^2/(4*PI()^2*C18))*Y46^2</f>
        <v>69913.149551927752</v>
      </c>
      <c r="AF46" s="43">
        <f>PI()^2*C18/Y46^2</f>
        <v>71875.152216494724</v>
      </c>
      <c r="AG46" s="37"/>
      <c r="AH46" s="6">
        <v>0</v>
      </c>
      <c r="AI46" s="6">
        <f>I19</f>
        <v>120000</v>
      </c>
      <c r="AJ46" s="31"/>
      <c r="AK46" s="111"/>
      <c r="AL46" s="121">
        <f t="shared" si="2"/>
        <v>8302.1247707315779</v>
      </c>
      <c r="AM46" s="122">
        <f>AL46 - I49/(1+(F20*F21/I31^2)*  (1/COS(I27/(2*I31)*(AL46/C18)^0.5)))</f>
        <v>0</v>
      </c>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15"/>
      <c r="C47" s="34"/>
      <c r="D47" s="15"/>
      <c r="E47" s="15"/>
      <c r="F47" s="15"/>
      <c r="G47" s="15"/>
      <c r="L47" s="1"/>
      <c r="M47" s="7"/>
      <c r="N47" s="7"/>
      <c r="O47" s="7"/>
      <c r="P47" s="7"/>
      <c r="Q47" s="7"/>
      <c r="R47" s="7"/>
      <c r="S47" s="41"/>
      <c r="T47" s="41"/>
      <c r="U47" s="22"/>
      <c r="V47" s="31"/>
      <c r="W47" s="27"/>
      <c r="X47" s="27"/>
      <c r="Y47" s="43">
        <f>Y46+AH22</f>
        <v>64.098217777069507</v>
      </c>
      <c r="Z47" s="44">
        <f t="shared" si="1"/>
        <v>62.968720427877955</v>
      </c>
      <c r="AA47" s="46">
        <f t="shared" si="0"/>
        <v>18.177503844780812</v>
      </c>
      <c r="AB47" s="45">
        <f>(PI()^2*C18/Y47^2)/AD47</f>
        <v>2.4891439265963028E-3</v>
      </c>
      <c r="AC47" s="43">
        <f>IF((PI()^2*C18/Y47^2)&gt;C16,C16,(PI()^2*C18/Y47^2))</f>
        <v>69663.587319685525</v>
      </c>
      <c r="AD47" s="43">
        <f>AC47/((AC47/C18)+0.002*C19*(AC47/C17)^C19)</f>
        <v>27986966.352301165</v>
      </c>
      <c r="AE47" s="43">
        <f>C17-(C17^2/(4*PI()^2*C18))*Y47^2</f>
        <v>68323.074671999959</v>
      </c>
      <c r="AF47" s="43">
        <f>PI()^2*C18/Y47^2</f>
        <v>69663.587319685525</v>
      </c>
      <c r="AG47" s="37"/>
      <c r="AH47" s="128">
        <f>AH43</f>
        <v>185.67534675228183</v>
      </c>
      <c r="AI47" s="6">
        <f>I19</f>
        <v>120000</v>
      </c>
      <c r="AJ47" s="31"/>
      <c r="AK47" s="111"/>
      <c r="AL47" s="121">
        <f t="shared" si="2"/>
        <v>8302.1247707315779</v>
      </c>
      <c r="AM47" s="122">
        <f>AL47 - I49/(1+(F20*F21/I31^2)*  (1/COS(I27/(2*I31)*(AL47/C18)^0.5)))</f>
        <v>0</v>
      </c>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B48" s="24"/>
      <c r="C48" s="30"/>
      <c r="D48" s="15"/>
      <c r="G48" s="22"/>
      <c r="H48" s="6" t="s">
        <v>83</v>
      </c>
      <c r="I48" s="6"/>
      <c r="J48" s="6"/>
      <c r="L48" s="1"/>
      <c r="M48" s="7"/>
      <c r="N48" s="7"/>
      <c r="O48" s="7"/>
      <c r="P48" s="7"/>
      <c r="Q48" s="7"/>
      <c r="R48" s="7"/>
      <c r="S48" s="41"/>
      <c r="T48" s="41"/>
      <c r="U48" s="22"/>
      <c r="V48" s="31"/>
      <c r="W48" s="27"/>
      <c r="X48" s="27"/>
      <c r="Y48" s="43">
        <f>Y47+AH22</f>
        <v>65.092058639223609</v>
      </c>
      <c r="Z48" s="44">
        <f t="shared" si="1"/>
        <v>64.216950606858404</v>
      </c>
      <c r="AA48" s="46">
        <f t="shared" si="0"/>
        <v>18.537836859703301</v>
      </c>
      <c r="AB48" s="45">
        <f>(PI()^2*C18/Y48^2)/AD48</f>
        <v>2.3933178923318341E-3</v>
      </c>
      <c r="AC48" s="43">
        <f>IF((PI()^2*C18/Y48^2)&gt;C16,C16,(PI()^2*C18/Y48^2))</f>
        <v>67552.547151253399</v>
      </c>
      <c r="AD48" s="43">
        <f>AC48/((AC48/C18)+0.002*C19*(AC48/C17)^C19)</f>
        <v>28225480.354152311</v>
      </c>
      <c r="AE48" s="43">
        <f>C17-(C17^2/(4*PI()^2*C18))*Y48^2</f>
        <v>66708.153107248087</v>
      </c>
      <c r="AF48" s="43">
        <f>PI()^2*C18/Y48^2</f>
        <v>67552.547151253399</v>
      </c>
      <c r="AG48" s="37"/>
      <c r="AH48" s="13"/>
      <c r="AI48" s="13"/>
      <c r="AJ48" s="31"/>
      <c r="AK48" s="111"/>
      <c r="AL48" s="121">
        <f t="shared" si="2"/>
        <v>8302.1247707315779</v>
      </c>
      <c r="AM48" s="122">
        <f>AL48 - I49/(1+(F20*F21/I31^2)*  (1/COS(I27/(2*I31)*(AL48/C18)^0.5)))</f>
        <v>0</v>
      </c>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C49" s="38"/>
      <c r="D49" s="30"/>
      <c r="E49" s="15"/>
      <c r="F49" s="18"/>
      <c r="G49" s="18"/>
      <c r="H49" s="20" t="s">
        <v>81</v>
      </c>
      <c r="I49" s="110">
        <f>MIN(I19,I46)</f>
        <v>8302.1247707315779</v>
      </c>
      <c r="J49" s="17" t="s">
        <v>82</v>
      </c>
      <c r="L49" s="1"/>
      <c r="M49" s="7"/>
      <c r="N49" s="7"/>
      <c r="O49" s="7"/>
      <c r="P49" s="7"/>
      <c r="Q49" s="7"/>
      <c r="R49" s="7"/>
      <c r="S49" s="41"/>
      <c r="T49" s="41"/>
      <c r="U49" s="22"/>
      <c r="V49" s="31"/>
      <c r="W49" s="27"/>
      <c r="X49" s="27"/>
      <c r="Y49" s="43">
        <f>Y48+AH22</f>
        <v>66.08589950137771</v>
      </c>
      <c r="Z49" s="44">
        <f t="shared" si="1"/>
        <v>65.406264800885452</v>
      </c>
      <c r="AA49" s="46">
        <f t="shared" si="0"/>
        <v>18.881162294739582</v>
      </c>
      <c r="AB49" s="45">
        <f>(PI()^2*C18/Y49^2)/AD49</f>
        <v>2.3070714710756667E-3</v>
      </c>
      <c r="AC49" s="43">
        <f>IF((PI()^2*C18/Y49^2)&gt;C16,C16,(PI()^2*C18/Y49^2))</f>
        <v>65536.030402026212</v>
      </c>
      <c r="AD49" s="43">
        <f>AC49/((AC49/C18)+0.002*C19*(AC49/C17)^C19)</f>
        <v>28406588.709395375</v>
      </c>
      <c r="AE49" s="43">
        <f>C17-(C17^2/(4*PI()^2*C18))*Y49^2</f>
        <v>65068.384857672179</v>
      </c>
      <c r="AF49" s="43">
        <f>PI()^2*C18/Y49^2</f>
        <v>65536.030402026212</v>
      </c>
      <c r="AG49" s="37"/>
      <c r="AH49" s="13"/>
      <c r="AI49" s="13"/>
      <c r="AJ49" s="31"/>
      <c r="AK49" s="111">
        <f>AL50/AL49</f>
        <v>1</v>
      </c>
      <c r="AL49" s="121">
        <f t="shared" si="2"/>
        <v>8302.1247707315779</v>
      </c>
      <c r="AM49" s="122">
        <f>AL49 - I49/(1+(F20*F21/I31^2)*  (1/COS(I27/(2*I31)*(AL49/C18)^0.5)))</f>
        <v>0</v>
      </c>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H50" s="20" t="s">
        <v>77</v>
      </c>
      <c r="I50" s="47">
        <f>I49*F17</f>
        <v>1254.9152766058073</v>
      </c>
      <c r="J50" s="15" t="s">
        <v>75</v>
      </c>
      <c r="L50" s="1"/>
      <c r="M50" s="7"/>
      <c r="N50" s="7"/>
      <c r="O50" s="7"/>
      <c r="P50" s="7"/>
      <c r="Q50" s="7"/>
      <c r="R50" s="7"/>
      <c r="S50" s="41"/>
      <c r="T50" s="41"/>
      <c r="U50" s="13"/>
      <c r="W50" s="35"/>
      <c r="X50" s="35"/>
      <c r="Y50" s="43">
        <f>Y49+AH22</f>
        <v>67.079740363531812</v>
      </c>
      <c r="Z50" s="44">
        <f t="shared" si="1"/>
        <v>66.550505484142036</v>
      </c>
      <c r="AA50" s="46">
        <f t="shared" si="0"/>
        <v>19.211476127987535</v>
      </c>
      <c r="AB50" s="45">
        <f>(PI()^2*C18/Y50^2)/AD50</f>
        <v>2.228419901446069E-3</v>
      </c>
      <c r="AC50" s="43">
        <f>IF((PI()^2*C18/Y50^2)&gt;C16,C16,(PI()^2*C18/Y50^2))</f>
        <v>63608.477015509008</v>
      </c>
      <c r="AD50" s="43">
        <f>AC50/((AC50/C18)+0.002*C19*(AC50/C17)^C19)</f>
        <v>28544206.131991602</v>
      </c>
      <c r="AE50" s="43">
        <f>C17-(C17^2/(4*PI()^2*C18))*Y50^2</f>
        <v>63403.769923272201</v>
      </c>
      <c r="AF50" s="43">
        <f>PI()^2*C18/Y50^2</f>
        <v>63608.477015509008</v>
      </c>
      <c r="AG50" s="37"/>
      <c r="AH50" s="13">
        <v>0</v>
      </c>
      <c r="AI50" s="3">
        <f>F57</f>
        <v>8302.1247707315779</v>
      </c>
      <c r="AK50" s="111"/>
      <c r="AL50" s="121">
        <f t="shared" si="2"/>
        <v>8302.1247707315779</v>
      </c>
      <c r="AM50" s="122">
        <f>AL50 - I49/(1+(F20*F21/I31^2)*  (1/COS(I27/(2*I31)*(AL50/C18)^0.5)))</f>
        <v>0</v>
      </c>
    </row>
    <row r="51" spans="1:75" s="5" customFormat="1">
      <c r="L51" s="1"/>
      <c r="M51" s="7"/>
      <c r="N51" s="7"/>
      <c r="O51" s="7"/>
      <c r="P51" s="7"/>
      <c r="Q51" s="7"/>
      <c r="R51" s="7"/>
      <c r="S51" s="41"/>
      <c r="T51" s="41"/>
      <c r="U51" s="13"/>
      <c r="W51" s="35"/>
      <c r="X51" s="35"/>
      <c r="Y51" s="43">
        <f>Y50+AH22</f>
        <v>68.073581225685913</v>
      </c>
      <c r="Z51" s="44">
        <f t="shared" si="1"/>
        <v>67.660286476827338</v>
      </c>
      <c r="AA51" s="46">
        <f t="shared" si="0"/>
        <v>19.53184230542173</v>
      </c>
      <c r="AB51" s="45">
        <f>(PI()^2*C18/Y51^2)/AD51</f>
        <v>2.1559172172634236E-3</v>
      </c>
      <c r="AC51" s="43">
        <f>IF((PI()^2*C18/Y51^2)&gt;C16,C16,(PI()^2*C18/Y51^2))</f>
        <v>61764.729820475535</v>
      </c>
      <c r="AD51" s="43">
        <f>AC51/((AC51/C18)+0.002*C19*(AC51/C17)^C19)</f>
        <v>28648933.885724764</v>
      </c>
      <c r="AE51" s="43">
        <f>C17-(C17^2/(4*PI()^2*C18))*Y51^2</f>
        <v>61714.308304048158</v>
      </c>
      <c r="AF51" s="43">
        <f>PI()^2*C18/Y51^2</f>
        <v>61764.729820475535</v>
      </c>
      <c r="AG51" s="37"/>
      <c r="AH51" s="13">
        <f>AH47</f>
        <v>185.67534675228183</v>
      </c>
      <c r="AI51" s="3">
        <f>F57</f>
        <v>8302.1247707315779</v>
      </c>
      <c r="AK51" s="111"/>
      <c r="AL51" s="111"/>
      <c r="AM51" s="111"/>
    </row>
    <row r="52" spans="1:75" s="5" customFormat="1">
      <c r="A52" s="15"/>
      <c r="B52" s="15" t="s">
        <v>90</v>
      </c>
      <c r="C52" s="21"/>
      <c r="D52" s="23"/>
      <c r="L52" s="1"/>
      <c r="M52" s="7"/>
      <c r="N52" s="7"/>
      <c r="O52" s="7"/>
      <c r="P52" s="7"/>
      <c r="Q52" s="7"/>
      <c r="R52" s="7"/>
      <c r="S52" s="41"/>
      <c r="T52" s="41"/>
      <c r="U52" s="13"/>
      <c r="W52" s="35"/>
      <c r="X52" s="35"/>
      <c r="Y52" s="43">
        <f>(PI()^2*C18/AH20)^0.5</f>
        <v>69.067422087840058</v>
      </c>
      <c r="Z52" s="44">
        <f t="shared" si="1"/>
        <v>68.743710368065578</v>
      </c>
      <c r="AA52" s="46">
        <f t="shared" si="0"/>
        <v>19.844599843048165</v>
      </c>
      <c r="AB52" s="45">
        <f>(PI()^2*C18/Y52^2)/AD52</f>
        <v>2.0884967672413794E-3</v>
      </c>
      <c r="AC52" s="43">
        <f>IF((PI()^2*C18/Y52^2)&gt;C16,C16,(PI()^2*C18/Y52^2))</f>
        <v>60000</v>
      </c>
      <c r="AD52" s="43">
        <f>AC52/((AC52/C18)+0.002*C19*(AC52/C17)^C19)</f>
        <v>28728797.162205741</v>
      </c>
      <c r="AE52" s="43">
        <f>C17-(C17^2/(4*PI()^2*C18))*Y52^2</f>
        <v>60000</v>
      </c>
      <c r="AF52" s="43">
        <f>PI()^2*C18/Y52^2</f>
        <v>60000</v>
      </c>
      <c r="AG52" s="37"/>
      <c r="AH52" s="13"/>
      <c r="AI52" s="13"/>
      <c r="AK52" s="111"/>
      <c r="AL52" s="111"/>
      <c r="AM52" s="111"/>
    </row>
    <row r="53" spans="1:75" s="5" customFormat="1">
      <c r="E53" s="114" t="s">
        <v>86</v>
      </c>
      <c r="F53" s="6" t="str">
        <f ca="1">[1]!xlv(F56)</f>
        <v>F' - F / (1 + (e × c / R²) × (1 / COS[L' / (2 × R) × (F' / Ec)⁰·⁵]))</v>
      </c>
      <c r="G53" s="111"/>
      <c r="H53" s="111"/>
      <c r="I53" s="111"/>
      <c r="J53" s="111"/>
      <c r="L53" s="1"/>
      <c r="M53" s="7"/>
      <c r="N53" s="7"/>
      <c r="O53" s="7"/>
      <c r="P53" s="7"/>
      <c r="Q53" s="7"/>
      <c r="R53" s="7"/>
      <c r="S53" s="41"/>
      <c r="T53" s="41"/>
      <c r="U53" s="13"/>
      <c r="W53" s="35"/>
      <c r="X53" s="35"/>
      <c r="Y53" s="43">
        <f>Y52+7.5</f>
        <v>76.567422087840058</v>
      </c>
      <c r="Z53" s="44">
        <f t="shared" si="1"/>
        <v>76.510975676019569</v>
      </c>
      <c r="AA53" s="46">
        <f t="shared" si="0"/>
        <v>22.086816201255406</v>
      </c>
      <c r="AB53" s="45">
        <f>(PI()^2*C18/Y53^2)/AD53</f>
        <v>1.6859794043552875E-3</v>
      </c>
      <c r="AC53" s="43">
        <f>IF((PI()^2*C18/Y53^2)&gt;C16,C16,(PI()^2*C18/Y53^2))</f>
        <v>48821.339706009516</v>
      </c>
      <c r="AD53" s="43">
        <f>AC53/((AC53/C18)+0.002*C19*(AC53/C17)^C19)</f>
        <v>28957257.472951528</v>
      </c>
      <c r="AE53" s="43">
        <f>C17-(C17^2/(4*PI()^2*C18))*Y53^2</f>
        <v>46261.75312520421</v>
      </c>
      <c r="AF53" s="43">
        <f>PI()^2*C18/Y53^2</f>
        <v>48821.339706009516</v>
      </c>
      <c r="AG53" s="37"/>
      <c r="AH53" s="13"/>
      <c r="AI53" s="13"/>
      <c r="AN53" s="111"/>
      <c r="AO53" s="111"/>
      <c r="AP53" s="111"/>
    </row>
    <row r="54" spans="1:75" s="5" customFormat="1">
      <c r="E54" s="114" t="s">
        <v>86</v>
      </c>
      <c r="F54" s="134" t="str">
        <f>[1]!xln(F56)</f>
        <v>8302 - 8302 / (1 + (0 × 0.215 / 0.109²) × (1 / COS[20.3 / (2 × 0.109) × (8302 / (2.9E+07))⁰·⁵]))</v>
      </c>
      <c r="G54" s="134"/>
      <c r="H54" s="134"/>
      <c r="I54" s="134"/>
      <c r="J54" s="134"/>
      <c r="L54" s="1"/>
      <c r="M54" s="7"/>
      <c r="N54" s="7"/>
      <c r="O54" s="7"/>
      <c r="P54" s="7"/>
      <c r="Q54" s="7"/>
      <c r="R54" s="7"/>
      <c r="S54" s="41"/>
      <c r="T54" s="41"/>
      <c r="U54" s="13"/>
      <c r="W54" s="35"/>
      <c r="X54" s="35"/>
      <c r="Y54" s="43">
        <f>Y53+7.5</f>
        <v>84.067422087840058</v>
      </c>
      <c r="Z54" s="44">
        <f t="shared" si="1"/>
        <v>84.055884781989718</v>
      </c>
      <c r="AA54" s="46">
        <f t="shared" si="0"/>
        <v>24.264843852926965</v>
      </c>
      <c r="AB54" s="45">
        <f>(PI()^2*C18/Y54^2)/AD54</f>
        <v>1.3968941464660004E-3</v>
      </c>
      <c r="AC54" s="43">
        <f>IF((PI()^2*C18/Y54^2)&gt;C16,C16,(PI()^2*C18/Y54^2))</f>
        <v>40498.811948115042</v>
      </c>
      <c r="AD54" s="43">
        <f>AC54/((AC54/C18)+0.002*C19*(AC54/C17)^C19)</f>
        <v>28992040.700129572</v>
      </c>
      <c r="AE54" s="43">
        <f>C17-(C17^2/(4*PI()^2*C18))*Y54^2</f>
        <v>31108.503513334377</v>
      </c>
      <c r="AF54" s="43">
        <f>PI()^2*C18/Y54^2</f>
        <v>40498.811948115042</v>
      </c>
      <c r="AG54" s="37"/>
      <c r="AH54" s="13"/>
      <c r="AI54" s="13"/>
    </row>
    <row r="55" spans="1:75" s="5" customFormat="1">
      <c r="E55" s="111"/>
      <c r="F55" s="134"/>
      <c r="G55" s="134"/>
      <c r="H55" s="134"/>
      <c r="I55" s="134"/>
      <c r="J55" s="134"/>
      <c r="L55" s="1"/>
      <c r="M55" s="7"/>
      <c r="N55" s="7"/>
      <c r="O55" s="7"/>
      <c r="P55" s="7"/>
      <c r="Q55" s="7"/>
      <c r="R55" s="7"/>
      <c r="S55" s="41"/>
      <c r="T55" s="41"/>
      <c r="U55" s="13"/>
      <c r="W55" s="35"/>
      <c r="X55" s="35"/>
      <c r="Y55" s="43">
        <f>Y54+10</f>
        <v>94.067422087840058</v>
      </c>
      <c r="Z55" s="44">
        <f t="shared" si="1"/>
        <v>94.065714487309961</v>
      </c>
      <c r="AA55" s="46">
        <f t="shared" si="0"/>
        <v>27.154432790381446</v>
      </c>
      <c r="AB55" s="45">
        <f>(PI()^2*C18/Y55^2)/AD55</f>
        <v>1.1154164066353297E-3</v>
      </c>
      <c r="AC55" s="43">
        <f>IF((PI()^2*C18/Y55^2)&gt;C16,C16,(PI()^2*C18/Y55^2))</f>
        <v>32345.901413852316</v>
      </c>
      <c r="AD55" s="43">
        <f>AC55/((AC55/C18)+0.002*C19*(AC55/C17)^C19)</f>
        <v>28998947.138875436</v>
      </c>
      <c r="AE55" s="43">
        <f>C17-(C17^2/(4*PI()^2*C18))*Y55^2</f>
        <v>8703.0553287261428</v>
      </c>
      <c r="AF55" s="43">
        <f>PI()^2*C18/Y55^2</f>
        <v>32345.901413852316</v>
      </c>
      <c r="AG55" s="37"/>
      <c r="AH55" s="9"/>
      <c r="AI55" s="9"/>
    </row>
    <row r="56" spans="1:75" s="5" customFormat="1">
      <c r="A56" s="47"/>
      <c r="B56" s="30"/>
      <c r="D56" s="47"/>
      <c r="E56" s="114" t="s">
        <v>86</v>
      </c>
      <c r="F56" s="118">
        <f>F57 - I49/(1+(F20*F21/I31^2)*  (1/COS(I27/(2*I31)*(F57/C18)^0.5)))</f>
        <v>0</v>
      </c>
      <c r="G56" s="15"/>
      <c r="J56" s="15"/>
      <c r="K56" s="15"/>
      <c r="L56" s="1"/>
      <c r="M56" s="7"/>
      <c r="N56" s="7"/>
      <c r="O56" s="7"/>
      <c r="P56" s="7"/>
      <c r="Q56" s="7"/>
      <c r="R56" s="7"/>
      <c r="S56" s="41"/>
      <c r="T56" s="41"/>
      <c r="U56" s="13"/>
      <c r="W56" s="35"/>
      <c r="X56" s="35"/>
      <c r="Y56" s="43">
        <f>Y55+20</f>
        <v>114.06742208784006</v>
      </c>
      <c r="Z56" s="44">
        <f t="shared" si="1"/>
        <v>114.06735765352653</v>
      </c>
      <c r="AA56" s="46">
        <f t="shared" si="0"/>
        <v>32.928409823506435</v>
      </c>
      <c r="AB56" s="45">
        <f>(PI()^2*C18/Y56^2)/AD56</f>
        <v>7.5853737209414737E-4</v>
      </c>
      <c r="AC56" s="43">
        <f>IF((PI()^2*C18/Y56^2)&gt;C16,C16,(PI()^2*C18/Y56^2))</f>
        <v>21997.558938782458</v>
      </c>
      <c r="AD56" s="43">
        <f>AC56/((AC56/C18)+0.002*C19*(AC56/C17)^C19)</f>
        <v>28999967.237015959</v>
      </c>
      <c r="AE56" s="43">
        <f>C17-(C17^2/(4*PI()^2*C18))*Y56^2</f>
        <v>-43654.522304885177</v>
      </c>
      <c r="AF56" s="43">
        <f>PI()^2*C18/Y56^2</f>
        <v>21997.558938782458</v>
      </c>
      <c r="AG56" s="37"/>
      <c r="AH56" s="9"/>
      <c r="AI56" s="9"/>
    </row>
    <row r="57" spans="1:75" s="5" customFormat="1">
      <c r="A57" s="15"/>
      <c r="E57" s="114" t="s">
        <v>87</v>
      </c>
      <c r="F57" s="119">
        <f>AL50</f>
        <v>8302.1247707315779</v>
      </c>
      <c r="G57" s="111" t="s">
        <v>82</v>
      </c>
      <c r="L57" s="1"/>
      <c r="M57" s="7"/>
      <c r="N57" s="7"/>
      <c r="O57" s="7"/>
      <c r="P57" s="7"/>
      <c r="Q57" s="7"/>
      <c r="R57" s="7"/>
      <c r="S57" s="41"/>
      <c r="T57" s="41"/>
      <c r="U57" s="13"/>
      <c r="W57" s="35"/>
      <c r="X57" s="35"/>
      <c r="Y57" s="43">
        <f>Y56+20</f>
        <v>134.06742208784004</v>
      </c>
      <c r="Z57" s="44">
        <f t="shared" si="1"/>
        <v>134.06741795384636</v>
      </c>
      <c r="AA57" s="46">
        <f t="shared" si="0"/>
        <v>38.701929922605636</v>
      </c>
      <c r="AB57" s="45">
        <f>(PI()^2*C18/Y57^2)/AD57</f>
        <v>5.4910228997318944E-4</v>
      </c>
      <c r="AC57" s="43">
        <f>IF((PI()^2*C18/Y57^2)&gt;C16,C16,(PI()^2*C18/Y57^2))</f>
        <v>15923.965427185625</v>
      </c>
      <c r="AD57" s="43">
        <f>AC57/((AC57/C18)+0.002*C19*(AC57/C17)^C19)</f>
        <v>28999998.211559329</v>
      </c>
      <c r="AE57" s="43">
        <f>C17-(C17^2/(4*PI()^2*C18))*Y57^2</f>
        <v>-106074.3416243562</v>
      </c>
      <c r="AF57" s="43">
        <f>PI()^2*C18/Y57^2</f>
        <v>15923.965427185625</v>
      </c>
      <c r="AG57" s="37"/>
      <c r="AH57" s="9"/>
      <c r="AI57" s="9"/>
    </row>
    <row r="58" spans="1:75" s="5" customFormat="1">
      <c r="A58" s="15"/>
      <c r="E58" s="20" t="s">
        <v>92</v>
      </c>
      <c r="F58" s="47">
        <f>F57*F17</f>
        <v>1254.9152766058073</v>
      </c>
      <c r="G58" s="15" t="s">
        <v>75</v>
      </c>
      <c r="H58" s="15"/>
      <c r="I58" s="15"/>
      <c r="J58" s="24" t="str">
        <f>"M.S = "&amp;[1]!xln(K58)&amp;" ="</f>
        <v>M.S = 1255 / 1217 - 1 =</v>
      </c>
      <c r="K58" s="109">
        <f>F58/I16-1</f>
        <v>3.1276486446226048E-2</v>
      </c>
      <c r="L58" s="1"/>
      <c r="M58" s="7"/>
      <c r="N58" s="7"/>
      <c r="O58" s="7"/>
      <c r="P58" s="7"/>
      <c r="Q58" s="7"/>
      <c r="R58" s="7"/>
      <c r="S58" s="41"/>
      <c r="T58" s="41"/>
      <c r="U58" s="13"/>
      <c r="W58" s="35"/>
      <c r="X58" s="35"/>
      <c r="Y58" s="43"/>
      <c r="Z58" s="44"/>
      <c r="AA58" s="46"/>
      <c r="AB58" s="45"/>
      <c r="AC58" s="43"/>
      <c r="AD58" s="43"/>
      <c r="AE58" s="43"/>
      <c r="AF58" s="43"/>
      <c r="AG58" s="9"/>
      <c r="AH58" s="9"/>
      <c r="AI58" s="9"/>
    </row>
    <row r="59" spans="1:75" s="5" customFormat="1">
      <c r="A59" s="15"/>
      <c r="C59" s="29"/>
      <c r="D59" s="15"/>
      <c r="E59" s="15"/>
      <c r="F59" s="15"/>
      <c r="G59" s="29"/>
      <c r="H59" s="15"/>
      <c r="I59" s="15"/>
      <c r="J59" s="15"/>
      <c r="K59" s="15"/>
      <c r="L59" s="1"/>
      <c r="M59" s="7"/>
      <c r="N59" s="7"/>
      <c r="O59" s="7"/>
      <c r="P59" s="7"/>
      <c r="Q59" s="7"/>
      <c r="R59" s="7"/>
      <c r="S59" s="41"/>
      <c r="T59" s="41"/>
      <c r="U59" s="13"/>
      <c r="W59" s="35"/>
      <c r="X59" s="35"/>
      <c r="Y59" s="35"/>
      <c r="Z59" s="35"/>
      <c r="AA59" s="35"/>
      <c r="AB59" s="35"/>
      <c r="AC59" s="43"/>
      <c r="AD59" s="35"/>
      <c r="AE59" s="35"/>
      <c r="AF59" s="35"/>
    </row>
    <row r="60" spans="1:75" s="5" customFormat="1">
      <c r="A60" s="15"/>
      <c r="B60" s="78"/>
      <c r="C60" s="29"/>
      <c r="D60" s="16"/>
      <c r="E60" s="16"/>
      <c r="F60" s="79" t="s">
        <v>53</v>
      </c>
      <c r="G60" s="29"/>
      <c r="H60" s="16"/>
      <c r="I60" s="16"/>
      <c r="J60" s="16"/>
      <c r="K60" s="15"/>
      <c r="L60" s="8"/>
      <c r="M60" s="7"/>
      <c r="N60" s="7"/>
      <c r="O60" s="7"/>
      <c r="P60" s="7"/>
      <c r="Q60" s="7"/>
      <c r="R60" s="7"/>
      <c r="S60" s="41"/>
      <c r="T60" s="41"/>
      <c r="U60" s="13"/>
      <c r="W60" s="35"/>
      <c r="X60" s="35"/>
      <c r="Y60" s="35"/>
      <c r="Z60" s="35"/>
      <c r="AA60" s="35"/>
      <c r="AB60" s="35"/>
      <c r="AC60" s="35"/>
      <c r="AD60" s="35"/>
      <c r="AE60" s="35"/>
      <c r="AF60" s="35"/>
    </row>
    <row r="61" spans="1:75" s="5" customFormat="1">
      <c r="A61" s="15"/>
      <c r="B61" s="16"/>
      <c r="C61" s="16"/>
      <c r="D61" s="16"/>
      <c r="E61" s="16"/>
      <c r="F61" s="89" t="s">
        <v>50</v>
      </c>
      <c r="G61" s="16"/>
      <c r="H61" s="16"/>
      <c r="I61" s="16"/>
      <c r="J61" s="16"/>
      <c r="K61" s="15"/>
      <c r="L61" s="8"/>
      <c r="M61" s="7"/>
      <c r="N61" s="7"/>
      <c r="O61" s="7"/>
      <c r="P61" s="7"/>
      <c r="Q61" s="7"/>
      <c r="R61" s="7"/>
      <c r="S61" s="41"/>
      <c r="T61" s="41"/>
      <c r="U61" s="13"/>
      <c r="W61" s="35"/>
      <c r="X61" s="35"/>
      <c r="Y61"/>
      <c r="Z61" s="35"/>
      <c r="AA61" s="35"/>
      <c r="AB61" s="35"/>
      <c r="AF61" s="18"/>
      <c r="AG61" s="18"/>
    </row>
    <row r="62" spans="1:75">
      <c r="A62" s="9"/>
      <c r="B62" s="9"/>
      <c r="C62" s="9"/>
      <c r="D62" s="9"/>
      <c r="E62" s="9"/>
      <c r="F62" s="9"/>
      <c r="G62" s="9"/>
      <c r="H62" s="9"/>
      <c r="I62" s="9"/>
      <c r="J62" s="9"/>
      <c r="K62" s="9"/>
      <c r="L62" s="6"/>
      <c r="M62" s="36"/>
      <c r="N62" s="77"/>
      <c r="S62" s="7"/>
      <c r="T62" s="7"/>
    </row>
    <row r="63" spans="1:75">
      <c r="A63" s="9"/>
      <c r="B63" s="9"/>
      <c r="C63" s="9"/>
      <c r="D63" s="9"/>
      <c r="E63" s="9"/>
      <c r="F63" s="9"/>
      <c r="G63" s="9"/>
      <c r="H63" s="9"/>
      <c r="I63" s="9"/>
      <c r="J63" s="9"/>
      <c r="K63" s="9"/>
      <c r="L63" s="6"/>
      <c r="M63" s="36"/>
      <c r="N63" s="77"/>
      <c r="S63" s="7"/>
      <c r="T63" s="7"/>
    </row>
    <row r="64" spans="1:75">
      <c r="A64" s="9"/>
      <c r="B64" s="9"/>
      <c r="C64" s="9"/>
      <c r="D64" s="9"/>
      <c r="E64" s="9"/>
      <c r="F64" s="9"/>
      <c r="G64" s="9"/>
      <c r="H64" s="9"/>
      <c r="I64" s="9"/>
      <c r="J64" s="9"/>
      <c r="K64" s="9"/>
      <c r="L64" s="6"/>
      <c r="M64" s="36"/>
      <c r="N64" s="77"/>
      <c r="S64" s="7"/>
      <c r="T64" s="7"/>
    </row>
    <row r="65" spans="1:20">
      <c r="A65" s="9"/>
      <c r="B65" s="9"/>
      <c r="C65" s="9"/>
      <c r="D65" s="9"/>
      <c r="K65" s="9"/>
      <c r="L65" s="6"/>
      <c r="M65" s="36"/>
      <c r="N65" s="77"/>
      <c r="S65" s="7"/>
      <c r="T65" s="7"/>
    </row>
    <row r="66" spans="1:20">
      <c r="A66" s="9"/>
      <c r="B66" s="9"/>
      <c r="C66" s="9"/>
      <c r="D66" s="9"/>
      <c r="K66" s="9"/>
      <c r="L66" s="6"/>
      <c r="M66" s="36"/>
      <c r="N66" s="77"/>
      <c r="S66" s="7"/>
      <c r="T66" s="7"/>
    </row>
    <row r="67" spans="1:20">
      <c r="A67" s="9"/>
      <c r="B67" s="9"/>
      <c r="C67" s="9"/>
      <c r="D67" s="9"/>
      <c r="K67" s="9"/>
      <c r="L67" s="6"/>
      <c r="M67" s="36"/>
      <c r="N67" s="77"/>
      <c r="S67" s="7"/>
      <c r="T67" s="7"/>
    </row>
    <row r="68" spans="1:20">
      <c r="A68" s="9"/>
      <c r="B68" s="9"/>
      <c r="C68" s="9"/>
      <c r="D68" s="9"/>
      <c r="K68" s="9"/>
      <c r="L68" s="6"/>
      <c r="M68" s="36"/>
      <c r="N68" s="77"/>
      <c r="S68" s="7"/>
      <c r="T68" s="7"/>
    </row>
    <row r="69" spans="1:20">
      <c r="A69" s="9"/>
      <c r="B69" s="9"/>
      <c r="C69" s="9"/>
      <c r="D69" s="9"/>
      <c r="E69" s="9"/>
      <c r="F69" s="9"/>
      <c r="G69" s="9"/>
      <c r="H69" s="9"/>
      <c r="I69" s="9"/>
      <c r="J69" s="9"/>
      <c r="K69" s="9"/>
      <c r="L69" s="6"/>
      <c r="M69" s="36"/>
      <c r="N69" s="77"/>
      <c r="S69" s="7"/>
      <c r="T69" s="7"/>
    </row>
    <row r="70" spans="1:20">
      <c r="A70" s="9"/>
      <c r="B70" s="9"/>
      <c r="C70" s="9"/>
      <c r="D70" s="9"/>
      <c r="E70" s="9"/>
      <c r="F70" s="9"/>
      <c r="G70" s="9"/>
      <c r="H70" s="9"/>
      <c r="I70" s="9"/>
      <c r="J70" s="9"/>
      <c r="K70" s="9"/>
      <c r="L70" s="6"/>
      <c r="M70" s="36"/>
      <c r="N70" s="77"/>
      <c r="S70" s="7"/>
      <c r="T70" s="7"/>
    </row>
    <row r="71" spans="1:20">
      <c r="A71" s="9"/>
      <c r="B71" s="9"/>
      <c r="C71" s="9"/>
      <c r="D71" s="9"/>
      <c r="E71" s="9"/>
      <c r="F71" s="9"/>
      <c r="G71" s="9"/>
      <c r="H71" s="9"/>
      <c r="I71" s="9"/>
      <c r="J71" s="9"/>
      <c r="K71" s="9"/>
      <c r="L71" s="6"/>
      <c r="M71" s="36"/>
      <c r="N71" s="77"/>
      <c r="S71" s="7"/>
      <c r="T71" s="7"/>
    </row>
    <row r="72" spans="1:20">
      <c r="A72" s="9"/>
      <c r="B72" s="9"/>
      <c r="C72" s="9"/>
      <c r="D72" s="9"/>
      <c r="E72" s="9"/>
      <c r="F72" s="9"/>
      <c r="G72" s="9"/>
      <c r="H72" s="9"/>
      <c r="I72" s="9"/>
      <c r="J72" s="9"/>
      <c r="K72" s="9"/>
      <c r="L72" s="6"/>
      <c r="M72" s="36"/>
      <c r="N72" s="77"/>
      <c r="S72" s="7"/>
      <c r="T72" s="7"/>
    </row>
    <row r="73" spans="1:20">
      <c r="A73" s="9"/>
      <c r="B73" s="9"/>
      <c r="C73" s="9"/>
      <c r="D73" s="9"/>
      <c r="E73" s="9"/>
      <c r="F73" s="9"/>
      <c r="G73" s="9"/>
      <c r="H73" s="9"/>
      <c r="I73" s="9"/>
      <c r="J73" s="9"/>
      <c r="K73" s="9"/>
      <c r="L73" s="6"/>
      <c r="M73" s="36"/>
      <c r="N73" s="77"/>
      <c r="S73" s="7"/>
      <c r="T73" s="7"/>
    </row>
    <row r="74" spans="1:20">
      <c r="A74" s="9"/>
      <c r="B74" s="9"/>
      <c r="C74" s="9"/>
      <c r="D74" s="9"/>
      <c r="E74" s="9"/>
      <c r="F74" s="9"/>
      <c r="G74" s="9"/>
      <c r="H74" s="9"/>
      <c r="I74" s="9"/>
      <c r="J74" s="9"/>
      <c r="K74" s="9"/>
      <c r="L74" s="6"/>
      <c r="M74" s="36"/>
      <c r="N74" s="77"/>
      <c r="S74" s="7"/>
      <c r="T74" s="7"/>
    </row>
    <row r="75" spans="1:20">
      <c r="A75" s="9"/>
      <c r="B75" s="9"/>
      <c r="C75" s="9"/>
      <c r="D75" s="9"/>
      <c r="E75" s="9"/>
      <c r="F75" s="9"/>
      <c r="G75" s="9"/>
      <c r="H75" s="9"/>
      <c r="I75" s="9"/>
      <c r="J75" s="9"/>
      <c r="K75" s="9"/>
      <c r="L75" s="6"/>
      <c r="M75" s="36"/>
      <c r="N75" s="77"/>
      <c r="S75" s="7"/>
      <c r="T75" s="7"/>
    </row>
    <row r="76" spans="1:20">
      <c r="A76" s="9"/>
      <c r="B76" s="9"/>
      <c r="C76" s="9"/>
      <c r="D76" s="9"/>
      <c r="E76" s="9"/>
      <c r="F76" s="9"/>
      <c r="G76" s="9"/>
      <c r="H76" s="9"/>
      <c r="I76" s="9"/>
      <c r="J76" s="9"/>
      <c r="K76" s="9"/>
      <c r="L76" s="6"/>
      <c r="M76" s="36"/>
      <c r="N76" s="77"/>
      <c r="S76" s="7"/>
      <c r="T76" s="7"/>
    </row>
    <row r="77" spans="1:20">
      <c r="A77" s="9"/>
      <c r="B77" s="9"/>
      <c r="C77" s="9"/>
      <c r="D77" s="9"/>
      <c r="E77" s="9"/>
      <c r="F77" s="9"/>
      <c r="G77" s="9"/>
      <c r="H77" s="9"/>
      <c r="I77" s="9"/>
      <c r="J77" s="9"/>
      <c r="K77" s="9"/>
      <c r="L77" s="6"/>
      <c r="M77" s="36"/>
      <c r="N77" s="77"/>
      <c r="S77" s="7"/>
      <c r="T77" s="7"/>
    </row>
    <row r="78" spans="1:20">
      <c r="A78" s="9"/>
      <c r="B78" s="9"/>
      <c r="C78" s="9"/>
      <c r="D78" s="9"/>
      <c r="E78" s="9"/>
      <c r="F78" s="9"/>
      <c r="G78" s="9"/>
      <c r="H78" s="9"/>
      <c r="I78" s="9"/>
      <c r="J78" s="9"/>
      <c r="K78" s="9"/>
      <c r="L78" s="6"/>
      <c r="M78" s="36"/>
      <c r="N78" s="77"/>
      <c r="S78" s="7"/>
      <c r="T78" s="7"/>
    </row>
    <row r="79" spans="1:20">
      <c r="A79" s="9"/>
      <c r="B79" s="9"/>
      <c r="C79" s="9"/>
      <c r="D79" s="9"/>
      <c r="E79" s="9"/>
      <c r="F79" s="9"/>
      <c r="G79" s="9"/>
      <c r="H79" s="9"/>
      <c r="I79" s="9"/>
      <c r="J79" s="9"/>
      <c r="K79" s="9"/>
      <c r="L79" s="6"/>
      <c r="M79" s="36"/>
      <c r="N79" s="77"/>
      <c r="S79" s="7"/>
      <c r="T79" s="7"/>
    </row>
    <row r="80" spans="1:20">
      <c r="A80" s="9"/>
      <c r="B80" s="9"/>
      <c r="C80" s="9"/>
      <c r="D80" s="9"/>
      <c r="E80" s="9"/>
      <c r="F80" s="9"/>
      <c r="G80" s="9"/>
      <c r="H80" s="9"/>
      <c r="I80" s="9"/>
      <c r="J80" s="9"/>
      <c r="K80" s="9"/>
      <c r="L80" s="6"/>
      <c r="M80" s="36"/>
      <c r="N80" s="77"/>
      <c r="S80" s="7"/>
      <c r="T80" s="7"/>
    </row>
    <row r="81" spans="1:20">
      <c r="A81" s="9"/>
      <c r="B81" s="9"/>
      <c r="C81" s="9"/>
      <c r="D81" s="9"/>
      <c r="E81" s="9"/>
      <c r="F81" s="9"/>
      <c r="G81" s="9"/>
      <c r="H81" s="9"/>
      <c r="I81" s="9"/>
      <c r="J81" s="9"/>
      <c r="K81" s="9"/>
      <c r="L81" s="6"/>
      <c r="M81" s="36"/>
      <c r="N81" s="77"/>
      <c r="S81" s="7"/>
      <c r="T81" s="7"/>
    </row>
    <row r="82" spans="1:20">
      <c r="A82" s="9"/>
      <c r="B82" s="9"/>
      <c r="C82" s="9"/>
      <c r="D82" s="9"/>
      <c r="E82" s="9"/>
      <c r="F82" s="9"/>
      <c r="G82" s="9"/>
      <c r="H82" s="9"/>
      <c r="I82" s="9"/>
      <c r="J82" s="9"/>
      <c r="K82" s="9"/>
      <c r="L82" s="6"/>
      <c r="M82" s="36"/>
      <c r="N82" s="77"/>
      <c r="S82" s="7"/>
      <c r="T82" s="7"/>
    </row>
    <row r="83" spans="1:20">
      <c r="A83" s="9"/>
      <c r="B83" s="9"/>
      <c r="C83" s="9"/>
      <c r="D83" s="9"/>
      <c r="E83" s="9"/>
      <c r="F83" s="9"/>
      <c r="G83" s="9"/>
      <c r="H83" s="9"/>
      <c r="I83" s="9"/>
      <c r="J83" s="9"/>
      <c r="K83" s="9"/>
      <c r="L83" s="6"/>
      <c r="M83" s="36"/>
      <c r="N83" s="77"/>
      <c r="S83" s="7"/>
      <c r="T83" s="7"/>
    </row>
    <row r="84" spans="1:20">
      <c r="A84" s="9"/>
      <c r="B84" s="9"/>
      <c r="C84" s="9"/>
      <c r="D84" s="9"/>
      <c r="E84" s="9"/>
      <c r="F84" s="9"/>
      <c r="G84" s="9"/>
      <c r="H84" s="9"/>
      <c r="I84" s="9"/>
      <c r="J84" s="9"/>
      <c r="K84" s="9"/>
      <c r="L84" s="6"/>
      <c r="M84" s="36"/>
      <c r="N84" s="77"/>
      <c r="S84" s="7"/>
      <c r="T84" s="7"/>
    </row>
    <row r="85" spans="1:20">
      <c r="A85" s="9"/>
      <c r="B85" s="9"/>
      <c r="C85" s="9"/>
      <c r="D85" s="9"/>
      <c r="E85" s="9"/>
      <c r="F85" s="9"/>
      <c r="G85" s="9"/>
      <c r="H85" s="9"/>
      <c r="I85" s="9"/>
      <c r="J85" s="9"/>
      <c r="K85" s="9"/>
      <c r="L85" s="6"/>
      <c r="M85" s="36"/>
      <c r="N85" s="77"/>
      <c r="S85" s="7"/>
      <c r="T85" s="7"/>
    </row>
    <row r="86" spans="1:20">
      <c r="A86" s="9"/>
      <c r="B86" s="9"/>
      <c r="C86" s="9"/>
      <c r="D86" s="9"/>
      <c r="E86" s="9"/>
      <c r="F86" s="9"/>
      <c r="G86" s="9"/>
      <c r="H86" s="9"/>
      <c r="I86" s="9"/>
      <c r="J86" s="9"/>
      <c r="K86" s="9"/>
      <c r="L86" s="6"/>
      <c r="M86" s="36"/>
      <c r="N86" s="77"/>
      <c r="S86" s="7"/>
      <c r="T86" s="7"/>
    </row>
    <row r="87" spans="1:20">
      <c r="A87" s="9"/>
      <c r="B87" s="9"/>
      <c r="C87" s="9"/>
      <c r="D87" s="9"/>
      <c r="E87" s="9"/>
      <c r="F87" s="9"/>
      <c r="G87" s="9"/>
      <c r="H87" s="9"/>
      <c r="I87" s="9"/>
      <c r="J87" s="9"/>
      <c r="K87" s="9"/>
      <c r="L87" s="6"/>
      <c r="M87" s="36"/>
      <c r="N87" s="77"/>
      <c r="S87" s="7"/>
      <c r="T87" s="7"/>
    </row>
    <row r="88" spans="1:20">
      <c r="A88" s="9"/>
      <c r="B88" s="9"/>
      <c r="C88" s="9"/>
      <c r="D88" s="9"/>
      <c r="E88" s="9"/>
      <c r="F88" s="9"/>
      <c r="G88" s="9"/>
      <c r="H88" s="9"/>
      <c r="I88" s="9"/>
      <c r="J88" s="9"/>
      <c r="K88" s="9"/>
      <c r="L88" s="6"/>
      <c r="M88" s="36"/>
      <c r="N88" s="77"/>
      <c r="S88" s="7"/>
      <c r="T88" s="7"/>
    </row>
    <row r="89" spans="1:20">
      <c r="A89" s="9"/>
      <c r="B89" s="9"/>
      <c r="C89" s="9"/>
      <c r="D89" s="9"/>
      <c r="E89" s="9"/>
      <c r="F89" s="9"/>
      <c r="G89" s="9"/>
      <c r="H89" s="9"/>
      <c r="I89" s="9"/>
      <c r="J89" s="9"/>
      <c r="K89" s="9"/>
      <c r="L89" s="6"/>
      <c r="M89" s="36"/>
      <c r="N89" s="77"/>
      <c r="S89" s="7"/>
      <c r="T89" s="7"/>
    </row>
    <row r="90" spans="1:20">
      <c r="A90" s="9"/>
      <c r="B90" s="9"/>
      <c r="C90" s="9"/>
      <c r="D90" s="9"/>
      <c r="E90" s="9"/>
      <c r="F90" s="9"/>
      <c r="G90" s="9"/>
      <c r="H90" s="9"/>
      <c r="I90" s="9"/>
      <c r="J90" s="9"/>
      <c r="K90" s="9"/>
      <c r="L90" s="6"/>
      <c r="M90" s="36"/>
      <c r="N90" s="77"/>
      <c r="S90" s="7"/>
      <c r="T90" s="7"/>
    </row>
    <row r="91" spans="1:20">
      <c r="A91" s="9"/>
      <c r="B91" s="9"/>
      <c r="C91" s="9"/>
      <c r="D91" s="9"/>
      <c r="E91" s="9"/>
      <c r="F91" s="9"/>
      <c r="G91" s="9"/>
      <c r="H91" s="9"/>
      <c r="I91" s="9"/>
      <c r="J91" s="9"/>
      <c r="K91" s="9"/>
      <c r="L91" s="6"/>
      <c r="M91" s="36"/>
      <c r="N91" s="77"/>
      <c r="S91" s="7"/>
      <c r="T91" s="7"/>
    </row>
    <row r="92" spans="1:20">
      <c r="A92" s="9"/>
      <c r="B92" s="9"/>
      <c r="C92" s="9"/>
      <c r="D92" s="9"/>
      <c r="E92" s="9"/>
      <c r="F92" s="9"/>
      <c r="G92" s="9"/>
      <c r="H92" s="9"/>
      <c r="I92" s="9"/>
      <c r="J92" s="9"/>
      <c r="K92" s="9"/>
      <c r="L92" s="6"/>
      <c r="M92" s="36"/>
      <c r="N92" s="77"/>
      <c r="S92" s="7"/>
      <c r="T92" s="7"/>
    </row>
    <row r="93" spans="1:20">
      <c r="A93" s="9"/>
      <c r="B93" s="9"/>
      <c r="C93" s="9"/>
      <c r="D93" s="9"/>
      <c r="E93" s="9"/>
      <c r="F93" s="9"/>
      <c r="G93" s="9"/>
      <c r="H93" s="9"/>
      <c r="I93" s="9"/>
      <c r="J93" s="9"/>
      <c r="K93" s="9"/>
      <c r="L93" s="6"/>
      <c r="M93" s="36"/>
      <c r="N93" s="77"/>
      <c r="S93" s="7"/>
      <c r="T93" s="7"/>
    </row>
    <row r="94" spans="1:20">
      <c r="A94" s="9"/>
      <c r="B94" s="9"/>
      <c r="C94" s="9"/>
      <c r="D94" s="9"/>
      <c r="E94" s="9"/>
      <c r="F94" s="9"/>
      <c r="G94" s="9"/>
      <c r="H94" s="9"/>
      <c r="I94" s="9"/>
      <c r="J94" s="9"/>
      <c r="K94" s="9"/>
      <c r="L94" s="6"/>
      <c r="M94" s="36"/>
      <c r="N94" s="77"/>
      <c r="S94" s="7"/>
      <c r="T94" s="7"/>
    </row>
    <row r="95" spans="1:20">
      <c r="A95" s="9"/>
      <c r="B95" s="9"/>
      <c r="C95" s="9"/>
      <c r="D95" s="9"/>
      <c r="E95" s="9"/>
      <c r="F95" s="9"/>
      <c r="G95" s="9"/>
      <c r="H95" s="9"/>
      <c r="I95" s="9"/>
      <c r="J95" s="9"/>
      <c r="K95" s="9"/>
      <c r="L95" s="6"/>
      <c r="M95" s="36"/>
      <c r="N95" s="77"/>
      <c r="S95" s="7"/>
      <c r="T95" s="7"/>
    </row>
    <row r="96" spans="1:20">
      <c r="A96" s="9"/>
      <c r="B96" s="9"/>
      <c r="C96" s="9"/>
      <c r="D96" s="9"/>
      <c r="E96" s="9"/>
      <c r="F96" s="9"/>
      <c r="G96" s="9"/>
      <c r="H96" s="9"/>
      <c r="I96" s="9"/>
      <c r="J96" s="9"/>
      <c r="K96" s="9"/>
      <c r="L96" s="6"/>
      <c r="M96" s="36"/>
      <c r="N96" s="77"/>
      <c r="S96" s="7"/>
      <c r="T96" s="7"/>
    </row>
    <row r="97" spans="1:20">
      <c r="A97" s="9"/>
      <c r="B97" s="9"/>
      <c r="C97" s="9"/>
      <c r="D97" s="9"/>
      <c r="E97" s="9"/>
      <c r="F97" s="9"/>
      <c r="G97" s="9"/>
      <c r="H97" s="9"/>
      <c r="I97" s="9"/>
      <c r="J97" s="9"/>
      <c r="K97" s="9"/>
      <c r="L97" s="6"/>
      <c r="M97" s="36"/>
      <c r="N97" s="77"/>
      <c r="S97" s="7"/>
      <c r="T97" s="7"/>
    </row>
    <row r="98" spans="1:20">
      <c r="L98" s="6"/>
      <c r="M98" s="36"/>
      <c r="N98" s="77"/>
      <c r="S98" s="7"/>
      <c r="T98" s="7"/>
    </row>
  </sheetData>
  <mergeCells count="2">
    <mergeCell ref="F54:J55"/>
    <mergeCell ref="B13:K13"/>
  </mergeCells>
  <hyperlinks>
    <hyperlink ref="F61"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6"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2016-08-31T11:15:39Z</dcterms:modified>
  <cp:category>Engineering Spreadsheets</cp:category>
</cp:coreProperties>
</file>