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C12" i="27" l="1"/>
  <c r="J22" i="23" l="1"/>
  <c r="AD33" i="23"/>
  <c r="B22" i="23"/>
  <c r="F22" i="23" s="1"/>
  <c r="AE19" i="23"/>
  <c r="Y51" i="23" s="1"/>
  <c r="Y52" i="23" s="1"/>
  <c r="Y53" i="23" s="1"/>
  <c r="Y54" i="23" s="1"/>
  <c r="Y55" i="23" s="1"/>
  <c r="Y56" i="23" s="1"/>
  <c r="AE20" i="23"/>
  <c r="Y27" i="23" s="1"/>
  <c r="F21" i="23"/>
  <c r="B21" i="23"/>
  <c r="J21" i="23"/>
  <c r="E54" i="23" l="1"/>
  <c r="B54" i="23"/>
  <c r="AD27" i="23"/>
  <c r="AD31" i="23" s="1"/>
  <c r="AD28" i="23"/>
  <c r="AD32" i="23" s="1"/>
  <c r="Z18" i="23"/>
  <c r="D17" i="23"/>
  <c r="B12" i="23"/>
  <c r="F11" i="23"/>
  <c r="F10" i="23"/>
  <c r="J9" i="23"/>
  <c r="F9" i="23"/>
  <c r="J8" i="23"/>
  <c r="F8" i="23"/>
  <c r="B53" i="23"/>
  <c r="E53" i="23"/>
  <c r="AE32" i="23" l="1"/>
  <c r="I53" i="23" s="1"/>
  <c r="F54" i="23"/>
  <c r="C54" i="23"/>
  <c r="I54" i="23" l="1"/>
  <c r="K56" i="23" s="1"/>
  <c r="AE28" i="23"/>
  <c r="AE29" i="23" s="1"/>
  <c r="AE33" i="23"/>
  <c r="L10" i="23"/>
  <c r="J10" i="23" s="1"/>
  <c r="J56" i="23"/>
  <c r="AE18" i="23" l="1"/>
  <c r="D15" i="23"/>
  <c r="D16" i="23"/>
  <c r="Z27" i="23" l="1"/>
  <c r="AB27" i="23" s="1"/>
  <c r="AA27" i="23"/>
  <c r="Y19" i="23"/>
  <c r="Z51" i="23" l="1"/>
  <c r="AA51" i="23"/>
  <c r="AB51" i="23" s="1"/>
  <c r="AE21" i="23"/>
  <c r="Y28" i="23" s="1"/>
  <c r="Z19" i="23"/>
  <c r="AB19" i="23" s="1"/>
  <c r="AA52" i="23"/>
  <c r="AB52" i="23" s="1"/>
  <c r="Z52" i="23"/>
  <c r="Y20" i="23"/>
  <c r="Y29" i="23" l="1"/>
  <c r="AA28" i="23"/>
  <c r="Z28" i="23"/>
  <c r="AB28" i="23" s="1"/>
  <c r="Z20" i="23"/>
  <c r="AB20" i="23" s="1"/>
  <c r="AA53" i="23"/>
  <c r="AB53" i="23" s="1"/>
  <c r="Z53" i="23"/>
  <c r="Y21" i="23"/>
  <c r="Z29" i="23" l="1"/>
  <c r="AB29" i="23" s="1"/>
  <c r="Y30" i="23"/>
  <c r="Y31" i="23" s="1"/>
  <c r="AA29" i="23"/>
  <c r="Z21" i="23"/>
  <c r="AB21" i="23" s="1"/>
  <c r="Z30" i="23"/>
  <c r="AB30" i="23" s="1"/>
  <c r="AA54" i="23"/>
  <c r="AB54" i="23" s="1"/>
  <c r="Z54" i="23"/>
  <c r="Y22" i="23"/>
  <c r="AA30" i="23" l="1"/>
  <c r="Z22" i="23"/>
  <c r="AB22" i="23" s="1"/>
  <c r="Z55" i="23"/>
  <c r="AA55" i="23"/>
  <c r="AB55" i="23" s="1"/>
  <c r="Z31" i="23"/>
  <c r="AB31" i="23" s="1"/>
  <c r="AA31" i="23"/>
  <c r="Y32" i="23"/>
  <c r="Y23" i="23"/>
  <c r="Z23" i="23" l="1"/>
  <c r="AB23" i="23" s="1"/>
  <c r="AA32" i="23"/>
  <c r="Z32" i="23"/>
  <c r="AB32" i="23" s="1"/>
  <c r="AA56" i="23"/>
  <c r="AB56" i="23" s="1"/>
  <c r="Z56" i="23"/>
  <c r="Y33" i="23"/>
  <c r="Y24" i="23"/>
  <c r="Z24" i="23" l="1"/>
  <c r="AB24" i="23" s="1"/>
  <c r="AA33" i="23"/>
  <c r="Z33" i="23"/>
  <c r="AB33" i="23" s="1"/>
  <c r="Y25" i="23"/>
  <c r="Y34" i="23"/>
  <c r="Z25" i="23" l="1"/>
  <c r="AB25" i="23" s="1"/>
  <c r="AA34" i="23"/>
  <c r="Z34" i="23"/>
  <c r="AB34" i="23" s="1"/>
  <c r="Y26" i="23"/>
  <c r="Y35" i="23"/>
  <c r="Z26" i="23" l="1"/>
  <c r="AB26" i="23" s="1"/>
  <c r="Z35" i="23"/>
  <c r="AB35" i="23" s="1"/>
  <c r="AA35" i="23"/>
  <c r="Y36" i="23"/>
  <c r="AA36" i="23" l="1"/>
  <c r="Z36" i="23"/>
  <c r="AB36" i="23" s="1"/>
  <c r="Y37" i="23"/>
  <c r="AA37" i="23" l="1"/>
  <c r="Z37" i="23"/>
  <c r="AB37" i="23" s="1"/>
  <c r="Y38" i="23"/>
  <c r="AA38" i="23" l="1"/>
  <c r="Z38" i="23"/>
  <c r="AB38" i="23" s="1"/>
  <c r="Y39" i="23"/>
  <c r="Z39" i="23" l="1"/>
  <c r="AB39" i="23" s="1"/>
  <c r="AA39" i="23"/>
  <c r="Y40" i="23"/>
  <c r="AA40" i="23" l="1"/>
  <c r="Z40" i="23"/>
  <c r="AB40" i="23" s="1"/>
  <c r="Y41" i="23"/>
  <c r="AA41" i="23" l="1"/>
  <c r="Z41" i="23"/>
  <c r="AB41" i="23" s="1"/>
  <c r="Y42" i="23"/>
  <c r="AA42" i="23" l="1"/>
  <c r="Z42" i="23"/>
  <c r="AB42" i="23" s="1"/>
  <c r="Y43" i="23"/>
  <c r="Z43" i="23" l="1"/>
  <c r="AB43" i="23" s="1"/>
  <c r="AA43" i="23"/>
  <c r="Y44" i="23"/>
  <c r="AA44" i="23" l="1"/>
  <c r="Z44" i="23"/>
  <c r="AB44" i="23" s="1"/>
  <c r="Y45" i="23"/>
  <c r="AA45" i="23" l="1"/>
  <c r="Z45" i="23"/>
  <c r="AB45" i="23" s="1"/>
  <c r="Y46" i="23"/>
  <c r="AA46" i="23" l="1"/>
  <c r="Z46" i="23"/>
  <c r="AB46" i="23" s="1"/>
  <c r="Y47" i="23"/>
  <c r="Z47" i="23" l="1"/>
  <c r="AB47" i="23" s="1"/>
  <c r="AA47" i="23"/>
  <c r="Y48" i="23"/>
  <c r="AA48" i="23" l="1"/>
  <c r="Z48" i="23"/>
  <c r="AB48" i="23" s="1"/>
  <c r="Y49" i="23"/>
  <c r="AA49" i="23" l="1"/>
  <c r="Z49" i="23"/>
  <c r="AB49" i="23" s="1"/>
  <c r="Y50" i="23"/>
  <c r="AA50" i="23" l="1"/>
  <c r="Z50" i="23"/>
  <c r="AB50" i="23" s="1"/>
</calcChain>
</file>

<file path=xl/comments1.xml><?xml version="1.0" encoding="utf-8"?>
<comments xmlns="http://schemas.openxmlformats.org/spreadsheetml/2006/main">
  <authors>
    <author>R Abbott</author>
  </authors>
  <commentList>
    <comment ref="Y27" authorId="0" shapeId="0">
      <text>
        <r>
          <rPr>
            <b/>
            <sz val="8"/>
            <color indexed="81"/>
            <rFont val="Tahoma"/>
            <family val="2"/>
          </rPr>
          <t>R Abbott:</t>
        </r>
        <r>
          <rPr>
            <sz val="8"/>
            <color indexed="81"/>
            <rFont val="Tahoma"/>
            <family val="2"/>
          </rPr>
          <t xml:space="preserve">
L/Rho equivqlnt to Fcu</t>
        </r>
      </text>
    </comment>
    <comment ref="Y51"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<sst xmlns="http://schemas.openxmlformats.org/spreadsheetml/2006/main" count="96" uniqueCount="75">
  <si>
    <t>Date:</t>
  </si>
  <si>
    <t xml:space="preserve"> </t>
  </si>
  <si>
    <t>psi</t>
  </si>
  <si>
    <t>R. Abbott</t>
  </si>
  <si>
    <t>Revision:</t>
  </si>
  <si>
    <t>A</t>
  </si>
  <si>
    <t>Author:</t>
  </si>
  <si>
    <t>Check:</t>
  </si>
  <si>
    <t>Report:</t>
  </si>
  <si>
    <t>Section:</t>
  </si>
  <si>
    <t>Document Number:</t>
  </si>
  <si>
    <t>Revision Level :</t>
  </si>
  <si>
    <t>Page:</t>
  </si>
  <si>
    <t>Elastic</t>
  </si>
  <si>
    <t>(Psi)</t>
  </si>
  <si>
    <t>L/Rho</t>
  </si>
  <si>
    <t>Johnson</t>
  </si>
  <si>
    <t xml:space="preserve">Euler </t>
  </si>
  <si>
    <t>Euler</t>
  </si>
  <si>
    <t>Allowable</t>
  </si>
  <si>
    <t>Fcs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</si>
  <si>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</si>
  <si>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</si>
  <si>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</si>
  <si>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</si>
  <si>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</si>
  <si>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</si>
  <si>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</si>
  <si>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</si>
  <si>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</si>
  <si>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</si>
  <si>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</si>
  <si>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</si>
  <si>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</si>
  <si>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</si>
  <si>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</si>
  <si>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</si>
  <si>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</si>
  <si>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</si>
  <si>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</si>
  <si>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</si>
  <si>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</si>
  <si>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</si>
  <si>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AA-SM-018-002</t>
  </si>
  <si>
    <t>Jan 2014</t>
  </si>
  <si>
    <t>STANDARD SPREADSHEET METHOD</t>
  </si>
  <si>
    <t>Title:</t>
  </si>
  <si>
    <t>JOHNSON EULER COLUMN ANALYSIS</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</si>
  <si>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</si>
  <si>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</si>
  <si>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</si>
  <si>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</si>
  <si>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</si>
  <si>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</si>
  <si>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</si>
  <si>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</si>
  <si>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</si>
  <si>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</si>
  <si>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</si>
  <si>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</si>
  <si>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</si>
  <si>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</si>
  <si>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</si>
  <si>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</si>
  <si>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</si>
  <si>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</si>
  <si>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lb</t>
  </si>
  <si>
    <t>Minimum Radius of Gyration</t>
  </si>
  <si>
    <t>P =</t>
  </si>
  <si>
    <t>Applied Load:</t>
  </si>
  <si>
    <t>Johnson Euler Intercept</t>
  </si>
  <si>
    <t>Column Allowable =</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</si>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</sst>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5">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1" fontId="6" fillId="0" borderId="0" xfId="0" applyNumberFormat="1" applyFont="1" applyAlignment="1">
      <alignment horizontal="right"/>
    </xf>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Sheet1!$Y$19:$Y$56</c:f>
              <c:numCache>
                <c:formatCode>0</c:formatCode>
                <c:ptCount val="38"/>
                <c:pt idx="0">
                  <c:v>4.2153706227991385</c:v>
                </c:pt>
                <c:pt idx="1">
                  <c:v>8.4307412455982771</c:v>
                </c:pt>
                <c:pt idx="2">
                  <c:v>12.646111868397416</c:v>
                </c:pt>
                <c:pt idx="3">
                  <c:v>16.861482491196554</c:v>
                </c:pt>
                <c:pt idx="4">
                  <c:v>21.076853113995693</c:v>
                </c:pt>
                <c:pt idx="5">
                  <c:v>25.292223736794831</c:v>
                </c:pt>
                <c:pt idx="6">
                  <c:v>29.50759435959397</c:v>
                </c:pt>
                <c:pt idx="7">
                  <c:v>33.722964982393108</c:v>
                </c:pt>
                <c:pt idx="8">
                  <c:v>37.93833560519225</c:v>
                </c:pt>
                <c:pt idx="9">
                  <c:v>38.806480654671532</c:v>
                </c:pt>
                <c:pt idx="10">
                  <c:v>39.674625704150813</c:v>
                </c:pt>
                <c:pt idx="11">
                  <c:v>40.542770753630094</c:v>
                </c:pt>
                <c:pt idx="12">
                  <c:v>41.410915803109376</c:v>
                </c:pt>
                <c:pt idx="13">
                  <c:v>42.279060852588657</c:v>
                </c:pt>
                <c:pt idx="14">
                  <c:v>43.147205902067938</c:v>
                </c:pt>
                <c:pt idx="15">
                  <c:v>44.015350951547219</c:v>
                </c:pt>
                <c:pt idx="16">
                  <c:v>44.883496001026501</c:v>
                </c:pt>
                <c:pt idx="17">
                  <c:v>45.751641050505782</c:v>
                </c:pt>
                <c:pt idx="18">
                  <c:v>46.619786099985063</c:v>
                </c:pt>
                <c:pt idx="19">
                  <c:v>47.487931149464345</c:v>
                </c:pt>
                <c:pt idx="20">
                  <c:v>48.356076198943626</c:v>
                </c:pt>
                <c:pt idx="21">
                  <c:v>49.224221248422907</c:v>
                </c:pt>
                <c:pt idx="22">
                  <c:v>50.092366297902188</c:v>
                </c:pt>
                <c:pt idx="23">
                  <c:v>50.96051134738147</c:v>
                </c:pt>
                <c:pt idx="24">
                  <c:v>51.828656396860751</c:v>
                </c:pt>
                <c:pt idx="25">
                  <c:v>52.696801446340032</c:v>
                </c:pt>
                <c:pt idx="26">
                  <c:v>53.564946495819314</c:v>
                </c:pt>
                <c:pt idx="27">
                  <c:v>54.433091545298595</c:v>
                </c:pt>
                <c:pt idx="28">
                  <c:v>55.301236594777876</c:v>
                </c:pt>
                <c:pt idx="29">
                  <c:v>56.169381644257157</c:v>
                </c:pt>
                <c:pt idx="30">
                  <c:v>57.037526693736439</c:v>
                </c:pt>
                <c:pt idx="31">
                  <c:v>57.90567174321572</c:v>
                </c:pt>
                <c:pt idx="32">
                  <c:v>58.773816792694987</c:v>
                </c:pt>
                <c:pt idx="33">
                  <c:v>66.273816792694987</c:v>
                </c:pt>
                <c:pt idx="34">
                  <c:v>73.773816792694987</c:v>
                </c:pt>
                <c:pt idx="35">
                  <c:v>83.773816792694987</c:v>
                </c:pt>
                <c:pt idx="36">
                  <c:v>103.77381679269499</c:v>
                </c:pt>
                <c:pt idx="37">
                  <c:v>123.77381679269499</c:v>
                </c:pt>
              </c:numCache>
            </c:numRef>
          </c:xVal>
          <c:yVal>
            <c:numRef>
              <c:f>Sheet1!$AA$19:$AA$56</c:f>
              <c:numCache>
                <c:formatCode>0</c:formatCode>
                <c:ptCount val="38"/>
                <c:pt idx="8">
                  <c:v>72000</c:v>
                </c:pt>
                <c:pt idx="9">
                  <c:v>68814.590117398824</c:v>
                </c:pt>
                <c:pt idx="10">
                  <c:v>65835.989599386681</c:v>
                </c:pt>
                <c:pt idx="11">
                  <c:v>63046.675821891557</c:v>
                </c:pt>
                <c:pt idx="12">
                  <c:v>60430.943430420353</c:v>
                </c:pt>
                <c:pt idx="13">
                  <c:v>57974.682780791998</c:v>
                </c:pt>
                <c:pt idx="14">
                  <c:v>55665.189265512701</c:v>
                </c:pt>
                <c:pt idx="15">
                  <c:v>53490.998701454679</c:v>
                </c:pt>
                <c:pt idx="16">
                  <c:v>51441.744785996154</c:v>
                </c:pt>
                <c:pt idx="17">
                  <c:v>49508.035304037694</c:v>
                </c:pt>
                <c:pt idx="18">
                  <c:v>47681.344319025178</c:v>
                </c:pt>
                <c:pt idx="19">
                  <c:v>45953.918032091213</c:v>
                </c:pt>
                <c:pt idx="20">
                  <c:v>44318.692364189352</c:v>
                </c:pt>
                <c:pt idx="21">
                  <c:v>42769.220622059314</c:v>
                </c:pt>
                <c:pt idx="22">
                  <c:v>41299.609862270423</c:v>
                </c:pt>
                <c:pt idx="23">
                  <c:v>39904.464778206318</c:v>
                </c:pt>
                <c:pt idx="24">
                  <c:v>38578.838110494173</c:v>
                </c:pt>
                <c:pt idx="25">
                  <c:v>37318.186728329601</c:v>
                </c:pt>
                <c:pt idx="26">
                  <c:v>36118.332652478384</c:v>
                </c:pt>
                <c:pt idx="27">
                  <c:v>34975.428394556235</c:v>
                </c:pt>
                <c:pt idx="28">
                  <c:v>33885.92607484098</c:v>
                </c:pt>
                <c:pt idx="29">
                  <c:v>32846.549855084064</c:v>
                </c:pt>
                <c:pt idx="30">
                  <c:v>31854.271285792878</c:v>
                </c:pt>
                <c:pt idx="31">
                  <c:v>30906.287221086979</c:v>
                </c:pt>
                <c:pt idx="32">
                  <c:v>30000</c:v>
                </c:pt>
                <c:pt idx="33">
                  <c:v>23594.190342653517</c:v>
                </c:pt>
                <c:pt idx="34">
                  <c:v>19040.771386666409</c:v>
                </c:pt>
                <c:pt idx="35">
                  <c:v>14766.325555866204</c:v>
                </c:pt>
                <c:pt idx="36">
                  <c:v>9623.0659855480135</c:v>
                </c:pt>
                <c:pt idx="37">
                  <c:v>6764.4342159597854</c:v>
                </c:pt>
              </c:numCache>
            </c:numRef>
          </c:yVal>
          <c:smooth val="0"/>
          <c:extLst>
            <c:ext xmlns:c16="http://schemas.microsoft.com/office/drawing/2014/chart" uri="{C3380CC4-5D6E-409C-BE32-E72D297353CC}">
              <c16:uniqueId val="{00000000-9424-4D7D-9771-0A53775EF07E}"/>
            </c:ext>
          </c:extLst>
        </c:ser>
        <c:ser>
          <c:idx val="4"/>
          <c:order val="1"/>
          <c:tx>
            <c:v>Johnson Column Allowable based on Fcy</c:v>
          </c:tx>
          <c:spPr>
            <a:ln w="12700">
              <a:solidFill>
                <a:schemeClr val="bg1">
                  <a:lumMod val="50000"/>
                </a:schemeClr>
              </a:solidFill>
              <a:prstDash val="solid"/>
            </a:ln>
          </c:spPr>
          <c:marker>
            <c:symbol val="none"/>
          </c:marker>
          <c:xVal>
            <c:numRef>
              <c:f>Sheet1!$Y$19:$Y$56</c:f>
              <c:numCache>
                <c:formatCode>0</c:formatCode>
                <c:ptCount val="38"/>
                <c:pt idx="0">
                  <c:v>4.2153706227991385</c:v>
                </c:pt>
                <c:pt idx="1">
                  <c:v>8.4307412455982771</c:v>
                </c:pt>
                <c:pt idx="2">
                  <c:v>12.646111868397416</c:v>
                </c:pt>
                <c:pt idx="3">
                  <c:v>16.861482491196554</c:v>
                </c:pt>
                <c:pt idx="4">
                  <c:v>21.076853113995693</c:v>
                </c:pt>
                <c:pt idx="5">
                  <c:v>25.292223736794831</c:v>
                </c:pt>
                <c:pt idx="6">
                  <c:v>29.50759435959397</c:v>
                </c:pt>
                <c:pt idx="7">
                  <c:v>33.722964982393108</c:v>
                </c:pt>
                <c:pt idx="8">
                  <c:v>37.93833560519225</c:v>
                </c:pt>
                <c:pt idx="9">
                  <c:v>38.806480654671532</c:v>
                </c:pt>
                <c:pt idx="10">
                  <c:v>39.674625704150813</c:v>
                </c:pt>
                <c:pt idx="11">
                  <c:v>40.542770753630094</c:v>
                </c:pt>
                <c:pt idx="12">
                  <c:v>41.410915803109376</c:v>
                </c:pt>
                <c:pt idx="13">
                  <c:v>42.279060852588657</c:v>
                </c:pt>
                <c:pt idx="14">
                  <c:v>43.147205902067938</c:v>
                </c:pt>
                <c:pt idx="15">
                  <c:v>44.015350951547219</c:v>
                </c:pt>
                <c:pt idx="16">
                  <c:v>44.883496001026501</c:v>
                </c:pt>
                <c:pt idx="17">
                  <c:v>45.751641050505782</c:v>
                </c:pt>
                <c:pt idx="18">
                  <c:v>46.619786099985063</c:v>
                </c:pt>
                <c:pt idx="19">
                  <c:v>47.487931149464345</c:v>
                </c:pt>
                <c:pt idx="20">
                  <c:v>48.356076198943626</c:v>
                </c:pt>
                <c:pt idx="21">
                  <c:v>49.224221248422907</c:v>
                </c:pt>
                <c:pt idx="22">
                  <c:v>50.092366297902188</c:v>
                </c:pt>
                <c:pt idx="23">
                  <c:v>50.96051134738147</c:v>
                </c:pt>
                <c:pt idx="24">
                  <c:v>51.828656396860751</c:v>
                </c:pt>
                <c:pt idx="25">
                  <c:v>52.696801446340032</c:v>
                </c:pt>
                <c:pt idx="26">
                  <c:v>53.564946495819314</c:v>
                </c:pt>
                <c:pt idx="27">
                  <c:v>54.433091545298595</c:v>
                </c:pt>
                <c:pt idx="28">
                  <c:v>55.301236594777876</c:v>
                </c:pt>
                <c:pt idx="29">
                  <c:v>56.169381644257157</c:v>
                </c:pt>
                <c:pt idx="30">
                  <c:v>57.037526693736439</c:v>
                </c:pt>
                <c:pt idx="31">
                  <c:v>57.90567174321572</c:v>
                </c:pt>
                <c:pt idx="32">
                  <c:v>58.773816792694987</c:v>
                </c:pt>
                <c:pt idx="33">
                  <c:v>66.273816792694987</c:v>
                </c:pt>
                <c:pt idx="34">
                  <c:v>73.773816792694987</c:v>
                </c:pt>
                <c:pt idx="35">
                  <c:v>83.773816792694987</c:v>
                </c:pt>
                <c:pt idx="36">
                  <c:v>103.77381679269499</c:v>
                </c:pt>
                <c:pt idx="37">
                  <c:v>123.77381679269499</c:v>
                </c:pt>
              </c:numCache>
            </c:numRef>
          </c:xVal>
          <c:yVal>
            <c:numRef>
              <c:f>Sheet1!$Z$19:$Z$56</c:f>
              <c:numCache>
                <c:formatCode>0</c:formatCode>
                <c:ptCount val="38"/>
                <c:pt idx="0">
                  <c:v>59845.679012345681</c:v>
                </c:pt>
                <c:pt idx="1">
                  <c:v>59382.716049382718</c:v>
                </c:pt>
                <c:pt idx="2">
                  <c:v>58611.111111111109</c:v>
                </c:pt>
                <c:pt idx="3">
                  <c:v>57530.864197530864</c:v>
                </c:pt>
                <c:pt idx="4">
                  <c:v>56141.975308641973</c:v>
                </c:pt>
                <c:pt idx="5">
                  <c:v>54444.444444444445</c:v>
                </c:pt>
                <c:pt idx="6">
                  <c:v>52438.271604938273</c:v>
                </c:pt>
                <c:pt idx="7">
                  <c:v>50123.456790123462</c:v>
                </c:pt>
                <c:pt idx="8">
                  <c:v>47500</c:v>
                </c:pt>
                <c:pt idx="9">
                  <c:v>46921.378177729675</c:v>
                </c:pt>
                <c:pt idx="10">
                  <c:v>46329.665499424889</c:v>
                </c:pt>
                <c:pt idx="11">
                  <c:v>45724.861965085634</c:v>
                </c:pt>
                <c:pt idx="12">
                  <c:v>45106.967574711918</c:v>
                </c:pt>
                <c:pt idx="13">
                  <c:v>44475.98232830374</c:v>
                </c:pt>
                <c:pt idx="14">
                  <c:v>43831.906225861094</c:v>
                </c:pt>
                <c:pt idx="15">
                  <c:v>43174.739267383979</c:v>
                </c:pt>
                <c:pt idx="16">
                  <c:v>42504.481452872409</c:v>
                </c:pt>
                <c:pt idx="17">
                  <c:v>41821.132782326356</c:v>
                </c:pt>
                <c:pt idx="18">
                  <c:v>41124.693255745857</c:v>
                </c:pt>
                <c:pt idx="19">
                  <c:v>40415.162873130888</c:v>
                </c:pt>
                <c:pt idx="20">
                  <c:v>39692.541634481451</c:v>
                </c:pt>
                <c:pt idx="21">
                  <c:v>38956.829539797553</c:v>
                </c:pt>
                <c:pt idx="22">
                  <c:v>38208.026589079192</c:v>
                </c:pt>
                <c:pt idx="23">
                  <c:v>37446.132782326356</c:v>
                </c:pt>
                <c:pt idx="24">
                  <c:v>36671.148119539066</c:v>
                </c:pt>
                <c:pt idx="25">
                  <c:v>35883.072600717307</c:v>
                </c:pt>
                <c:pt idx="26">
                  <c:v>35081.906225861079</c:v>
                </c:pt>
                <c:pt idx="27">
                  <c:v>34267.648994970397</c:v>
                </c:pt>
                <c:pt idx="28">
                  <c:v>33440.300908045247</c:v>
                </c:pt>
                <c:pt idx="29">
                  <c:v>32599.861965085627</c:v>
                </c:pt>
                <c:pt idx="30">
                  <c:v>31746.332166091546</c:v>
                </c:pt>
                <c:pt idx="31">
                  <c:v>30879.711511062997</c:v>
                </c:pt>
                <c:pt idx="32">
                  <c:v>30000.000000000004</c:v>
                </c:pt>
                <c:pt idx="33">
                  <c:v>21855.016555792456</c:v>
                </c:pt>
                <c:pt idx="34">
                  <c:v>12733.007412176659</c:v>
                </c:pt>
                <c:pt idx="35">
                  <c:v>-949.48920061279932</c:v>
                </c:pt>
                <c:pt idx="36">
                  <c:v>-33525.286156369097</c:v>
                </c:pt>
                <c:pt idx="37">
                  <c:v>-73048.821419028565</c:v>
                </c:pt>
              </c:numCache>
            </c:numRef>
          </c:yVal>
          <c:smooth val="0"/>
          <c:extLst>
            <c:ext xmlns:c16="http://schemas.microsoft.com/office/drawing/2014/chart" uri="{C3380CC4-5D6E-409C-BE32-E72D297353CC}">
              <c16:uniqueId val="{00000002-9424-4D7D-9771-0A53775EF07E}"/>
            </c:ext>
          </c:extLst>
        </c:ser>
        <c:ser>
          <c:idx val="1"/>
          <c:order val="2"/>
          <c:spPr>
            <a:ln w="19050">
              <a:solidFill>
                <a:schemeClr val="tx1"/>
              </a:solidFill>
            </a:ln>
          </c:spPr>
          <c:marker>
            <c:symbol val="none"/>
          </c:marker>
          <c:xVal>
            <c:numRef>
              <c:f>Sheet1!$AD$27:$AD$29</c:f>
              <c:numCache>
                <c:formatCode>0.0</c:formatCode>
                <c:ptCount val="3"/>
                <c:pt idx="0">
                  <c:v>42.134239255587119</c:v>
                </c:pt>
                <c:pt idx="1">
                  <c:v>42.134239255587119</c:v>
                </c:pt>
                <c:pt idx="2" formatCode="General">
                  <c:v>0</c:v>
                </c:pt>
              </c:numCache>
            </c:numRef>
          </c:xVal>
          <c:yVal>
            <c:numRef>
              <c:f>Sheet1!$AE$27:$AE$29</c:f>
              <c:numCache>
                <c:formatCode>0.0</c:formatCode>
                <c:ptCount val="3"/>
                <c:pt idx="0" formatCode="General">
                  <c:v>0</c:v>
                </c:pt>
                <c:pt idx="1">
                  <c:v>44582.151316004602</c:v>
                </c:pt>
                <c:pt idx="2">
                  <c:v>44582.151316004602</c:v>
                </c:pt>
              </c:numCache>
            </c:numRef>
          </c:yVal>
          <c:smooth val="0"/>
          <c:extLst>
            <c:ext xmlns:c16="http://schemas.microsoft.com/office/drawing/2014/chart" uri="{C3380CC4-5D6E-409C-BE32-E72D297353CC}">
              <c16:uniqueId val="{00000003-9424-4D7D-9771-0A53775EF07E}"/>
            </c:ext>
          </c:extLst>
        </c:ser>
        <c:ser>
          <c:idx val="3"/>
          <c:order val="3"/>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Sheet1!$AD$31:$AD$32</c:f>
              <c:numCache>
                <c:formatCode>0.0</c:formatCode>
                <c:ptCount val="2"/>
                <c:pt idx="0">
                  <c:v>42.134239255587119</c:v>
                </c:pt>
                <c:pt idx="1">
                  <c:v>42.134239255587119</c:v>
                </c:pt>
              </c:numCache>
            </c:numRef>
          </c:xVal>
          <c:yVal>
            <c:numRef>
              <c:f>Sheet1!$AE$31:$AE$32</c:f>
              <c:numCache>
                <c:formatCode>0.0</c:formatCode>
                <c:ptCount val="2"/>
                <c:pt idx="0" formatCode="General">
                  <c:v>0</c:v>
                </c:pt>
                <c:pt idx="1">
                  <c:v>44582.151316004602</c:v>
                </c:pt>
              </c:numCache>
            </c:numRef>
          </c:yVal>
          <c:smooth val="0"/>
          <c:extLst>
            <c:ext xmlns:c16="http://schemas.microsoft.com/office/drawing/2014/chart" uri="{C3380CC4-5D6E-409C-BE32-E72D297353CC}">
              <c16:uniqueId val="{00000004-9424-4D7D-9771-0A53775EF07E}"/>
            </c:ext>
          </c:extLst>
        </c:ser>
        <c:ser>
          <c:idx val="5"/>
          <c:order val="4"/>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424-4D7D-9771-0A53775EF07E}"/>
                </c:ext>
              </c:extLst>
            </c:dLbl>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Sheet1!$AD$32:$AD$33</c:f>
              <c:numCache>
                <c:formatCode>General</c:formatCode>
                <c:ptCount val="2"/>
                <c:pt idx="0" formatCode="0.0">
                  <c:v>42.134239255587119</c:v>
                </c:pt>
                <c:pt idx="1">
                  <c:v>0</c:v>
                </c:pt>
              </c:numCache>
            </c:numRef>
          </c:xVal>
          <c:yVal>
            <c:numRef>
              <c:f>Sheet1!$AE$32:$AE$33</c:f>
              <c:numCache>
                <c:formatCode>0.0</c:formatCode>
                <c:ptCount val="2"/>
                <c:pt idx="0">
                  <c:v>44582.151316004602</c:v>
                </c:pt>
                <c:pt idx="1">
                  <c:v>44582.151316004602</c:v>
                </c:pt>
              </c:numCache>
            </c:numRef>
          </c:yVal>
          <c:smooth val="0"/>
          <c:extLst>
            <c:ext xmlns:c16="http://schemas.microsoft.com/office/drawing/2014/chart" uri="{C3380CC4-5D6E-409C-BE32-E72D297353CC}">
              <c16:uniqueId val="{0000000A-9424-4D7D-9771-0A53775EF07E}"/>
            </c:ext>
          </c:extLst>
        </c:ser>
        <c:ser>
          <c:idx val="7"/>
          <c:order val="5"/>
          <c:spPr>
            <a:ln w="25400">
              <a:solidFill>
                <a:schemeClr val="tx1"/>
              </a:solidFill>
            </a:ln>
          </c:spPr>
          <c:marker>
            <c:symbol val="none"/>
          </c:marker>
          <c:xVal>
            <c:numRef>
              <c:f>Sheet1!$Y$19:$Y$56</c:f>
              <c:numCache>
                <c:formatCode>0</c:formatCode>
                <c:ptCount val="38"/>
                <c:pt idx="0">
                  <c:v>4.2153706227991385</c:v>
                </c:pt>
                <c:pt idx="1">
                  <c:v>8.4307412455982771</c:v>
                </c:pt>
                <c:pt idx="2">
                  <c:v>12.646111868397416</c:v>
                </c:pt>
                <c:pt idx="3">
                  <c:v>16.861482491196554</c:v>
                </c:pt>
                <c:pt idx="4">
                  <c:v>21.076853113995693</c:v>
                </c:pt>
                <c:pt idx="5">
                  <c:v>25.292223736794831</c:v>
                </c:pt>
                <c:pt idx="6">
                  <c:v>29.50759435959397</c:v>
                </c:pt>
                <c:pt idx="7">
                  <c:v>33.722964982393108</c:v>
                </c:pt>
                <c:pt idx="8">
                  <c:v>37.93833560519225</c:v>
                </c:pt>
                <c:pt idx="9">
                  <c:v>38.806480654671532</c:v>
                </c:pt>
                <c:pt idx="10">
                  <c:v>39.674625704150813</c:v>
                </c:pt>
                <c:pt idx="11">
                  <c:v>40.542770753630094</c:v>
                </c:pt>
                <c:pt idx="12">
                  <c:v>41.410915803109376</c:v>
                </c:pt>
                <c:pt idx="13">
                  <c:v>42.279060852588657</c:v>
                </c:pt>
                <c:pt idx="14">
                  <c:v>43.147205902067938</c:v>
                </c:pt>
                <c:pt idx="15">
                  <c:v>44.015350951547219</c:v>
                </c:pt>
                <c:pt idx="16">
                  <c:v>44.883496001026501</c:v>
                </c:pt>
                <c:pt idx="17">
                  <c:v>45.751641050505782</c:v>
                </c:pt>
                <c:pt idx="18">
                  <c:v>46.619786099985063</c:v>
                </c:pt>
                <c:pt idx="19">
                  <c:v>47.487931149464345</c:v>
                </c:pt>
                <c:pt idx="20">
                  <c:v>48.356076198943626</c:v>
                </c:pt>
                <c:pt idx="21">
                  <c:v>49.224221248422907</c:v>
                </c:pt>
                <c:pt idx="22">
                  <c:v>50.092366297902188</c:v>
                </c:pt>
                <c:pt idx="23">
                  <c:v>50.96051134738147</c:v>
                </c:pt>
                <c:pt idx="24">
                  <c:v>51.828656396860751</c:v>
                </c:pt>
                <c:pt idx="25">
                  <c:v>52.696801446340032</c:v>
                </c:pt>
                <c:pt idx="26">
                  <c:v>53.564946495819314</c:v>
                </c:pt>
                <c:pt idx="27">
                  <c:v>54.433091545298595</c:v>
                </c:pt>
                <c:pt idx="28">
                  <c:v>55.301236594777876</c:v>
                </c:pt>
                <c:pt idx="29">
                  <c:v>56.169381644257157</c:v>
                </c:pt>
                <c:pt idx="30">
                  <c:v>57.037526693736439</c:v>
                </c:pt>
                <c:pt idx="31">
                  <c:v>57.90567174321572</c:v>
                </c:pt>
                <c:pt idx="32">
                  <c:v>58.773816792694987</c:v>
                </c:pt>
                <c:pt idx="33">
                  <c:v>66.273816792694987</c:v>
                </c:pt>
                <c:pt idx="34">
                  <c:v>73.773816792694987</c:v>
                </c:pt>
                <c:pt idx="35">
                  <c:v>83.773816792694987</c:v>
                </c:pt>
                <c:pt idx="36">
                  <c:v>103.77381679269499</c:v>
                </c:pt>
                <c:pt idx="37">
                  <c:v>123.77381679269499</c:v>
                </c:pt>
              </c:numCache>
            </c:numRef>
          </c:xVal>
          <c:yVal>
            <c:numRef>
              <c:f>Sheet1!$AB$19:$AB$56</c:f>
              <c:numCache>
                <c:formatCode>0</c:formatCode>
                <c:ptCount val="38"/>
                <c:pt idx="0">
                  <c:v>59845.679012345681</c:v>
                </c:pt>
                <c:pt idx="1">
                  <c:v>59382.716049382718</c:v>
                </c:pt>
                <c:pt idx="2">
                  <c:v>58611.111111111109</c:v>
                </c:pt>
                <c:pt idx="3">
                  <c:v>57530.864197530864</c:v>
                </c:pt>
                <c:pt idx="4">
                  <c:v>56141.975308641973</c:v>
                </c:pt>
                <c:pt idx="5">
                  <c:v>54444.444444444445</c:v>
                </c:pt>
                <c:pt idx="6">
                  <c:v>52438.271604938273</c:v>
                </c:pt>
                <c:pt idx="7">
                  <c:v>50123.456790123462</c:v>
                </c:pt>
                <c:pt idx="8">
                  <c:v>47500</c:v>
                </c:pt>
                <c:pt idx="9">
                  <c:v>46921.378177729675</c:v>
                </c:pt>
                <c:pt idx="10">
                  <c:v>46329.665499424889</c:v>
                </c:pt>
                <c:pt idx="11">
                  <c:v>45724.861965085634</c:v>
                </c:pt>
                <c:pt idx="12">
                  <c:v>45106.967574711918</c:v>
                </c:pt>
                <c:pt idx="13">
                  <c:v>44475.98232830374</c:v>
                </c:pt>
                <c:pt idx="14">
                  <c:v>43831.906225861094</c:v>
                </c:pt>
                <c:pt idx="15">
                  <c:v>43174.739267383979</c:v>
                </c:pt>
                <c:pt idx="16">
                  <c:v>42504.481452872409</c:v>
                </c:pt>
                <c:pt idx="17">
                  <c:v>41821.132782326356</c:v>
                </c:pt>
                <c:pt idx="18">
                  <c:v>41124.693255745857</c:v>
                </c:pt>
                <c:pt idx="19">
                  <c:v>40415.162873130888</c:v>
                </c:pt>
                <c:pt idx="20">
                  <c:v>39692.541634481451</c:v>
                </c:pt>
                <c:pt idx="21">
                  <c:v>38956.829539797553</c:v>
                </c:pt>
                <c:pt idx="22">
                  <c:v>38208.026589079192</c:v>
                </c:pt>
                <c:pt idx="23">
                  <c:v>37446.132782326356</c:v>
                </c:pt>
                <c:pt idx="24">
                  <c:v>36671.148119539066</c:v>
                </c:pt>
                <c:pt idx="25">
                  <c:v>35883.072600717307</c:v>
                </c:pt>
                <c:pt idx="26">
                  <c:v>35081.906225861079</c:v>
                </c:pt>
                <c:pt idx="27">
                  <c:v>34267.648994970397</c:v>
                </c:pt>
                <c:pt idx="28">
                  <c:v>33440.300908045247</c:v>
                </c:pt>
                <c:pt idx="29">
                  <c:v>32599.861965085627</c:v>
                </c:pt>
                <c:pt idx="30">
                  <c:v>31746.332166091546</c:v>
                </c:pt>
                <c:pt idx="31">
                  <c:v>30879.711511062997</c:v>
                </c:pt>
                <c:pt idx="32">
                  <c:v>30000</c:v>
                </c:pt>
                <c:pt idx="33">
                  <c:v>23594.190342653517</c:v>
                </c:pt>
                <c:pt idx="34">
                  <c:v>19040.771386666409</c:v>
                </c:pt>
                <c:pt idx="35">
                  <c:v>14766.325555866204</c:v>
                </c:pt>
                <c:pt idx="36">
                  <c:v>9623.0659855480135</c:v>
                </c:pt>
                <c:pt idx="37">
                  <c:v>6764.4342159597854</c:v>
                </c:pt>
              </c:numCache>
            </c:numRef>
          </c:yVal>
          <c:smooth val="0"/>
          <c:extLst>
            <c:ext xmlns:c16="http://schemas.microsoft.com/office/drawing/2014/chart" uri="{C3380CC4-5D6E-409C-BE32-E72D297353CC}">
              <c16:uniqueId val="{0000000F-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1427843020829791"/>
              <c:y val="0.9535949549123879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2"/>
        <c:delete val="1"/>
      </c:legendEntry>
      <c:legendEntry>
        <c:idx val="3"/>
        <c:delete val="1"/>
      </c:legendEntry>
      <c:legendEntry>
        <c:idx val="4"/>
        <c:delete val="1"/>
      </c:legendEntry>
      <c:legendEntry>
        <c:idx val="5"/>
        <c:delete val="1"/>
      </c:legendEntry>
      <c:layout>
        <c:manualLayout>
          <c:xMode val="edge"/>
          <c:yMode val="edge"/>
          <c:x val="0.55850946518113165"/>
          <c:y val="7.3823860830557531E-2"/>
          <c:w val="0.32643604005638832"/>
          <c:h val="0.1768446534261330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0</xdr:rowOff>
    </xdr:from>
    <xdr:to>
      <xdr:col>10</xdr:col>
      <xdr:colOff>0</xdr:colOff>
      <xdr:row>50</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38250"/>
          <a:ext cx="2507796" cy="626929"/>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6</v>
      </c>
      <c r="C1" s="57" t="s">
        <v>3</v>
      </c>
      <c r="D1" s="55"/>
      <c r="E1" s="55"/>
      <c r="F1" s="56" t="s">
        <v>21</v>
      </c>
      <c r="G1" s="58"/>
      <c r="H1" s="55"/>
      <c r="I1" s="55"/>
      <c r="J1" s="55"/>
      <c r="K1" s="55"/>
      <c r="M1" s="82"/>
      <c r="N1" s="82"/>
      <c r="O1" s="82"/>
      <c r="P1" s="82"/>
      <c r="Q1" s="82"/>
      <c r="R1" s="82"/>
      <c r="S1" s="82"/>
      <c r="T1" s="83"/>
      <c r="U1" s="83"/>
      <c r="V1" s="83"/>
      <c r="W1" s="84"/>
      <c r="X1" s="85"/>
      <c r="Y1" s="83"/>
    </row>
    <row r="2" spans="1:25" s="59" customFormat="1" ht="13.8">
      <c r="A2" s="55"/>
      <c r="B2" s="56" t="s">
        <v>7</v>
      </c>
      <c r="C2" s="57" t="s">
        <v>1</v>
      </c>
      <c r="D2" s="55"/>
      <c r="E2" s="55"/>
      <c r="F2" s="56" t="s">
        <v>8</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22</v>
      </c>
      <c r="C4" s="58"/>
      <c r="D4" s="55"/>
      <c r="E4" s="55"/>
      <c r="F4" s="56" t="s">
        <v>23</v>
      </c>
      <c r="G4" s="57" t="s">
        <v>24</v>
      </c>
      <c r="H4" s="55"/>
      <c r="I4" s="55"/>
      <c r="J4" s="55"/>
      <c r="K4" s="55"/>
      <c r="M4" s="82"/>
      <c r="N4" s="82"/>
      <c r="O4" s="82"/>
      <c r="P4" s="82"/>
      <c r="Q4" s="86"/>
      <c r="R4" s="87"/>
      <c r="S4" s="87"/>
      <c r="T4" s="83"/>
      <c r="U4" s="83"/>
      <c r="V4" s="83"/>
      <c r="W4" s="84"/>
      <c r="X4" s="85"/>
      <c r="Y4" s="83"/>
    </row>
    <row r="5" spans="1:25" s="59" customFormat="1" ht="13.8">
      <c r="A5" s="55"/>
      <c r="B5" s="56" t="s">
        <v>25</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9</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26</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18" t="s">
        <v>31</v>
      </c>
      <c r="C16" s="118"/>
      <c r="D16" s="118"/>
      <c r="E16" s="118"/>
      <c r="F16" s="118"/>
      <c r="G16" s="118"/>
      <c r="H16" s="118"/>
      <c r="I16" s="118"/>
      <c r="J16" s="118"/>
      <c r="M16" s="86"/>
      <c r="N16" s="86"/>
      <c r="O16" s="86"/>
      <c r="P16" s="86"/>
      <c r="Q16" s="86"/>
      <c r="R16" s="87"/>
      <c r="S16" s="87"/>
      <c r="T16" s="83"/>
      <c r="U16" s="83"/>
      <c r="V16" s="83"/>
      <c r="W16" s="83"/>
      <c r="X16" s="83"/>
      <c r="Y16" s="83"/>
    </row>
    <row r="17" spans="1:25" s="59" customFormat="1" ht="13.8">
      <c r="B17" s="118"/>
      <c r="C17" s="118"/>
      <c r="D17" s="118"/>
      <c r="E17" s="118"/>
      <c r="F17" s="118"/>
      <c r="G17" s="118"/>
      <c r="H17" s="118"/>
      <c r="I17" s="118"/>
      <c r="J17" s="118"/>
      <c r="M17" s="86"/>
      <c r="N17" s="86"/>
      <c r="O17" s="86"/>
      <c r="P17" s="86"/>
      <c r="Q17" s="86"/>
      <c r="R17" s="87"/>
      <c r="S17" s="87"/>
      <c r="T17" s="83"/>
      <c r="U17" s="83"/>
      <c r="V17" s="83"/>
      <c r="W17" s="83"/>
      <c r="X17" s="83"/>
      <c r="Y17" s="83"/>
    </row>
    <row r="18" spans="1:25" s="59" customFormat="1" ht="13.8">
      <c r="B18" s="118"/>
      <c r="C18" s="118"/>
      <c r="D18" s="118"/>
      <c r="E18" s="118"/>
      <c r="F18" s="118"/>
      <c r="G18" s="118"/>
      <c r="H18" s="118"/>
      <c r="I18" s="118"/>
      <c r="J18" s="118"/>
      <c r="M18" s="86"/>
      <c r="N18" s="86"/>
      <c r="O18" s="86"/>
      <c r="P18" s="86"/>
      <c r="Q18" s="86"/>
      <c r="R18" s="87"/>
      <c r="S18" s="87"/>
      <c r="T18" s="83"/>
      <c r="U18" s="83"/>
      <c r="V18" s="83"/>
      <c r="W18" s="83"/>
      <c r="X18" s="83"/>
      <c r="Y18" s="83"/>
    </row>
    <row r="19" spans="1:25" s="59" customFormat="1" ht="13.8">
      <c r="B19" s="118"/>
      <c r="C19" s="118"/>
      <c r="D19" s="118"/>
      <c r="E19" s="118"/>
      <c r="F19" s="118"/>
      <c r="G19" s="118"/>
      <c r="H19" s="118"/>
      <c r="I19" s="118"/>
      <c r="J19" s="118"/>
      <c r="M19" s="86"/>
      <c r="N19" s="86"/>
      <c r="O19" s="86"/>
      <c r="P19" s="86"/>
      <c r="Q19" s="86"/>
      <c r="R19" s="87"/>
      <c r="S19" s="87"/>
      <c r="T19" s="83"/>
      <c r="U19" s="83"/>
      <c r="V19" s="83"/>
      <c r="W19" s="83"/>
      <c r="X19" s="83"/>
      <c r="Y19" s="83"/>
    </row>
    <row r="20" spans="1:25" s="59" customFormat="1" ht="12.75" customHeight="1">
      <c r="A20" s="73"/>
      <c r="B20" s="74" t="s">
        <v>32</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18" t="s">
        <v>33</v>
      </c>
      <c r="C22" s="118"/>
      <c r="D22" s="118"/>
      <c r="E22" s="118"/>
      <c r="F22" s="118"/>
      <c r="G22" s="118"/>
      <c r="H22" s="118"/>
      <c r="I22" s="118"/>
      <c r="J22" s="118"/>
      <c r="K22" s="73"/>
      <c r="M22" s="86"/>
      <c r="N22" s="86"/>
      <c r="O22" s="86"/>
      <c r="P22" s="86"/>
      <c r="Q22" s="86"/>
      <c r="R22" s="87"/>
      <c r="S22" s="87"/>
      <c r="T22" s="83"/>
      <c r="U22" s="83"/>
      <c r="V22" s="83"/>
      <c r="W22" s="83"/>
      <c r="X22" s="83"/>
      <c r="Y22" s="83"/>
    </row>
    <row r="23" spans="1:25" s="59" customFormat="1" ht="13.8">
      <c r="A23" s="73"/>
      <c r="B23" s="118"/>
      <c r="C23" s="118"/>
      <c r="D23" s="118"/>
      <c r="E23" s="118"/>
      <c r="F23" s="118"/>
      <c r="G23" s="118"/>
      <c r="H23" s="118"/>
      <c r="I23" s="118"/>
      <c r="J23" s="118"/>
      <c r="K23" s="73"/>
      <c r="M23" s="86"/>
      <c r="N23" s="86"/>
      <c r="O23" s="86"/>
      <c r="P23" s="86"/>
      <c r="Q23" s="86"/>
      <c r="R23" s="87"/>
      <c r="S23" s="90"/>
      <c r="T23" s="83"/>
      <c r="U23" s="83"/>
      <c r="V23" s="83"/>
      <c r="W23" s="83"/>
      <c r="X23" s="83"/>
      <c r="Y23" s="83"/>
    </row>
    <row r="24" spans="1:25" s="59" customFormat="1" ht="13.8">
      <c r="A24" s="73"/>
      <c r="B24" s="118"/>
      <c r="C24" s="118"/>
      <c r="D24" s="118"/>
      <c r="E24" s="118"/>
      <c r="F24" s="118"/>
      <c r="G24" s="118"/>
      <c r="H24" s="118"/>
      <c r="I24" s="118"/>
      <c r="J24" s="118"/>
      <c r="K24" s="73"/>
      <c r="M24" s="86"/>
      <c r="N24" s="86"/>
      <c r="O24" s="86"/>
      <c r="P24" s="86"/>
      <c r="Q24" s="86"/>
      <c r="R24" s="87"/>
      <c r="S24" s="90"/>
      <c r="T24" s="83"/>
      <c r="U24" s="83"/>
      <c r="V24" s="83"/>
      <c r="W24" s="83"/>
      <c r="X24" s="83"/>
      <c r="Y24" s="83"/>
    </row>
    <row r="25" spans="1:25" s="59" customFormat="1" ht="12.75" customHeight="1">
      <c r="A25" s="73"/>
      <c r="B25" s="117"/>
      <c r="C25" s="117"/>
      <c r="D25" s="117"/>
      <c r="E25" s="117"/>
      <c r="F25" s="120" t="s">
        <v>72</v>
      </c>
      <c r="G25" s="117"/>
      <c r="H25" s="117"/>
      <c r="I25" s="117"/>
      <c r="J25" s="117"/>
      <c r="K25" s="73"/>
      <c r="M25" s="86"/>
      <c r="N25" s="86"/>
      <c r="O25" s="86"/>
      <c r="P25" s="86"/>
      <c r="Q25" s="86"/>
      <c r="R25" s="87"/>
      <c r="S25" s="87"/>
      <c r="T25" s="83"/>
      <c r="U25" s="83"/>
      <c r="V25" s="83"/>
      <c r="W25" s="83"/>
      <c r="X25" s="83"/>
      <c r="Y25" s="83"/>
    </row>
    <row r="26" spans="1:25" s="59" customFormat="1" ht="13.8">
      <c r="A26" s="73"/>
      <c r="B26" s="118" t="s">
        <v>34</v>
      </c>
      <c r="C26" s="118"/>
      <c r="D26" s="118"/>
      <c r="E26" s="118"/>
      <c r="F26" s="118"/>
      <c r="G26" s="118"/>
      <c r="H26" s="118"/>
      <c r="I26" s="118"/>
      <c r="J26" s="118"/>
      <c r="K26" s="73"/>
      <c r="M26" s="86"/>
      <c r="N26" s="86"/>
      <c r="O26" s="86"/>
      <c r="P26" s="86"/>
      <c r="Q26" s="86"/>
      <c r="R26" s="87"/>
      <c r="S26" s="87"/>
      <c r="T26" s="83"/>
      <c r="U26" s="83"/>
      <c r="V26" s="83"/>
      <c r="W26" s="83"/>
      <c r="X26" s="83"/>
      <c r="Y26" s="83"/>
    </row>
    <row r="27" spans="1:25" s="59" customFormat="1" ht="13.8">
      <c r="A27" s="73"/>
      <c r="B27" s="118"/>
      <c r="C27" s="118"/>
      <c r="D27" s="118"/>
      <c r="E27" s="118"/>
      <c r="F27" s="118"/>
      <c r="G27" s="118"/>
      <c r="H27" s="118"/>
      <c r="I27" s="118"/>
      <c r="J27" s="118"/>
      <c r="K27" s="73"/>
      <c r="M27" s="86"/>
      <c r="N27" s="86"/>
      <c r="O27" s="86"/>
      <c r="P27" s="86"/>
      <c r="Q27" s="86"/>
      <c r="R27" s="87"/>
      <c r="S27" s="87"/>
      <c r="T27" s="83"/>
      <c r="U27" s="83"/>
      <c r="V27" s="83"/>
      <c r="W27" s="83"/>
      <c r="X27" s="83"/>
      <c r="Y27" s="83"/>
    </row>
    <row r="28" spans="1:25" s="59" customFormat="1" ht="13.8">
      <c r="A28" s="73"/>
      <c r="B28" s="117"/>
      <c r="C28" s="117"/>
      <c r="D28" s="117"/>
      <c r="E28" s="117"/>
      <c r="F28" s="117"/>
      <c r="G28" s="117"/>
      <c r="H28" s="117"/>
      <c r="I28" s="117"/>
      <c r="J28" s="117"/>
      <c r="K28" s="73"/>
      <c r="M28" s="86"/>
      <c r="N28" s="86"/>
      <c r="O28" s="86"/>
      <c r="P28" s="86"/>
      <c r="Q28" s="86"/>
      <c r="R28" s="87"/>
      <c r="S28" s="87"/>
      <c r="T28" s="83"/>
      <c r="U28" s="83"/>
      <c r="V28" s="83"/>
      <c r="W28" s="83"/>
      <c r="X28" s="83"/>
      <c r="Y28" s="83"/>
    </row>
    <row r="29" spans="1:25" s="59" customFormat="1" ht="13.8">
      <c r="A29" s="73"/>
      <c r="B29" s="118" t="s">
        <v>35</v>
      </c>
      <c r="C29" s="118"/>
      <c r="D29" s="118"/>
      <c r="E29" s="118"/>
      <c r="F29" s="118"/>
      <c r="G29" s="118"/>
      <c r="H29" s="118"/>
      <c r="I29" s="118"/>
      <c r="J29" s="118"/>
      <c r="K29" s="73"/>
      <c r="M29" s="86"/>
      <c r="N29" s="86"/>
      <c r="O29" s="86"/>
      <c r="P29" s="86"/>
      <c r="Q29" s="86"/>
      <c r="R29" s="87"/>
      <c r="S29" s="87"/>
      <c r="T29" s="83"/>
      <c r="U29" s="83"/>
      <c r="V29" s="83"/>
      <c r="W29" s="83"/>
      <c r="X29" s="83"/>
      <c r="Y29" s="83"/>
    </row>
    <row r="30" spans="1:25" s="59" customFormat="1" ht="13.8">
      <c r="A30" s="73"/>
      <c r="B30" s="118"/>
      <c r="C30" s="118"/>
      <c r="D30" s="118"/>
      <c r="E30" s="118"/>
      <c r="F30" s="118"/>
      <c r="G30" s="118"/>
      <c r="H30" s="118"/>
      <c r="I30" s="118"/>
      <c r="J30" s="118"/>
      <c r="K30" s="73"/>
      <c r="M30" s="86"/>
      <c r="N30" s="86"/>
      <c r="O30" s="86"/>
      <c r="P30" s="86"/>
      <c r="Q30" s="86"/>
      <c r="R30" s="87"/>
      <c r="S30" s="87"/>
      <c r="T30" s="83"/>
      <c r="U30" s="83"/>
      <c r="V30" s="83"/>
      <c r="W30" s="83"/>
      <c r="X30" s="83"/>
      <c r="Y30" s="83"/>
    </row>
    <row r="31" spans="1:25" s="59" customFormat="1" ht="12.75" customHeight="1">
      <c r="A31" s="73"/>
      <c r="B31" s="118"/>
      <c r="C31" s="118"/>
      <c r="D31" s="118"/>
      <c r="E31" s="118"/>
      <c r="F31" s="118"/>
      <c r="G31" s="118"/>
      <c r="H31" s="118"/>
      <c r="I31" s="118"/>
      <c r="J31" s="118"/>
      <c r="K31" s="73"/>
      <c r="M31" s="86"/>
      <c r="N31" s="86"/>
      <c r="O31" s="86"/>
      <c r="P31" s="86"/>
      <c r="Q31" s="86"/>
      <c r="R31" s="87"/>
      <c r="S31" s="87"/>
      <c r="T31" s="83"/>
      <c r="U31" s="83"/>
      <c r="V31" s="83"/>
      <c r="W31" s="83"/>
      <c r="X31" s="83"/>
      <c r="Y31" s="83"/>
    </row>
    <row r="32" spans="1:25" s="59" customFormat="1" ht="13.8">
      <c r="A32" s="73"/>
      <c r="B32" s="118"/>
      <c r="C32" s="118"/>
      <c r="D32" s="118"/>
      <c r="E32" s="118"/>
      <c r="F32" s="118"/>
      <c r="G32" s="118"/>
      <c r="H32" s="118"/>
      <c r="I32" s="118"/>
      <c r="J32" s="118"/>
      <c r="K32" s="73"/>
      <c r="M32" s="86"/>
      <c r="N32" s="86"/>
      <c r="O32" s="86"/>
      <c r="P32" s="86"/>
      <c r="Q32" s="86"/>
      <c r="R32" s="87"/>
      <c r="S32" s="87"/>
      <c r="T32" s="83"/>
      <c r="U32" s="83"/>
      <c r="V32" s="83"/>
      <c r="W32" s="83"/>
      <c r="X32" s="83"/>
      <c r="Y32" s="83"/>
    </row>
    <row r="33" spans="1:25" s="59" customFormat="1" ht="12.75" customHeight="1">
      <c r="A33" s="73"/>
      <c r="B33" s="118"/>
      <c r="C33" s="118"/>
      <c r="D33" s="118"/>
      <c r="E33" s="118"/>
      <c r="F33" s="118"/>
      <c r="G33" s="118"/>
      <c r="H33" s="118"/>
      <c r="I33" s="118"/>
      <c r="J33" s="118"/>
      <c r="K33" s="73"/>
      <c r="M33" s="86"/>
      <c r="N33" s="86"/>
      <c r="O33" s="86"/>
      <c r="P33" s="86"/>
      <c r="Q33" s="86"/>
      <c r="R33" s="87"/>
      <c r="S33" s="87"/>
      <c r="T33" s="83"/>
      <c r="U33" s="83"/>
      <c r="V33" s="83"/>
      <c r="W33" s="83"/>
      <c r="X33" s="83"/>
      <c r="Y33" s="83"/>
    </row>
    <row r="34" spans="1:25" s="59" customFormat="1" ht="13.8">
      <c r="A34" s="73"/>
      <c r="B34" s="117"/>
      <c r="C34" s="117"/>
      <c r="D34" s="121" t="s">
        <v>27</v>
      </c>
      <c r="E34" s="121"/>
      <c r="F34" s="121"/>
      <c r="G34" s="121"/>
      <c r="H34" s="121"/>
      <c r="I34" s="117"/>
      <c r="J34" s="117"/>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28</v>
      </c>
      <c r="C36" s="73"/>
      <c r="D36" s="73"/>
      <c r="E36" s="73"/>
      <c r="F36" s="122"/>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22"/>
      <c r="G37" s="73"/>
      <c r="H37" s="73"/>
      <c r="I37" s="73"/>
      <c r="J37" s="73"/>
      <c r="K37" s="73"/>
      <c r="M37" s="86"/>
      <c r="N37" s="86"/>
      <c r="O37" s="86"/>
      <c r="P37" s="86"/>
      <c r="Q37" s="86"/>
      <c r="R37" s="87"/>
      <c r="S37" s="87"/>
      <c r="T37" s="83"/>
      <c r="U37" s="83"/>
      <c r="V37" s="83"/>
      <c r="W37" s="83"/>
      <c r="X37" s="83"/>
      <c r="Y37" s="83"/>
    </row>
    <row r="38" spans="1:25" s="59" customFormat="1" ht="13.8">
      <c r="A38" s="73"/>
      <c r="B38" s="118" t="s">
        <v>36</v>
      </c>
      <c r="C38" s="118"/>
      <c r="D38" s="118"/>
      <c r="E38" s="118"/>
      <c r="F38" s="118"/>
      <c r="G38" s="118"/>
      <c r="H38" s="118"/>
      <c r="I38" s="118"/>
      <c r="J38" s="118"/>
      <c r="K38" s="73"/>
      <c r="M38" s="86"/>
      <c r="N38" s="86"/>
      <c r="O38" s="86"/>
      <c r="P38" s="86"/>
      <c r="Q38" s="86"/>
      <c r="R38" s="87"/>
      <c r="S38" s="87"/>
      <c r="T38" s="83"/>
      <c r="U38" s="83"/>
      <c r="V38" s="83"/>
      <c r="W38" s="83"/>
      <c r="X38" s="83"/>
      <c r="Y38" s="83"/>
    </row>
    <row r="39" spans="1:25" s="59" customFormat="1" ht="13.8">
      <c r="A39" s="73"/>
      <c r="B39" s="118"/>
      <c r="C39" s="118"/>
      <c r="D39" s="118"/>
      <c r="E39" s="118"/>
      <c r="F39" s="118"/>
      <c r="G39" s="118"/>
      <c r="H39" s="118"/>
      <c r="I39" s="118"/>
      <c r="J39" s="118"/>
      <c r="K39" s="73"/>
      <c r="M39" s="86"/>
      <c r="N39" s="86"/>
      <c r="O39" s="86"/>
      <c r="P39" s="86"/>
      <c r="Q39" s="86"/>
      <c r="R39" s="87"/>
      <c r="S39" s="87"/>
      <c r="T39" s="83"/>
      <c r="U39" s="83"/>
      <c r="V39" s="83"/>
      <c r="W39" s="83"/>
      <c r="X39" s="83"/>
      <c r="Y39" s="83"/>
    </row>
    <row r="40" spans="1:25" s="59" customFormat="1" ht="13.8">
      <c r="A40" s="73"/>
      <c r="B40" s="117"/>
      <c r="C40" s="117"/>
      <c r="D40" s="117"/>
      <c r="E40" s="117"/>
      <c r="F40" s="117"/>
      <c r="G40" s="117"/>
      <c r="H40" s="117"/>
      <c r="I40" s="117"/>
      <c r="J40" s="117"/>
      <c r="K40" s="73"/>
      <c r="M40" s="86"/>
      <c r="N40" s="86"/>
      <c r="O40" s="86"/>
      <c r="P40" s="86"/>
      <c r="Q40" s="86"/>
      <c r="R40" s="87"/>
      <c r="S40" s="87"/>
      <c r="T40" s="83"/>
      <c r="U40" s="83"/>
      <c r="V40" s="83"/>
      <c r="W40" s="83"/>
      <c r="X40" s="83"/>
      <c r="Y40" s="83"/>
    </row>
    <row r="41" spans="1:25" s="59" customFormat="1" ht="13.8">
      <c r="A41" s="73"/>
      <c r="B41" s="118" t="s">
        <v>37</v>
      </c>
      <c r="C41" s="118"/>
      <c r="D41" s="118"/>
      <c r="E41" s="118"/>
      <c r="F41" s="118"/>
      <c r="G41" s="118"/>
      <c r="H41" s="118"/>
      <c r="I41" s="118"/>
      <c r="J41" s="118"/>
      <c r="K41" s="73"/>
      <c r="M41" s="86"/>
      <c r="N41" s="86"/>
      <c r="O41" s="86"/>
      <c r="P41" s="86"/>
      <c r="Q41" s="86"/>
      <c r="R41" s="87"/>
      <c r="S41" s="87"/>
      <c r="T41" s="83"/>
      <c r="U41" s="83"/>
      <c r="V41" s="83"/>
      <c r="W41" s="83"/>
      <c r="X41" s="83"/>
      <c r="Y41" s="83"/>
    </row>
    <row r="42" spans="1:25" s="59" customFormat="1" ht="13.8">
      <c r="A42" s="73"/>
      <c r="B42" s="118"/>
      <c r="C42" s="118"/>
      <c r="D42" s="118"/>
      <c r="E42" s="118"/>
      <c r="F42" s="118"/>
      <c r="G42" s="118"/>
      <c r="H42" s="118"/>
      <c r="I42" s="118"/>
      <c r="J42" s="118"/>
      <c r="K42" s="73"/>
      <c r="M42" s="86"/>
      <c r="N42" s="86"/>
      <c r="O42" s="86"/>
      <c r="P42" s="86"/>
      <c r="Q42" s="86"/>
      <c r="R42" s="87"/>
      <c r="S42" s="87"/>
      <c r="T42" s="83"/>
      <c r="U42" s="83"/>
      <c r="V42" s="83"/>
      <c r="W42" s="83"/>
      <c r="X42" s="83"/>
      <c r="Y42" s="83"/>
    </row>
    <row r="43" spans="1:25" s="59" customFormat="1" ht="13.8">
      <c r="A43" s="73"/>
      <c r="B43" s="118"/>
      <c r="C43" s="118"/>
      <c r="D43" s="118"/>
      <c r="E43" s="118"/>
      <c r="F43" s="118"/>
      <c r="G43" s="118"/>
      <c r="H43" s="118"/>
      <c r="I43" s="118"/>
      <c r="J43" s="118"/>
      <c r="K43" s="73"/>
      <c r="M43" s="86"/>
      <c r="N43" s="86"/>
      <c r="O43" s="86"/>
      <c r="P43" s="86"/>
      <c r="Q43" s="86"/>
      <c r="R43" s="87"/>
      <c r="S43" s="87"/>
      <c r="T43" s="83"/>
      <c r="U43" s="83"/>
      <c r="V43" s="83"/>
      <c r="W43" s="83"/>
      <c r="X43" s="83"/>
      <c r="Y43" s="83"/>
    </row>
    <row r="44" spans="1:25" s="59" customFormat="1" ht="13.8">
      <c r="A44" s="73"/>
      <c r="B44" s="117"/>
      <c r="C44" s="117"/>
      <c r="D44" s="117"/>
      <c r="E44" s="117"/>
      <c r="F44" s="117"/>
      <c r="G44" s="117"/>
      <c r="H44" s="117"/>
      <c r="I44" s="117"/>
      <c r="J44" s="117"/>
      <c r="K44" s="73"/>
      <c r="M44" s="86"/>
      <c r="N44" s="86"/>
      <c r="O44" s="86"/>
      <c r="P44" s="86"/>
      <c r="Q44" s="86"/>
      <c r="R44" s="87"/>
      <c r="S44" s="87"/>
      <c r="T44" s="83"/>
      <c r="U44" s="83"/>
      <c r="V44" s="83"/>
      <c r="W44" s="83"/>
      <c r="X44" s="83"/>
      <c r="Y44" s="83"/>
    </row>
    <row r="45" spans="1:25" s="59" customFormat="1" ht="12.75" customHeight="1">
      <c r="A45" s="73"/>
      <c r="B45" s="118" t="s">
        <v>29</v>
      </c>
      <c r="C45" s="118"/>
      <c r="D45" s="118"/>
      <c r="E45" s="118"/>
      <c r="F45" s="118"/>
      <c r="G45" s="118"/>
      <c r="H45" s="118"/>
      <c r="I45" s="118"/>
      <c r="J45" s="118"/>
      <c r="K45" s="73"/>
      <c r="M45" s="86"/>
      <c r="N45" s="86"/>
      <c r="O45" s="86"/>
      <c r="P45" s="86"/>
      <c r="Q45" s="86"/>
      <c r="R45" s="87"/>
      <c r="S45" s="87"/>
      <c r="T45" s="83"/>
      <c r="U45" s="83"/>
      <c r="V45" s="83"/>
      <c r="W45" s="83"/>
      <c r="X45" s="83"/>
      <c r="Y45" s="83"/>
    </row>
    <row r="46" spans="1:25" s="59" customFormat="1" ht="13.8">
      <c r="A46" s="73"/>
      <c r="B46" s="118"/>
      <c r="C46" s="118"/>
      <c r="D46" s="118"/>
      <c r="E46" s="118"/>
      <c r="F46" s="118"/>
      <c r="G46" s="118"/>
      <c r="H46" s="118"/>
      <c r="I46" s="118"/>
      <c r="J46" s="118"/>
      <c r="K46" s="73"/>
      <c r="M46" s="86"/>
      <c r="N46" s="86"/>
      <c r="O46" s="86"/>
      <c r="P46" s="86"/>
      <c r="Q46" s="86"/>
      <c r="R46" s="87"/>
      <c r="S46" s="87"/>
      <c r="T46" s="83"/>
      <c r="U46" s="83"/>
      <c r="V46" s="83"/>
      <c r="W46" s="83"/>
      <c r="X46" s="83"/>
      <c r="Y46" s="83"/>
    </row>
    <row r="47" spans="1:25" s="59" customFormat="1" ht="13.8">
      <c r="A47" s="73"/>
      <c r="B47" s="118"/>
      <c r="C47" s="118"/>
      <c r="D47" s="118"/>
      <c r="E47" s="118"/>
      <c r="F47" s="118"/>
      <c r="G47" s="118"/>
      <c r="H47" s="118"/>
      <c r="I47" s="118"/>
      <c r="J47" s="118"/>
      <c r="K47" s="73"/>
      <c r="M47" s="86"/>
      <c r="N47" s="86"/>
      <c r="O47" s="86"/>
      <c r="P47" s="86"/>
      <c r="Q47" s="86"/>
      <c r="R47" s="87"/>
      <c r="S47" s="87"/>
      <c r="T47" s="83"/>
      <c r="U47" s="83"/>
      <c r="V47" s="83"/>
      <c r="W47" s="83"/>
      <c r="X47" s="83"/>
      <c r="Y47" s="83"/>
    </row>
    <row r="48" spans="1:25" s="59" customFormat="1" ht="12.75" customHeight="1">
      <c r="A48" s="73"/>
      <c r="B48" s="118"/>
      <c r="C48" s="118"/>
      <c r="D48" s="118"/>
      <c r="E48" s="118"/>
      <c r="F48" s="118"/>
      <c r="G48" s="118"/>
      <c r="H48" s="118"/>
      <c r="I48" s="118"/>
      <c r="J48" s="118"/>
      <c r="K48" s="73"/>
      <c r="M48" s="86"/>
      <c r="N48" s="86"/>
      <c r="O48" s="86"/>
      <c r="P48" s="86"/>
      <c r="Q48" s="86"/>
      <c r="R48" s="87"/>
      <c r="S48" s="87"/>
      <c r="T48" s="83"/>
      <c r="U48" s="83"/>
      <c r="V48" s="83"/>
      <c r="W48" s="83"/>
      <c r="X48" s="83"/>
      <c r="Y48" s="83"/>
    </row>
    <row r="49" spans="1:25" s="59" customFormat="1" ht="13.8">
      <c r="A49" s="73"/>
      <c r="B49" s="73" t="s">
        <v>38</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20" t="s">
        <v>73</v>
      </c>
      <c r="G50" s="122"/>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40</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19" t="s">
        <v>41</v>
      </c>
      <c r="C54" s="119"/>
      <c r="D54" s="119"/>
      <c r="E54" s="119"/>
      <c r="F54" s="119"/>
      <c r="G54" s="119"/>
      <c r="H54" s="119"/>
      <c r="I54" s="119"/>
      <c r="J54" s="119"/>
      <c r="K54" s="73"/>
      <c r="M54" s="86"/>
      <c r="N54" s="86"/>
      <c r="O54" s="86"/>
      <c r="P54" s="86"/>
      <c r="Q54" s="86"/>
      <c r="R54" s="87"/>
      <c r="S54" s="87"/>
      <c r="T54" s="83"/>
      <c r="U54" s="83"/>
      <c r="V54" s="83"/>
      <c r="W54" s="83"/>
      <c r="X54" s="83"/>
      <c r="Y54" s="83"/>
    </row>
    <row r="55" spans="1:25" s="59" customFormat="1" ht="13.8">
      <c r="A55" s="73"/>
      <c r="B55" s="119"/>
      <c r="C55" s="119"/>
      <c r="D55" s="119"/>
      <c r="E55" s="119"/>
      <c r="F55" s="119"/>
      <c r="G55" s="119"/>
      <c r="H55" s="119"/>
      <c r="I55" s="119"/>
      <c r="J55" s="119"/>
      <c r="K55" s="73"/>
      <c r="M55" s="86"/>
      <c r="N55" s="86"/>
      <c r="O55" s="86"/>
      <c r="P55" s="86"/>
      <c r="Q55" s="86"/>
      <c r="R55" s="87"/>
      <c r="S55" s="87"/>
      <c r="T55" s="83"/>
      <c r="U55" s="83"/>
      <c r="V55" s="83"/>
      <c r="W55" s="83"/>
      <c r="X55" s="83"/>
      <c r="Y55" s="83"/>
    </row>
    <row r="56" spans="1:25" s="59" customFormat="1" ht="13.8">
      <c r="A56" s="73"/>
      <c r="B56" s="119"/>
      <c r="C56" s="119"/>
      <c r="D56" s="119"/>
      <c r="E56" s="119"/>
      <c r="F56" s="119"/>
      <c r="G56" s="119"/>
      <c r="H56" s="119"/>
      <c r="I56" s="119"/>
      <c r="J56" s="119"/>
      <c r="K56" s="73"/>
      <c r="M56" s="86"/>
      <c r="N56" s="86"/>
      <c r="O56"/>
      <c r="P56" s="86"/>
      <c r="Q56" s="86"/>
      <c r="R56" s="87"/>
      <c r="S56" s="87"/>
      <c r="T56" s="83"/>
      <c r="U56" s="83"/>
      <c r="V56" s="83"/>
      <c r="W56" s="83"/>
      <c r="X56" s="83"/>
      <c r="Y56" s="83"/>
    </row>
    <row r="57" spans="1:25" s="59" customFormat="1" ht="13.8">
      <c r="A57" s="73"/>
      <c r="B57" s="73"/>
      <c r="C57" s="73"/>
      <c r="D57" s="73"/>
      <c r="F57" s="122"/>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23"/>
      <c r="P59" s="86"/>
      <c r="Q59" s="86"/>
      <c r="R59" s="87"/>
      <c r="S59" s="87"/>
      <c r="T59" s="83"/>
      <c r="U59" s="83"/>
      <c r="V59" s="83"/>
      <c r="W59" s="83"/>
      <c r="X59" s="83"/>
      <c r="Y59" s="83"/>
    </row>
    <row r="60" spans="1:25" s="59" customFormat="1" ht="13.8">
      <c r="A60" s="73"/>
      <c r="B60" s="73" t="s">
        <v>30</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20" t="s">
        <v>74</v>
      </c>
      <c r="G61" s="124"/>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topLeftCell="A21" zoomScale="70" zoomScaleNormal="100" zoomScaleSheetLayoutView="70" workbookViewId="0">
      <selection activeCell="A8" sqref="A8:K60"/>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6</v>
      </c>
      <c r="C1" s="92" t="s">
        <v>3</v>
      </c>
      <c r="D1" s="59"/>
      <c r="E1" s="59"/>
      <c r="F1" s="60" t="s">
        <v>21</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7</v>
      </c>
      <c r="C2" s="92" t="s">
        <v>1</v>
      </c>
      <c r="D2" s="59"/>
      <c r="E2" s="59"/>
      <c r="F2" s="60" t="s">
        <v>8</v>
      </c>
      <c r="G2" s="93" t="s">
        <v>43</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44</v>
      </c>
      <c r="D3" s="59"/>
      <c r="E3" s="59"/>
      <c r="F3" s="60" t="s">
        <v>4</v>
      </c>
      <c r="G3" s="93" t="s">
        <v>5</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22</v>
      </c>
      <c r="C4" s="93"/>
      <c r="D4" s="59"/>
      <c r="E4" s="59"/>
      <c r="F4" s="60" t="s">
        <v>23</v>
      </c>
      <c r="G4" s="92" t="s">
        <v>47</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25</v>
      </c>
      <c r="C5" s="58" t="s">
        <v>45</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9</v>
      </c>
      <c r="C6" s="93"/>
      <c r="D6" s="59"/>
      <c r="E6" s="59"/>
      <c r="F6" s="59"/>
      <c r="G6" s="59"/>
      <c r="H6" s="59"/>
      <c r="I6" s="59"/>
      <c r="J6" s="59"/>
      <c r="K6" s="59"/>
      <c r="T6" s="76"/>
      <c r="U6" s="54"/>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6</v>
      </c>
      <c r="F8" s="61" t="str">
        <f>$C$1</f>
        <v>R. Abbott</v>
      </c>
      <c r="G8" s="59"/>
      <c r="H8" s="65"/>
      <c r="I8" s="60" t="s">
        <v>10</v>
      </c>
      <c r="J8" s="66" t="str">
        <f>$G$2</f>
        <v>AA-SM-018-002</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7</v>
      </c>
      <c r="F9" s="65" t="str">
        <f>$C$2</f>
        <v xml:space="preserve"> </v>
      </c>
      <c r="G9" s="59"/>
      <c r="H9" s="65"/>
      <c r="I9" s="60" t="s">
        <v>11</v>
      </c>
      <c r="J9" s="67" t="str">
        <f>$G$3</f>
        <v>A</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12</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46</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14"/>
      <c r="B13" s="44"/>
      <c r="C13" s="15"/>
      <c r="D13" s="15"/>
      <c r="E13" s="15"/>
      <c r="F13" s="15"/>
      <c r="G13" s="15"/>
      <c r="H13" s="15"/>
      <c r="I13" s="15"/>
      <c r="J13" s="15"/>
      <c r="K13" s="15"/>
      <c r="S13" s="43"/>
      <c r="T13" s="43"/>
      <c r="Y13" s="22" t="s">
        <v>15</v>
      </c>
      <c r="Z13" s="22" t="s">
        <v>13</v>
      </c>
      <c r="AA13" s="22" t="s">
        <v>13</v>
      </c>
      <c r="AD13" s="9"/>
      <c r="AF13" s="9"/>
    </row>
    <row r="14" spans="1:186">
      <c r="A14" s="15"/>
      <c r="B14" s="17" t="s">
        <v>51</v>
      </c>
      <c r="C14" s="17"/>
      <c r="D14" s="17"/>
      <c r="E14" s="17" t="s">
        <v>59</v>
      </c>
      <c r="F14" s="17"/>
      <c r="G14" s="17"/>
      <c r="H14" s="17" t="s">
        <v>69</v>
      </c>
      <c r="I14" s="17"/>
      <c r="J14" s="17"/>
      <c r="K14" s="17"/>
      <c r="S14" s="43"/>
      <c r="T14" s="43"/>
      <c r="Y14" s="22"/>
      <c r="Z14" s="22" t="s">
        <v>16</v>
      </c>
      <c r="AA14" s="22" t="s">
        <v>17</v>
      </c>
      <c r="AD14" s="9"/>
      <c r="AE14" s="9"/>
      <c r="AF14" s="9"/>
    </row>
    <row r="15" spans="1:186" ht="15">
      <c r="A15" s="14"/>
      <c r="B15" s="24" t="s">
        <v>48</v>
      </c>
      <c r="C15" s="98">
        <v>72000</v>
      </c>
      <c r="D15" s="17" t="str">
        <f>IF(C15="","","psi")</f>
        <v>psi</v>
      </c>
      <c r="E15" s="24" t="s">
        <v>52</v>
      </c>
      <c r="F15" s="103">
        <v>30</v>
      </c>
      <c r="G15" s="21" t="s">
        <v>56</v>
      </c>
      <c r="H15" s="20" t="s">
        <v>68</v>
      </c>
      <c r="I15" s="113">
        <v>5600</v>
      </c>
      <c r="J15" s="6" t="s">
        <v>66</v>
      </c>
      <c r="K15" s="19"/>
      <c r="S15" s="43"/>
      <c r="T15" s="43"/>
      <c r="Y15" s="22"/>
      <c r="Z15" s="22" t="s">
        <v>18</v>
      </c>
      <c r="AA15" s="22" t="s">
        <v>19</v>
      </c>
      <c r="AD15" s="9"/>
      <c r="AE15" s="15"/>
      <c r="AF15" s="9"/>
    </row>
    <row r="16" spans="1:186" ht="13.8" customHeight="1">
      <c r="A16" s="15"/>
      <c r="B16" s="24" t="s">
        <v>49</v>
      </c>
      <c r="C16" s="98">
        <v>60000</v>
      </c>
      <c r="D16" s="17" t="str">
        <f>IF(C16="","","psi")</f>
        <v>psi</v>
      </c>
      <c r="E16" s="101" t="s">
        <v>53</v>
      </c>
      <c r="F16" s="104">
        <v>0.503</v>
      </c>
      <c r="G16" s="106" t="s">
        <v>57</v>
      </c>
      <c r="K16" s="17"/>
      <c r="S16" s="43"/>
      <c r="T16" s="43"/>
      <c r="U16" s="15"/>
      <c r="V16" s="15"/>
      <c r="W16" s="15"/>
      <c r="X16" s="15"/>
      <c r="Y16" s="15"/>
      <c r="Z16" s="22" t="s">
        <v>20</v>
      </c>
      <c r="AA16" s="15"/>
      <c r="AD16" s="9"/>
      <c r="AE16" s="15"/>
      <c r="AF16" s="9"/>
      <c r="AG16" s="25"/>
      <c r="AH16" s="25"/>
      <c r="AI16" s="25"/>
      <c r="AJ16" s="25"/>
      <c r="AK16" s="25"/>
      <c r="AQ16" s="25"/>
      <c r="AR16" s="25"/>
      <c r="AS16" s="25"/>
      <c r="AT16" s="25"/>
      <c r="AU16" s="25"/>
      <c r="AV16" s="25"/>
      <c r="AW16" s="25"/>
      <c r="AX16" s="25"/>
      <c r="AY16" s="25"/>
      <c r="AZ16" s="25"/>
      <c r="BA16" s="25"/>
      <c r="BB16" s="15"/>
      <c r="BC16" s="15"/>
      <c r="BD16" s="15"/>
      <c r="BE16" s="15"/>
      <c r="BF16" s="15"/>
      <c r="BG16" s="15"/>
      <c r="BH16" s="15"/>
      <c r="BI16" s="15"/>
      <c r="BJ16" s="15"/>
      <c r="BK16" s="15"/>
      <c r="BL16" s="15"/>
      <c r="BM16" s="15"/>
      <c r="BN16" s="15"/>
      <c r="BO16" s="15"/>
      <c r="BP16" s="15"/>
      <c r="BQ16" s="15"/>
      <c r="BR16" s="15"/>
      <c r="BS16" s="15"/>
      <c r="BT16" s="15"/>
      <c r="BU16" s="15"/>
      <c r="BV16" s="15"/>
      <c r="BW16" s="15"/>
      <c r="BX16" s="9"/>
      <c r="BY16" s="9"/>
      <c r="BZ16" s="9"/>
      <c r="CA16" s="9"/>
      <c r="CB16" s="9"/>
      <c r="CC16" s="9"/>
      <c r="CD16" s="9"/>
      <c r="CE16" s="9"/>
      <c r="CF16" s="9"/>
      <c r="CG16" s="9"/>
      <c r="CH16" s="9"/>
      <c r="CI16" s="9"/>
      <c r="CJ16" s="9"/>
      <c r="CK16" s="9"/>
      <c r="CL16" s="9"/>
      <c r="CM16" s="9"/>
    </row>
    <row r="17" spans="1:91" ht="15">
      <c r="A17" s="14"/>
      <c r="B17" s="24" t="s">
        <v>50</v>
      </c>
      <c r="C17" s="98">
        <v>10500000</v>
      </c>
      <c r="D17" s="17" t="str">
        <f>IF(C17="","","psi")</f>
        <v>psi</v>
      </c>
      <c r="E17" s="20" t="s">
        <v>55</v>
      </c>
      <c r="F17" s="105">
        <v>0.255</v>
      </c>
      <c r="G17" s="107" t="s">
        <v>58</v>
      </c>
      <c r="K17" s="17"/>
      <c r="S17" s="43"/>
      <c r="T17" s="43"/>
      <c r="U17" s="22"/>
      <c r="V17" s="15"/>
      <c r="W17" s="15"/>
      <c r="X17" s="15"/>
      <c r="Y17" s="22"/>
      <c r="Z17" s="22" t="s">
        <v>14</v>
      </c>
      <c r="AA17" s="22" t="s">
        <v>14</v>
      </c>
      <c r="AD17" s="9"/>
      <c r="AE17" s="15"/>
      <c r="AF17" s="9"/>
      <c r="AG17" s="51"/>
      <c r="AH17" s="51"/>
      <c r="AI17" s="51"/>
      <c r="AJ17" s="51"/>
      <c r="AK17" s="51"/>
      <c r="AQ17" s="51"/>
      <c r="AR17" s="51"/>
      <c r="AS17" s="51"/>
      <c r="AT17" s="51"/>
      <c r="AU17" s="51"/>
      <c r="AV17" s="51"/>
      <c r="AW17" s="51"/>
      <c r="AX17" s="51"/>
      <c r="AY17" s="51"/>
      <c r="AZ17" s="51"/>
      <c r="BA17" s="51"/>
      <c r="BB17" s="15"/>
      <c r="BC17" s="52"/>
      <c r="BD17" s="52"/>
      <c r="BE17" s="52"/>
      <c r="BF17" s="52"/>
      <c r="BG17" s="52"/>
      <c r="BH17" s="52"/>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c r="A18" s="15"/>
      <c r="B18" s="24"/>
      <c r="C18" s="50"/>
      <c r="D18" s="41"/>
      <c r="E18" s="102" t="s">
        <v>54</v>
      </c>
      <c r="F18" s="103">
        <v>1</v>
      </c>
      <c r="G18" s="21"/>
      <c r="K18" s="17"/>
      <c r="S18" s="43"/>
      <c r="T18" s="43"/>
      <c r="U18" s="15"/>
      <c r="V18" s="15"/>
      <c r="W18" s="15"/>
      <c r="X18" s="15"/>
      <c r="Y18" s="22">
        <v>0</v>
      </c>
      <c r="Z18" s="45">
        <f t="shared" ref="Z18:Z56" si="0">$C$16-($C$16^2/(4*PI()^2*$C$17))*Y18^2</f>
        <v>60000</v>
      </c>
      <c r="AA18" s="45"/>
      <c r="AD18" s="9"/>
      <c r="AE18" s="15">
        <f>(Y27-Y18)/9</f>
        <v>4.2153706227991385</v>
      </c>
      <c r="AF18" s="9"/>
      <c r="AG18" s="15"/>
      <c r="AH18" s="15"/>
      <c r="AI18" s="15"/>
      <c r="AJ18" s="15"/>
      <c r="AK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F19" s="17"/>
      <c r="G19" s="41"/>
      <c r="H19" s="41"/>
      <c r="I19" s="41"/>
      <c r="J19" s="41"/>
      <c r="K19" s="41"/>
      <c r="S19" s="43"/>
      <c r="T19" s="43"/>
      <c r="U19" s="15"/>
      <c r="V19" s="53"/>
      <c r="W19" s="15"/>
      <c r="X19" s="15"/>
      <c r="Y19" s="45">
        <f t="shared" ref="Y19:Y26" si="1">Y18+$AE$18</f>
        <v>4.2153706227991385</v>
      </c>
      <c r="Z19" s="45">
        <f t="shared" si="0"/>
        <v>59845.679012345681</v>
      </c>
      <c r="AA19" s="45"/>
      <c r="AB19" s="37">
        <f>Z19</f>
        <v>59845.679012345681</v>
      </c>
      <c r="AD19" s="9"/>
      <c r="AE19" s="15">
        <f>C16/2</f>
        <v>30000</v>
      </c>
      <c r="AF19" s="9"/>
      <c r="AG19" s="15"/>
      <c r="AH19" s="15"/>
      <c r="AI19" s="15"/>
      <c r="AJ19" s="15"/>
      <c r="AK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6" t="s">
        <v>67</v>
      </c>
      <c r="E20" s="6" t="s">
        <v>62</v>
      </c>
      <c r="F20" s="41"/>
      <c r="G20" s="41"/>
      <c r="I20" s="6" t="s">
        <v>70</v>
      </c>
      <c r="J20" s="41"/>
      <c r="K20" s="41"/>
      <c r="S20" s="43"/>
      <c r="T20" s="43"/>
      <c r="U20" s="15"/>
      <c r="V20" s="15"/>
      <c r="W20" s="15"/>
      <c r="X20" s="15"/>
      <c r="Y20" s="45">
        <f t="shared" si="1"/>
        <v>8.4307412455982771</v>
      </c>
      <c r="Z20" s="45">
        <f t="shared" si="0"/>
        <v>59382.716049382718</v>
      </c>
      <c r="AA20" s="45"/>
      <c r="AB20" s="37">
        <f t="shared" ref="AB20:AB50" si="2">Z20</f>
        <v>59382.716049382718</v>
      </c>
      <c r="AD20" s="9"/>
      <c r="AE20" s="15">
        <f>C15</f>
        <v>72000</v>
      </c>
      <c r="AF20" s="9"/>
      <c r="AG20" s="15"/>
      <c r="AH20" s="15"/>
      <c r="AI20" s="15"/>
      <c r="AJ20" s="15"/>
      <c r="AK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ht="12.75" customHeight="1">
      <c r="A21" s="20" t="s">
        <v>60</v>
      </c>
      <c r="B21" s="6" t="str">
        <f ca="1">[1]!xlvn(B22)</f>
        <v>√[I / A] = √[0.255 / 0.503]</v>
      </c>
      <c r="C21" s="19"/>
      <c r="E21" s="20" t="s">
        <v>63</v>
      </c>
      <c r="F21" s="6" t="str">
        <f ca="1">[1]!xlv(F22)</f>
        <v>(L / √[C]) / R</v>
      </c>
      <c r="G21" s="97"/>
      <c r="I21" s="20" t="s">
        <v>61</v>
      </c>
      <c r="J21" s="6" t="str">
        <f ca="1">[1]!xlv(J22)</f>
        <v>√[2 × π² × Ec / Fcy]</v>
      </c>
      <c r="K21" s="21"/>
      <c r="S21" s="43"/>
      <c r="T21" s="43"/>
      <c r="U21" s="15"/>
      <c r="V21" s="18"/>
      <c r="W21" s="18"/>
      <c r="X21" s="18"/>
      <c r="Y21" s="45">
        <f t="shared" si="1"/>
        <v>12.646111868397416</v>
      </c>
      <c r="Z21" s="45">
        <f t="shared" si="0"/>
        <v>58611.111111111109</v>
      </c>
      <c r="AA21" s="45"/>
      <c r="AB21" s="37">
        <f t="shared" si="2"/>
        <v>58611.111111111109</v>
      </c>
      <c r="AD21" s="9"/>
      <c r="AE21" s="15">
        <f>(Y51-Y27)/24</f>
        <v>0.86814504947928073</v>
      </c>
      <c r="AF21" s="9"/>
      <c r="AG21" s="18"/>
      <c r="AH21" s="18"/>
      <c r="AI21" s="18"/>
      <c r="AJ21" s="18"/>
      <c r="AK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row>
    <row r="22" spans="1:91">
      <c r="A22" s="20" t="s">
        <v>60</v>
      </c>
      <c r="B22" s="108">
        <f>SQRT(F17/F16)</f>
        <v>0.71201000730117403</v>
      </c>
      <c r="C22" s="40"/>
      <c r="E22" s="20" t="s">
        <v>63</v>
      </c>
      <c r="F22" s="109">
        <f>(F15/SQRT(F18))/B22</f>
        <v>42.134239255587119</v>
      </c>
      <c r="G22" s="17"/>
      <c r="I22" s="20" t="s">
        <v>61</v>
      </c>
      <c r="J22" s="114">
        <f>SQRT(2*PI()^2*C17/C16)</f>
        <v>58.773816792694987</v>
      </c>
      <c r="K22" s="21"/>
      <c r="S22" s="43"/>
      <c r="T22" s="43"/>
      <c r="U22" s="15"/>
      <c r="V22" s="18"/>
      <c r="W22" s="18"/>
      <c r="X22" s="18"/>
      <c r="Y22" s="45">
        <f t="shared" si="1"/>
        <v>16.861482491196554</v>
      </c>
      <c r="Z22" s="45">
        <f t="shared" si="0"/>
        <v>57530.864197530864</v>
      </c>
      <c r="AA22" s="45"/>
      <c r="AB22" s="37">
        <f t="shared" si="2"/>
        <v>57530.864197530864</v>
      </c>
      <c r="AD22" s="9"/>
      <c r="AE22" s="15"/>
      <c r="AF22" s="9"/>
      <c r="AG22" s="18"/>
      <c r="AH22" s="18"/>
      <c r="AI22" s="18"/>
      <c r="AJ22" s="18"/>
      <c r="AK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15"/>
      <c r="I23" s="17"/>
      <c r="J23" s="4"/>
      <c r="K23" s="28"/>
      <c r="S23" s="43"/>
      <c r="T23" s="43"/>
      <c r="U23" s="15"/>
      <c r="V23" s="18"/>
      <c r="W23" s="25"/>
      <c r="X23" s="18"/>
      <c r="Y23" s="45">
        <f t="shared" si="1"/>
        <v>21.076853113995693</v>
      </c>
      <c r="Z23" s="45">
        <f t="shared" si="0"/>
        <v>56141.975308641973</v>
      </c>
      <c r="AA23" s="45"/>
      <c r="AB23" s="37">
        <f t="shared" si="2"/>
        <v>56141.975308641973</v>
      </c>
      <c r="AD23" s="9"/>
      <c r="AE23" s="15"/>
      <c r="AF23" s="9"/>
      <c r="AG23" s="18"/>
      <c r="AH23" s="18"/>
      <c r="AI23" s="18"/>
      <c r="AJ23" s="18"/>
      <c r="AK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B24" s="24"/>
      <c r="C24" s="17"/>
      <c r="D24" s="98"/>
      <c r="E24" s="17"/>
      <c r="F24" s="11"/>
      <c r="G24" s="24"/>
      <c r="H24" s="39"/>
      <c r="I24" s="17"/>
      <c r="J24" s="11"/>
      <c r="K24" s="28"/>
      <c r="S24" s="43"/>
      <c r="T24" s="43"/>
      <c r="U24" s="15"/>
      <c r="V24" s="18"/>
      <c r="Y24" s="45">
        <f t="shared" si="1"/>
        <v>25.292223736794831</v>
      </c>
      <c r="Z24" s="45">
        <f t="shared" si="0"/>
        <v>54444.444444444445</v>
      </c>
      <c r="AA24" s="45"/>
      <c r="AB24" s="37">
        <f t="shared" si="2"/>
        <v>54444.444444444445</v>
      </c>
      <c r="AD24" s="9"/>
      <c r="AE24" s="15"/>
      <c r="AF24" s="9"/>
      <c r="AG24" s="18"/>
      <c r="AH24" s="18"/>
      <c r="AI24" s="18"/>
      <c r="AJ24" s="18"/>
      <c r="AK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F25" s="11"/>
      <c r="G25" s="24"/>
      <c r="H25" s="39"/>
      <c r="I25" s="17"/>
      <c r="J25" s="11"/>
      <c r="K25" s="28"/>
      <c r="S25" s="43"/>
      <c r="T25" s="43"/>
      <c r="U25" s="15"/>
      <c r="V25" s="18"/>
      <c r="Y25" s="45">
        <f t="shared" si="1"/>
        <v>29.50759435959397</v>
      </c>
      <c r="Z25" s="45">
        <f t="shared" si="0"/>
        <v>52438.271604938273</v>
      </c>
      <c r="AA25" s="45"/>
      <c r="AB25" s="37">
        <f t="shared" si="2"/>
        <v>52438.271604938273</v>
      </c>
      <c r="AD25" s="9"/>
      <c r="AE25" s="9"/>
      <c r="AF25" s="9"/>
      <c r="AG25" s="18"/>
      <c r="AH25" s="18"/>
      <c r="AI25" s="18"/>
      <c r="AJ25" s="18"/>
      <c r="AK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B26" s="17"/>
      <c r="C26" s="17"/>
      <c r="D26" s="98"/>
      <c r="E26" s="17"/>
      <c r="F26" s="11"/>
      <c r="G26" s="24"/>
      <c r="H26" s="39"/>
      <c r="I26" s="17"/>
      <c r="J26" s="11"/>
      <c r="K26" s="12"/>
      <c r="S26" s="43"/>
      <c r="T26" s="43"/>
      <c r="U26" s="15"/>
      <c r="V26" s="18"/>
      <c r="Y26" s="45">
        <f t="shared" si="1"/>
        <v>33.722964982393108</v>
      </c>
      <c r="Z26" s="45">
        <f t="shared" si="0"/>
        <v>50123.456790123462</v>
      </c>
      <c r="AA26" s="45"/>
      <c r="AB26" s="37">
        <f t="shared" si="2"/>
        <v>50123.456790123462</v>
      </c>
      <c r="AD26" s="9"/>
      <c r="AE26" s="9"/>
      <c r="AF26" s="9"/>
      <c r="AG26" s="18"/>
      <c r="AH26" s="18"/>
      <c r="AI26" s="18"/>
      <c r="AJ26" s="18"/>
      <c r="AK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(PI()^2*MIN(C17)/AE20)^0.5</f>
        <v>37.93833560519225</v>
      </c>
      <c r="Z27" s="45">
        <f t="shared" si="0"/>
        <v>47500</v>
      </c>
      <c r="AA27" s="45">
        <f t="shared" ref="AA27:AA56" si="3">PI()^2*$C$17/Y27^2</f>
        <v>72000</v>
      </c>
      <c r="AB27" s="37">
        <f t="shared" si="2"/>
        <v>47500</v>
      </c>
      <c r="AD27" s="110">
        <f>F22</f>
        <v>42.134239255587119</v>
      </c>
      <c r="AE27" s="18">
        <v>0</v>
      </c>
      <c r="AF27" s="9"/>
      <c r="AG27" s="18"/>
      <c r="AJ27" s="18"/>
      <c r="AK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24"/>
      <c r="C28" s="17"/>
      <c r="D28" s="98"/>
      <c r="E28" s="17"/>
      <c r="F28" s="11"/>
      <c r="G28" s="24"/>
      <c r="H28" s="97"/>
      <c r="I28" s="97"/>
      <c r="J28" s="97"/>
      <c r="K28" s="40"/>
      <c r="S28" s="43"/>
      <c r="T28" s="43"/>
      <c r="U28" s="15"/>
      <c r="V28" s="18"/>
      <c r="W28" s="26"/>
      <c r="X28" s="22"/>
      <c r="Y28" s="45">
        <f t="shared" ref="Y28:Y50" si="4">Y27+$AE$21</f>
        <v>38.806480654671532</v>
      </c>
      <c r="Z28" s="45">
        <f t="shared" si="0"/>
        <v>46921.378177729675</v>
      </c>
      <c r="AA28" s="45">
        <f t="shared" si="3"/>
        <v>68814.590117398824</v>
      </c>
      <c r="AB28" s="37">
        <f t="shared" si="2"/>
        <v>46921.378177729675</v>
      </c>
      <c r="AD28" s="110">
        <f>F22</f>
        <v>42.134239255587119</v>
      </c>
      <c r="AE28" s="110">
        <f>AE32</f>
        <v>44582.151316004602</v>
      </c>
      <c r="AF28" s="9"/>
      <c r="AG28" s="18"/>
      <c r="AJ28" s="18"/>
      <c r="AK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99"/>
      <c r="D29" s="98"/>
      <c r="E29" s="17"/>
      <c r="F29" s="11"/>
      <c r="G29" s="11"/>
      <c r="H29" s="97"/>
      <c r="I29" s="97"/>
      <c r="J29" s="97"/>
      <c r="K29" s="40"/>
      <c r="S29" s="43"/>
      <c r="T29" s="43"/>
      <c r="U29" s="15"/>
      <c r="V29" s="18"/>
      <c r="W29" s="26"/>
      <c r="X29" s="22"/>
      <c r="Y29" s="45">
        <f t="shared" si="4"/>
        <v>39.674625704150813</v>
      </c>
      <c r="Z29" s="45">
        <f t="shared" si="0"/>
        <v>46329.665499424889</v>
      </c>
      <c r="AA29" s="45">
        <f t="shared" si="3"/>
        <v>65835.989599386681</v>
      </c>
      <c r="AB29" s="37">
        <f t="shared" si="2"/>
        <v>46329.665499424889</v>
      </c>
      <c r="AD29" s="18">
        <v>0</v>
      </c>
      <c r="AE29" s="110">
        <f>AE28</f>
        <v>44582.151316004602</v>
      </c>
      <c r="AF29" s="9"/>
      <c r="AG29" s="18"/>
      <c r="AJ29" s="18"/>
      <c r="AK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ht="14.25" customHeight="1">
      <c r="A30" s="15"/>
      <c r="B30" s="17"/>
      <c r="C30" s="99"/>
      <c r="D30" s="98"/>
      <c r="E30" s="17"/>
      <c r="F30" s="11"/>
      <c r="G30" s="24"/>
      <c r="H30" s="41"/>
      <c r="I30" s="41"/>
      <c r="J30" s="41"/>
      <c r="K30" s="41"/>
      <c r="S30" s="43"/>
      <c r="T30" s="43"/>
      <c r="U30" s="15"/>
      <c r="V30" s="18"/>
      <c r="W30" s="21"/>
      <c r="X30" s="21"/>
      <c r="Y30" s="45">
        <f t="shared" si="4"/>
        <v>40.542770753630094</v>
      </c>
      <c r="Z30" s="45">
        <f t="shared" si="0"/>
        <v>45724.861965085634</v>
      </c>
      <c r="AA30" s="45">
        <f t="shared" si="3"/>
        <v>63046.675821891557</v>
      </c>
      <c r="AB30" s="37">
        <f t="shared" si="2"/>
        <v>45724.861965085634</v>
      </c>
      <c r="AD30" s="18"/>
      <c r="AE30" s="18"/>
      <c r="AF30" s="9"/>
      <c r="AG30" s="18"/>
      <c r="AJ30" s="18"/>
      <c r="AK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c r="A31" s="15"/>
      <c r="B31" s="24"/>
      <c r="C31" s="99"/>
      <c r="D31" s="98"/>
      <c r="E31" s="17"/>
      <c r="F31" s="17"/>
      <c r="G31" s="17"/>
      <c r="H31" s="41"/>
      <c r="I31" s="41"/>
      <c r="J31" s="41"/>
      <c r="K31" s="41"/>
      <c r="S31" s="43"/>
      <c r="T31" s="43"/>
      <c r="U31" s="15"/>
      <c r="V31" s="18"/>
      <c r="W31" s="22"/>
      <c r="X31" s="21"/>
      <c r="Y31" s="45">
        <f t="shared" si="4"/>
        <v>41.410915803109376</v>
      </c>
      <c r="Z31" s="45">
        <f t="shared" si="0"/>
        <v>45106.967574711918</v>
      </c>
      <c r="AA31" s="45">
        <f t="shared" si="3"/>
        <v>60430.943430420353</v>
      </c>
      <c r="AB31" s="37">
        <f t="shared" si="2"/>
        <v>45106.967574711918</v>
      </c>
      <c r="AD31" s="110">
        <f>AD27</f>
        <v>42.134239255587119</v>
      </c>
      <c r="AE31" s="18">
        <v>0</v>
      </c>
      <c r="AF31" s="9"/>
      <c r="AG31" s="18"/>
      <c r="AJ31" s="18"/>
      <c r="AK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17"/>
      <c r="C32" s="99"/>
      <c r="D32" s="98"/>
      <c r="E32" s="17"/>
      <c r="F32" s="17"/>
      <c r="G32" s="24"/>
      <c r="H32" s="96"/>
      <c r="I32" s="17"/>
      <c r="J32" s="97"/>
      <c r="K32" s="40"/>
      <c r="S32" s="43"/>
      <c r="T32" s="43"/>
      <c r="U32" s="15"/>
      <c r="X32" s="21"/>
      <c r="Y32" s="45">
        <f t="shared" si="4"/>
        <v>42.279060852588657</v>
      </c>
      <c r="Z32" s="45">
        <f t="shared" si="0"/>
        <v>44475.98232830374</v>
      </c>
      <c r="AA32" s="45">
        <f t="shared" si="3"/>
        <v>57974.682780791998</v>
      </c>
      <c r="AB32" s="37">
        <f t="shared" si="2"/>
        <v>44475.98232830374</v>
      </c>
      <c r="AD32" s="110">
        <f>AD28</f>
        <v>42.134239255587119</v>
      </c>
      <c r="AE32" s="110">
        <f>IF(F22&lt;J22,E54,B54)</f>
        <v>44582.151316004602</v>
      </c>
      <c r="AF32" s="9"/>
      <c r="AG32" s="18"/>
      <c r="AJ32" s="18"/>
      <c r="AK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ht="14.25" customHeight="1">
      <c r="A33" s="15"/>
      <c r="B33" s="24"/>
      <c r="C33" s="17"/>
      <c r="D33" s="98"/>
      <c r="E33" s="17"/>
      <c r="F33" s="17"/>
      <c r="G33" s="11"/>
      <c r="H33" s="11"/>
      <c r="I33" s="41"/>
      <c r="J33" s="41"/>
      <c r="K33" s="41"/>
      <c r="S33" s="43"/>
      <c r="T33" s="43"/>
      <c r="U33" s="15"/>
      <c r="X33" s="21"/>
      <c r="Y33" s="45">
        <f t="shared" si="4"/>
        <v>43.147205902067938</v>
      </c>
      <c r="Z33" s="45">
        <f t="shared" si="0"/>
        <v>43831.906225861094</v>
      </c>
      <c r="AA33" s="45">
        <f t="shared" si="3"/>
        <v>55665.189265512701</v>
      </c>
      <c r="AB33" s="37">
        <f t="shared" si="2"/>
        <v>43831.906225861094</v>
      </c>
      <c r="AD33" s="18">
        <f>AD29</f>
        <v>0</v>
      </c>
      <c r="AE33" s="110">
        <f>AE32</f>
        <v>44582.151316004602</v>
      </c>
      <c r="AF33" s="9"/>
      <c r="AG33" s="18"/>
      <c r="AJ33" s="18"/>
      <c r="AK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c r="A34" s="15"/>
      <c r="B34" s="24"/>
      <c r="C34" s="17"/>
      <c r="D34" s="98"/>
      <c r="E34" s="17"/>
      <c r="F34" s="17"/>
      <c r="K34" s="41"/>
      <c r="S34" s="43"/>
      <c r="T34" s="43"/>
      <c r="U34" s="15"/>
      <c r="V34" s="18"/>
      <c r="W34" s="18"/>
      <c r="X34" s="18"/>
      <c r="Y34" s="45">
        <f t="shared" si="4"/>
        <v>44.015350951547219</v>
      </c>
      <c r="Z34" s="45">
        <f t="shared" si="0"/>
        <v>43174.739267383979</v>
      </c>
      <c r="AA34" s="45">
        <f t="shared" si="3"/>
        <v>53490.998701454679</v>
      </c>
      <c r="AB34" s="37">
        <f t="shared" si="2"/>
        <v>43174.739267383979</v>
      </c>
      <c r="AD34" s="18"/>
      <c r="AE34" s="18"/>
      <c r="AF34" s="9"/>
      <c r="AG34" s="18"/>
      <c r="AJ34" s="18"/>
      <c r="AK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17"/>
      <c r="S35" s="43"/>
      <c r="T35" s="43"/>
      <c r="U35" s="15"/>
      <c r="Y35" s="45">
        <f t="shared" si="4"/>
        <v>44.883496001026501</v>
      </c>
      <c r="Z35" s="45">
        <f t="shared" si="0"/>
        <v>42504.481452872409</v>
      </c>
      <c r="AA35" s="45">
        <f t="shared" si="3"/>
        <v>51441.744785996154</v>
      </c>
      <c r="AB35" s="37">
        <f t="shared" si="2"/>
        <v>42504.481452872409</v>
      </c>
      <c r="AD35" s="9"/>
      <c r="AE35" s="9"/>
      <c r="AF35" s="9"/>
      <c r="AG35" s="18"/>
      <c r="AH35" s="18"/>
      <c r="AI35" s="18"/>
      <c r="AJ35" s="18"/>
      <c r="AK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F36" s="17"/>
      <c r="G36" s="24"/>
      <c r="H36" s="50"/>
      <c r="I36" s="11"/>
      <c r="J36" s="17"/>
      <c r="K36" s="17"/>
      <c r="S36" s="43"/>
      <c r="T36" s="43"/>
      <c r="U36" s="15"/>
      <c r="Y36" s="45">
        <f t="shared" si="4"/>
        <v>45.751641050505782</v>
      </c>
      <c r="Z36" s="45">
        <f t="shared" si="0"/>
        <v>41821.132782326356</v>
      </c>
      <c r="AA36" s="45">
        <f t="shared" si="3"/>
        <v>49508.035304037694</v>
      </c>
      <c r="AB36" s="37">
        <f t="shared" si="2"/>
        <v>41821.132782326356</v>
      </c>
      <c r="AD36" s="9"/>
      <c r="AE36" s="9"/>
      <c r="AF36" s="9"/>
      <c r="AG36" s="18"/>
      <c r="AH36" s="18"/>
      <c r="AI36" s="18"/>
      <c r="AJ36" s="18"/>
      <c r="AK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B37" s="24"/>
      <c r="C37" s="17"/>
      <c r="D37" s="98"/>
      <c r="E37" s="17"/>
      <c r="F37" s="17"/>
      <c r="G37" s="24"/>
      <c r="H37" s="50"/>
      <c r="I37" s="17"/>
      <c r="J37" s="17"/>
      <c r="K37" s="17"/>
      <c r="S37" s="43"/>
      <c r="T37" s="43"/>
      <c r="U37" s="15"/>
      <c r="Y37" s="45">
        <f t="shared" si="4"/>
        <v>46.619786099985063</v>
      </c>
      <c r="Z37" s="45">
        <f t="shared" si="0"/>
        <v>41124.693255745857</v>
      </c>
      <c r="AA37" s="45">
        <f t="shared" si="3"/>
        <v>47681.344319025178</v>
      </c>
      <c r="AB37" s="37">
        <f t="shared" si="2"/>
        <v>41124.693255745857</v>
      </c>
      <c r="AD37" s="9"/>
      <c r="AE37" s="9"/>
      <c r="AF37" s="9"/>
      <c r="AG37" s="18"/>
      <c r="AH37" s="18"/>
      <c r="AI37" s="18"/>
      <c r="AJ37" s="18"/>
      <c r="AK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22"/>
      <c r="V38" s="15"/>
      <c r="W38" s="15"/>
      <c r="X38" s="15"/>
      <c r="Y38" s="45">
        <f t="shared" si="4"/>
        <v>47.487931149464345</v>
      </c>
      <c r="Z38" s="45">
        <f t="shared" si="0"/>
        <v>40415.162873130888</v>
      </c>
      <c r="AA38" s="45">
        <f t="shared" si="3"/>
        <v>45953.918032091213</v>
      </c>
      <c r="AB38" s="37">
        <f t="shared" si="2"/>
        <v>40415.162873130888</v>
      </c>
      <c r="AD38" s="13"/>
      <c r="AE38" s="13"/>
      <c r="AF38" s="18"/>
      <c r="AH38" s="18"/>
      <c r="AI38" s="18"/>
      <c r="AJ38" s="18"/>
      <c r="AK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100"/>
      <c r="I39" s="17"/>
      <c r="J39" s="17"/>
      <c r="K39" s="17"/>
      <c r="S39" s="43"/>
      <c r="T39" s="43"/>
      <c r="U39" s="15"/>
      <c r="Y39" s="45">
        <f t="shared" si="4"/>
        <v>48.356076198943626</v>
      </c>
      <c r="Z39" s="45">
        <f t="shared" si="0"/>
        <v>39692.541634481451</v>
      </c>
      <c r="AA39" s="45">
        <f t="shared" si="3"/>
        <v>44318.692364189352</v>
      </c>
      <c r="AB39" s="37">
        <f t="shared" si="2"/>
        <v>39692.541634481451</v>
      </c>
      <c r="AD39" s="9"/>
      <c r="AE39" s="13"/>
      <c r="AF39" s="13"/>
      <c r="AH39" s="110"/>
      <c r="AI39" s="18"/>
      <c r="AJ39" s="18"/>
      <c r="AK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17"/>
      <c r="C40" s="17"/>
      <c r="D40" s="17"/>
      <c r="E40" s="17"/>
      <c r="F40" s="17"/>
      <c r="G40" s="24"/>
      <c r="H40" s="42"/>
      <c r="I40" s="17"/>
      <c r="J40" s="17"/>
      <c r="K40" s="17"/>
      <c r="S40" s="43"/>
      <c r="T40" s="43"/>
      <c r="U40" s="15"/>
      <c r="Y40" s="45">
        <f t="shared" si="4"/>
        <v>49.224221248422907</v>
      </c>
      <c r="Z40" s="45">
        <f t="shared" si="0"/>
        <v>38956.829539797553</v>
      </c>
      <c r="AA40" s="45">
        <f t="shared" si="3"/>
        <v>42769.220622059314</v>
      </c>
      <c r="AB40" s="37">
        <f t="shared" si="2"/>
        <v>38956.829539797553</v>
      </c>
      <c r="AD40" s="9"/>
      <c r="AE40" s="13"/>
      <c r="AF40" s="13"/>
      <c r="AH40" s="18"/>
      <c r="AI40" s="18"/>
      <c r="AJ40" s="18"/>
      <c r="AK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4"/>
        <v>50.092366297902188</v>
      </c>
      <c r="Z41" s="45">
        <f t="shared" si="0"/>
        <v>38208.026589079192</v>
      </c>
      <c r="AA41" s="45">
        <f t="shared" si="3"/>
        <v>41299.609862270423</v>
      </c>
      <c r="AB41" s="37">
        <f t="shared" si="2"/>
        <v>38208.026589079192</v>
      </c>
      <c r="AD41" s="13"/>
      <c r="AE41" s="13"/>
      <c r="AF41" s="13"/>
      <c r="AG41" s="18"/>
      <c r="AH41" s="18"/>
      <c r="AI41" s="18"/>
      <c r="AJ41" s="18"/>
      <c r="AK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95"/>
      <c r="C42" s="17"/>
      <c r="D42" s="17"/>
      <c r="E42" s="17"/>
      <c r="F42" s="17"/>
      <c r="G42" s="17"/>
      <c r="H42" s="17"/>
      <c r="I42" s="17"/>
      <c r="J42" s="17"/>
      <c r="K42" s="17"/>
      <c r="S42" s="43"/>
      <c r="T42" s="43"/>
      <c r="U42" s="15"/>
      <c r="Y42" s="45">
        <f t="shared" si="4"/>
        <v>50.96051134738147</v>
      </c>
      <c r="Z42" s="45">
        <f t="shared" si="0"/>
        <v>37446.132782326356</v>
      </c>
      <c r="AA42" s="45">
        <f t="shared" si="3"/>
        <v>39904.464778206318</v>
      </c>
      <c r="AB42" s="37">
        <f t="shared" si="2"/>
        <v>37446.132782326356</v>
      </c>
      <c r="AD42" s="13"/>
      <c r="AE42" s="13"/>
      <c r="AF42" s="13"/>
      <c r="AG42" s="18"/>
      <c r="AK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22"/>
      <c r="B43" s="24"/>
      <c r="C43" s="30"/>
      <c r="D43" s="17"/>
      <c r="E43" s="17"/>
      <c r="F43" s="17"/>
      <c r="G43" s="17"/>
      <c r="H43" s="22"/>
      <c r="I43" s="22"/>
      <c r="J43" s="22"/>
      <c r="K43" s="22"/>
      <c r="S43" s="43"/>
      <c r="T43" s="43"/>
      <c r="U43" s="22"/>
      <c r="V43" s="18"/>
      <c r="W43" s="21"/>
      <c r="X43" s="21"/>
      <c r="Y43" s="45">
        <f t="shared" si="4"/>
        <v>51.828656396860751</v>
      </c>
      <c r="Z43" s="45">
        <f t="shared" si="0"/>
        <v>36671.148119539066</v>
      </c>
      <c r="AA43" s="45">
        <f t="shared" si="3"/>
        <v>38578.838110494173</v>
      </c>
      <c r="AB43" s="37">
        <f t="shared" si="2"/>
        <v>36671.148119539066</v>
      </c>
      <c r="AD43" s="13"/>
      <c r="AE43" s="13"/>
      <c r="AF43" s="13"/>
      <c r="AG43" s="18"/>
      <c r="AK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s="5" customFormat="1">
      <c r="A44" s="15"/>
      <c r="B44" s="24"/>
      <c r="C44" s="30"/>
      <c r="D44" s="17"/>
      <c r="E44" s="28"/>
      <c r="F44" s="28"/>
      <c r="G44" s="28"/>
      <c r="H44" s="31"/>
      <c r="I44" s="31"/>
      <c r="J44" s="31"/>
      <c r="K44" s="31"/>
      <c r="L44" s="1"/>
      <c r="M44" s="7"/>
      <c r="N44" s="7"/>
      <c r="O44" s="7"/>
      <c r="P44" s="7"/>
      <c r="Q44" s="7"/>
      <c r="R44" s="7"/>
      <c r="S44" s="43"/>
      <c r="T44" s="43"/>
      <c r="U44" s="22"/>
      <c r="V44" s="31"/>
      <c r="W44" s="22"/>
      <c r="X44" s="32"/>
      <c r="Y44" s="45">
        <f t="shared" si="4"/>
        <v>52.696801446340032</v>
      </c>
      <c r="Z44" s="45">
        <f t="shared" si="0"/>
        <v>35883.072600717307</v>
      </c>
      <c r="AA44" s="45">
        <f t="shared" si="3"/>
        <v>37318.186728329601</v>
      </c>
      <c r="AB44" s="37">
        <f t="shared" si="2"/>
        <v>35883.072600717307</v>
      </c>
      <c r="AC44" s="13"/>
      <c r="AD44" s="13"/>
      <c r="AE44" s="31"/>
      <c r="AF44" s="6"/>
      <c r="AJ44" s="21"/>
      <c r="AK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row>
    <row r="45" spans="1:75" s="5" customFormat="1">
      <c r="A45" s="15"/>
      <c r="C45" s="33"/>
      <c r="D45" s="15"/>
      <c r="E45" s="18"/>
      <c r="F45" s="18"/>
      <c r="G45" s="18"/>
      <c r="H45" s="31"/>
      <c r="I45" s="31"/>
      <c r="J45" s="31"/>
      <c r="K45" s="31"/>
      <c r="L45" s="1"/>
      <c r="M45" s="7"/>
      <c r="N45" s="7"/>
      <c r="O45" s="7"/>
      <c r="P45" s="7"/>
      <c r="Q45" s="7"/>
      <c r="R45" s="7"/>
      <c r="S45" s="43"/>
      <c r="T45" s="43"/>
      <c r="U45" s="22"/>
      <c r="V45" s="31"/>
      <c r="W45" s="21"/>
      <c r="X45" s="24"/>
      <c r="Y45" s="45">
        <f t="shared" si="4"/>
        <v>53.564946495819314</v>
      </c>
      <c r="Z45" s="45">
        <f t="shared" si="0"/>
        <v>35081.906225861079</v>
      </c>
      <c r="AA45" s="45">
        <f t="shared" si="3"/>
        <v>36118.332652478384</v>
      </c>
      <c r="AB45" s="37">
        <f t="shared" si="2"/>
        <v>35081.906225861079</v>
      </c>
      <c r="AC45" s="13"/>
      <c r="AD45" s="13"/>
      <c r="AE45" s="31"/>
      <c r="AF45" s="6"/>
      <c r="AJ45" s="17"/>
      <c r="AK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B46" s="24"/>
      <c r="C46" s="40"/>
      <c r="D46" s="40"/>
      <c r="E46" s="40"/>
      <c r="F46" s="40"/>
      <c r="G46" s="40"/>
      <c r="H46" s="40"/>
      <c r="I46" s="40"/>
      <c r="J46" s="40"/>
      <c r="K46" s="40"/>
      <c r="L46" s="1"/>
      <c r="M46" s="7"/>
      <c r="N46" s="7"/>
      <c r="O46" s="7"/>
      <c r="P46" s="7"/>
      <c r="Q46" s="7"/>
      <c r="R46" s="7"/>
      <c r="S46" s="43"/>
      <c r="T46" s="43"/>
      <c r="U46" s="22"/>
      <c r="V46" s="31"/>
      <c r="W46" s="27"/>
      <c r="X46" s="27"/>
      <c r="Y46" s="45">
        <f t="shared" si="4"/>
        <v>54.433091545298595</v>
      </c>
      <c r="Z46" s="45">
        <f t="shared" si="0"/>
        <v>34267.648994970397</v>
      </c>
      <c r="AA46" s="45">
        <f t="shared" si="3"/>
        <v>34975.428394556235</v>
      </c>
      <c r="AB46" s="37">
        <f t="shared" si="2"/>
        <v>34267.648994970397</v>
      </c>
      <c r="AC46" s="13"/>
      <c r="AD46" s="13"/>
      <c r="AE46" s="31"/>
      <c r="AF46" s="31"/>
      <c r="AG46" s="31"/>
      <c r="AH46" s="31"/>
      <c r="AI46" s="31"/>
      <c r="AJ46" s="31"/>
      <c r="AK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C47" s="40"/>
      <c r="D47" s="40"/>
      <c r="E47" s="40"/>
      <c r="F47" s="40"/>
      <c r="G47" s="40"/>
      <c r="H47" s="40"/>
      <c r="I47" s="40"/>
      <c r="J47" s="40"/>
      <c r="K47" s="40"/>
      <c r="L47" s="1"/>
      <c r="M47" s="7"/>
      <c r="N47" s="7"/>
      <c r="O47" s="7"/>
      <c r="P47" s="7"/>
      <c r="Q47" s="7"/>
      <c r="R47" s="7"/>
      <c r="S47" s="43"/>
      <c r="T47" s="43"/>
      <c r="U47" s="22"/>
      <c r="V47" s="31"/>
      <c r="W47" s="27"/>
      <c r="X47" s="27"/>
      <c r="Y47" s="45">
        <f t="shared" si="4"/>
        <v>55.301236594777876</v>
      </c>
      <c r="Z47" s="45">
        <f t="shared" si="0"/>
        <v>33440.300908045247</v>
      </c>
      <c r="AA47" s="45">
        <f t="shared" si="3"/>
        <v>33885.92607484098</v>
      </c>
      <c r="AB47" s="37">
        <f t="shared" si="2"/>
        <v>33440.300908045247</v>
      </c>
      <c r="AC47" s="13"/>
      <c r="AD47" s="13"/>
      <c r="AE47" s="31"/>
      <c r="AF47" s="31"/>
      <c r="AG47" s="31"/>
      <c r="AH47" s="31"/>
      <c r="AI47" s="31"/>
      <c r="AJ47" s="31"/>
      <c r="AK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B48" s="15"/>
      <c r="C48" s="34"/>
      <c r="D48" s="15"/>
      <c r="E48" s="15"/>
      <c r="F48" s="15"/>
      <c r="G48" s="15"/>
      <c r="H48" s="15"/>
      <c r="I48" s="15"/>
      <c r="J48" s="15"/>
      <c r="K48" s="15"/>
      <c r="L48" s="1"/>
      <c r="M48" s="7"/>
      <c r="N48" s="7"/>
      <c r="O48" s="7"/>
      <c r="P48" s="7"/>
      <c r="Q48" s="7"/>
      <c r="R48" s="7"/>
      <c r="S48" s="43"/>
      <c r="T48" s="43"/>
      <c r="U48" s="22"/>
      <c r="V48" s="31"/>
      <c r="W48" s="27"/>
      <c r="X48" s="27"/>
      <c r="Y48" s="45">
        <f t="shared" si="4"/>
        <v>56.169381644257157</v>
      </c>
      <c r="Z48" s="45">
        <f t="shared" si="0"/>
        <v>32599.861965085627</v>
      </c>
      <c r="AA48" s="45">
        <f t="shared" si="3"/>
        <v>32846.549855084064</v>
      </c>
      <c r="AB48" s="37">
        <f t="shared" si="2"/>
        <v>32599.861965085627</v>
      </c>
      <c r="AC48" s="13"/>
      <c r="AD48" s="13"/>
      <c r="AE48" s="31"/>
      <c r="AF48" s="31"/>
      <c r="AG48" s="31"/>
      <c r="AH48" s="31"/>
      <c r="AI48" s="31"/>
      <c r="AJ48" s="31"/>
      <c r="AK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47" s="5" customFormat="1">
      <c r="A49" s="15"/>
      <c r="B49" s="24"/>
      <c r="C49" s="30"/>
      <c r="D49" s="15"/>
      <c r="G49" s="22"/>
      <c r="H49" s="15"/>
      <c r="I49" s="15"/>
      <c r="J49" s="15"/>
      <c r="K49" s="15"/>
      <c r="L49" s="1"/>
      <c r="M49" s="7"/>
      <c r="N49" s="7"/>
      <c r="O49" s="7"/>
      <c r="P49" s="7"/>
      <c r="Q49" s="7"/>
      <c r="R49" s="7"/>
      <c r="S49" s="43"/>
      <c r="T49" s="43"/>
      <c r="U49" s="13"/>
      <c r="W49" s="35"/>
      <c r="X49" s="35"/>
      <c r="Y49" s="45">
        <f t="shared" si="4"/>
        <v>57.037526693736439</v>
      </c>
      <c r="Z49" s="45">
        <f t="shared" si="0"/>
        <v>31746.332166091546</v>
      </c>
      <c r="AA49" s="45">
        <f t="shared" si="3"/>
        <v>31854.271285792878</v>
      </c>
      <c r="AB49" s="37">
        <f t="shared" si="2"/>
        <v>31746.332166091546</v>
      </c>
      <c r="AC49" s="13"/>
      <c r="AD49" s="13"/>
    </row>
    <row r="50" spans="1:47" s="5" customFormat="1">
      <c r="A50" s="15"/>
      <c r="C50" s="38"/>
      <c r="D50" s="30"/>
      <c r="E50" s="15"/>
      <c r="F50" s="18"/>
      <c r="G50" s="18"/>
      <c r="H50" s="15"/>
      <c r="I50" s="15"/>
      <c r="J50" s="15"/>
      <c r="K50" s="15"/>
      <c r="L50" s="1"/>
      <c r="M50" s="7"/>
      <c r="N50" s="7"/>
      <c r="O50" s="7"/>
      <c r="P50" s="7"/>
      <c r="Q50" s="7"/>
      <c r="R50" s="7"/>
      <c r="S50" s="43"/>
      <c r="T50" s="43"/>
      <c r="U50" s="13"/>
      <c r="W50" s="35"/>
      <c r="X50" s="35"/>
      <c r="Y50" s="45">
        <f t="shared" si="4"/>
        <v>57.90567174321572</v>
      </c>
      <c r="Z50" s="45">
        <f t="shared" si="0"/>
        <v>30879.711511062997</v>
      </c>
      <c r="AA50" s="45">
        <f t="shared" si="3"/>
        <v>30906.287221086979</v>
      </c>
      <c r="AB50" s="37">
        <f t="shared" si="2"/>
        <v>30879.711511062997</v>
      </c>
      <c r="AC50" s="13"/>
      <c r="AD50" s="13"/>
    </row>
    <row r="51" spans="1:47" s="5" customFormat="1">
      <c r="A51" s="15"/>
      <c r="B51" s="15"/>
      <c r="C51" s="21"/>
      <c r="D51" s="23"/>
      <c r="E51" s="15"/>
      <c r="F51" s="15"/>
      <c r="G51" s="15"/>
      <c r="H51" s="15"/>
      <c r="I51" s="15"/>
      <c r="J51" s="15"/>
      <c r="K51" s="15"/>
      <c r="L51" s="1"/>
      <c r="M51" s="7"/>
      <c r="N51" s="7"/>
      <c r="O51" s="7"/>
      <c r="P51" s="7"/>
      <c r="Q51" s="7"/>
      <c r="R51" s="7"/>
      <c r="S51" s="43"/>
      <c r="T51" s="43"/>
      <c r="U51" s="13"/>
      <c r="W51" s="35"/>
      <c r="X51" s="35"/>
      <c r="Y51" s="45">
        <f>(PI()^2*C17/AE19)^0.5</f>
        <v>58.773816792694987</v>
      </c>
      <c r="Z51" s="45">
        <f t="shared" si="0"/>
        <v>30000.000000000004</v>
      </c>
      <c r="AA51" s="45">
        <f t="shared" si="3"/>
        <v>30000</v>
      </c>
      <c r="AB51" s="37">
        <f>AA51</f>
        <v>30000</v>
      </c>
      <c r="AC51" s="13"/>
      <c r="AD51" s="13"/>
    </row>
    <row r="52" spans="1:47" s="5" customFormat="1">
      <c r="B52" s="21" t="s">
        <v>64</v>
      </c>
      <c r="C52" s="21"/>
      <c r="E52" s="30" t="s">
        <v>65</v>
      </c>
      <c r="I52" s="30" t="s">
        <v>71</v>
      </c>
      <c r="K52" s="15"/>
      <c r="L52" s="1"/>
      <c r="M52" s="7"/>
      <c r="N52" s="7"/>
      <c r="O52" s="7"/>
      <c r="P52" s="7"/>
      <c r="Q52" s="7"/>
      <c r="R52" s="7"/>
      <c r="S52" s="43"/>
      <c r="T52" s="43"/>
      <c r="U52" s="13"/>
      <c r="W52" s="35"/>
      <c r="X52" s="35"/>
      <c r="Y52" s="45">
        <f>Y51+7.5</f>
        <v>66.273816792694987</v>
      </c>
      <c r="Z52" s="45">
        <f t="shared" si="0"/>
        <v>21855.016555792456</v>
      </c>
      <c r="AA52" s="45">
        <f t="shared" si="3"/>
        <v>23594.190342653517</v>
      </c>
      <c r="AB52" s="37">
        <f t="shared" ref="AB52:AB56" si="5">AA52</f>
        <v>23594.190342653517</v>
      </c>
      <c r="AC52" s="13"/>
      <c r="AD52" s="13"/>
    </row>
    <row r="53" spans="1:47" s="5" customFormat="1">
      <c r="B53" s="6" t="str">
        <f ca="1">[1]!xlv(B54)</f>
        <v>(π² × Ec) / (S)²</v>
      </c>
      <c r="C53" s="6"/>
      <c r="D53" s="15"/>
      <c r="E53" s="6" t="str">
        <f ca="1">[1]!xlv(E54)</f>
        <v>Fcy - (Fcy² / (4 × π² × Ec)) × (S)²</v>
      </c>
      <c r="F53" s="6"/>
      <c r="G53" s="15"/>
      <c r="H53" s="15"/>
      <c r="I53" s="115">
        <f>AE32</f>
        <v>44582.151316004602</v>
      </c>
      <c r="J53" s="15" t="s">
        <v>2</v>
      </c>
      <c r="K53" s="15"/>
      <c r="L53" s="1"/>
      <c r="M53" s="7"/>
      <c r="N53" s="7"/>
      <c r="O53" s="7"/>
      <c r="P53" s="7"/>
      <c r="Q53" s="7"/>
      <c r="R53" s="7"/>
      <c r="S53" s="43"/>
      <c r="T53" s="43"/>
      <c r="U53" s="13"/>
      <c r="W53" s="35"/>
      <c r="X53" s="35"/>
      <c r="Y53" s="45">
        <f>Y52+7.5</f>
        <v>73.773816792694987</v>
      </c>
      <c r="Z53" s="45">
        <f t="shared" si="0"/>
        <v>12733.007412176659</v>
      </c>
      <c r="AA53" s="45">
        <f t="shared" si="3"/>
        <v>19040.771386666409</v>
      </c>
      <c r="AB53" s="37">
        <f t="shared" si="5"/>
        <v>19040.771386666409</v>
      </c>
      <c r="AC53" s="13"/>
      <c r="AD53" s="13"/>
    </row>
    <row r="54" spans="1:47" s="5" customFormat="1">
      <c r="B54" s="37">
        <f>(PI()^2*C17)/(F22)^2</f>
        <v>58373.902769862514</v>
      </c>
      <c r="C54" s="111" t="str">
        <f>IF(B54="","","psi")</f>
        <v>psi</v>
      </c>
      <c r="D54" s="112"/>
      <c r="E54" s="37">
        <f>C16-(C16^2/(4*PI()^2*C17))*(F22)^2</f>
        <v>44582.151316004602</v>
      </c>
      <c r="F54" s="111" t="str">
        <f>IF(E54="","","psi")</f>
        <v>psi</v>
      </c>
      <c r="G54" s="112"/>
      <c r="H54" s="49"/>
      <c r="I54" s="111">
        <f>I53*F16</f>
        <v>22424.822111950314</v>
      </c>
      <c r="J54" s="15" t="s">
        <v>66</v>
      </c>
      <c r="K54" s="15"/>
      <c r="L54" s="1"/>
      <c r="M54" s="7"/>
      <c r="N54" s="7"/>
      <c r="O54" s="7"/>
      <c r="P54" s="7"/>
      <c r="Q54" s="7"/>
      <c r="R54" s="7"/>
      <c r="S54" s="43"/>
      <c r="T54" s="43"/>
      <c r="U54" s="13"/>
      <c r="W54" s="35"/>
      <c r="X54" s="35"/>
      <c r="Y54" s="45">
        <f>Y53+10</f>
        <v>83.773816792694987</v>
      </c>
      <c r="Z54" s="45">
        <f t="shared" si="0"/>
        <v>-949.48920061279932</v>
      </c>
      <c r="AA54" s="45">
        <f t="shared" si="3"/>
        <v>14766.325555866204</v>
      </c>
      <c r="AB54" s="37">
        <f t="shared" si="5"/>
        <v>14766.325555866204</v>
      </c>
      <c r="AC54" s="9"/>
      <c r="AD54" s="9"/>
    </row>
    <row r="55" spans="1:47" s="5" customFormat="1">
      <c r="B55" s="49"/>
      <c r="C55" s="30"/>
      <c r="E55" s="49"/>
      <c r="F55" s="15"/>
      <c r="G55" s="24"/>
      <c r="H55" s="30"/>
      <c r="I55" s="15"/>
      <c r="J55" s="15"/>
      <c r="K55" s="15"/>
      <c r="L55" s="1"/>
      <c r="M55" s="7"/>
      <c r="N55" s="7"/>
      <c r="O55" s="7"/>
      <c r="P55" s="7"/>
      <c r="Q55" s="7"/>
      <c r="R55" s="7"/>
      <c r="S55" s="43"/>
      <c r="T55" s="43"/>
      <c r="U55" s="13"/>
      <c r="W55" s="35"/>
      <c r="X55" s="35"/>
      <c r="Y55" s="45">
        <f>Y54+20</f>
        <v>103.77381679269499</v>
      </c>
      <c r="Z55" s="45">
        <f t="shared" si="0"/>
        <v>-33525.286156369097</v>
      </c>
      <c r="AA55" s="45">
        <f t="shared" si="3"/>
        <v>9623.0659855480135</v>
      </c>
      <c r="AB55" s="37">
        <f t="shared" si="5"/>
        <v>9623.0659855480135</v>
      </c>
      <c r="AC55" s="9"/>
      <c r="AD55" s="9"/>
    </row>
    <row r="56" spans="1:47" s="5" customFormat="1">
      <c r="A56" s="15"/>
      <c r="D56" s="15"/>
      <c r="E56" s="15"/>
      <c r="F56" s="15"/>
      <c r="G56" s="29"/>
      <c r="H56" s="15"/>
      <c r="I56" s="15"/>
      <c r="J56" s="24" t="str">
        <f>"M.S = "&amp;[1]!xln(K56)&amp;" ="</f>
        <v>M.S = 22425 / 5600 - 1 =</v>
      </c>
      <c r="K56" s="116">
        <f>I54/I15-1</f>
        <v>3.0044325199911279</v>
      </c>
      <c r="L56" s="1"/>
      <c r="M56" s="7"/>
      <c r="N56" s="7"/>
      <c r="O56" s="7"/>
      <c r="P56" s="7"/>
      <c r="Q56" s="7"/>
      <c r="R56" s="7"/>
      <c r="S56" s="43"/>
      <c r="T56" s="43"/>
      <c r="U56" s="13"/>
      <c r="W56" s="35"/>
      <c r="X56" s="35"/>
      <c r="Y56" s="45">
        <f>Y55+20</f>
        <v>123.77381679269499</v>
      </c>
      <c r="Z56" s="45">
        <f t="shared" si="0"/>
        <v>-73048.821419028565</v>
      </c>
      <c r="AA56" s="45">
        <f t="shared" si="3"/>
        <v>6764.4342159597854</v>
      </c>
      <c r="AB56" s="37">
        <f t="shared" si="5"/>
        <v>6764.4342159597854</v>
      </c>
      <c r="AC56" s="9"/>
      <c r="AD56" s="9"/>
    </row>
    <row r="57" spans="1:47" s="5" customFormat="1">
      <c r="A57" s="15"/>
      <c r="C57" s="29"/>
      <c r="D57" s="15"/>
      <c r="E57" s="15"/>
      <c r="F57" s="15"/>
      <c r="G57" s="29"/>
      <c r="H57" s="15"/>
      <c r="I57" s="15"/>
      <c r="J57" s="15"/>
      <c r="K57" s="15"/>
      <c r="L57" s="1"/>
      <c r="M57" s="7"/>
      <c r="N57" s="7"/>
      <c r="O57" s="7"/>
      <c r="P57" s="7"/>
      <c r="Q57" s="7"/>
      <c r="R57" s="7"/>
      <c r="S57" s="43"/>
      <c r="T57" s="43"/>
      <c r="U57" s="13"/>
      <c r="W57" s="35"/>
      <c r="X57" s="35"/>
      <c r="Y57" s="45"/>
      <c r="Z57" s="46"/>
      <c r="AA57" s="48"/>
      <c r="AB57" s="47"/>
      <c r="AC57" s="45"/>
      <c r="AD57" s="45"/>
      <c r="AE57" s="45"/>
      <c r="AF57" s="45"/>
      <c r="AG57" s="9"/>
      <c r="AH57" s="9"/>
      <c r="AI57" s="9"/>
    </row>
    <row r="58" spans="1:47" s="5" customFormat="1">
      <c r="A58" s="15"/>
      <c r="C58" s="29"/>
      <c r="D58" s="15"/>
      <c r="E58" s="15"/>
      <c r="F58" s="15"/>
      <c r="G58" s="29"/>
      <c r="H58" s="15"/>
      <c r="I58" s="15"/>
      <c r="J58" s="15"/>
      <c r="K58" s="15"/>
      <c r="L58" s="1"/>
      <c r="M58" s="7"/>
      <c r="N58" s="7"/>
      <c r="O58" s="7"/>
      <c r="P58" s="7"/>
      <c r="Q58" s="7"/>
      <c r="R58" s="7"/>
      <c r="S58" s="43"/>
      <c r="T58" s="43"/>
      <c r="U58" s="13"/>
      <c r="W58" s="35"/>
      <c r="X58" s="35"/>
      <c r="Y58" s="35"/>
      <c r="Z58" s="35"/>
      <c r="AA58" s="35"/>
      <c r="AB58" s="35"/>
      <c r="AC58" s="45"/>
      <c r="AD58" s="35"/>
      <c r="AE58" s="35"/>
      <c r="AF58" s="35"/>
    </row>
    <row r="59" spans="1:47" s="5" customFormat="1">
      <c r="A59" s="15"/>
      <c r="B59" s="80"/>
      <c r="C59" s="29"/>
      <c r="D59" s="16"/>
      <c r="E59" s="16"/>
      <c r="F59" s="81" t="s">
        <v>42</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47" s="5" customFormat="1">
      <c r="A60" s="15"/>
      <c r="B60" s="16"/>
      <c r="C60" s="16"/>
      <c r="D60" s="16"/>
      <c r="E60" s="16"/>
      <c r="F60" s="91" t="s">
        <v>39</v>
      </c>
      <c r="G60" s="16"/>
      <c r="H60" s="16"/>
      <c r="I60" s="16"/>
      <c r="J60" s="16"/>
      <c r="K60" s="15"/>
      <c r="L60" s="8"/>
      <c r="M60" s="7"/>
      <c r="N60" s="7"/>
      <c r="O60" s="7"/>
      <c r="P60" s="7"/>
      <c r="Q60" s="7"/>
      <c r="R60" s="7"/>
      <c r="S60" s="43"/>
      <c r="T60" s="43"/>
      <c r="U60" s="13"/>
      <c r="W60" s="35"/>
      <c r="X60" s="35"/>
      <c r="Y60" s="35"/>
      <c r="Z60" s="35"/>
      <c r="AA60" s="35"/>
      <c r="AB60" s="35"/>
      <c r="AF60" s="18"/>
      <c r="AG60" s="18"/>
    </row>
    <row r="61" spans="1:47">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47">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47">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47">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hyperlinks>
    <hyperlink ref="F60" r:id="rId1"/>
  </hyperlinks>
  <pageMargins left="0.47244094488188981" right="0.23622047244094491" top="0.31496062992125984" bottom="0.98425196850393704" header="0.43307086614173229" footer="0.59055118110236227"/>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2016-03-30T12:37:09Z</dcterms:modified>
  <cp:category>Engineering Spreadsheets</cp:category>
</cp:coreProperties>
</file>