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 r:id="rId4"/>
  </externalReferences>
  <definedNames>
    <definedName name="LUG">[1]Macro1!$A$1</definedName>
    <definedName name="_xlnm.Print_Area" localSheetId="1">Analysis!$A$8:$K$59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7" l="1"/>
  <c r="B12" i="31" l="1"/>
  <c r="G23" i="31" l="1"/>
  <c r="G22" i="31" l="1"/>
  <c r="I23" i="31"/>
  <c r="I22" i="31" l="1"/>
  <c r="H44" i="31"/>
  <c r="B35" i="31"/>
  <c r="J35" i="31" s="1"/>
  <c r="F35" i="31" l="1"/>
  <c r="BD16" i="31"/>
  <c r="BE16" i="31"/>
  <c r="BF16" i="31" s="1"/>
  <c r="BK16" i="31"/>
  <c r="BF17" i="31"/>
  <c r="BI17" i="31"/>
  <c r="BJ17" i="31" s="1"/>
  <c r="BK17" i="31"/>
  <c r="BN17" i="31"/>
  <c r="BF18" i="31"/>
  <c r="BI18" i="31"/>
  <c r="BJ18" i="31" s="1"/>
  <c r="BL18" i="31"/>
  <c r="BN18" i="31"/>
  <c r="B44" i="31"/>
  <c r="BF19" i="31"/>
  <c r="BI19" i="31"/>
  <c r="BJ19" i="31" s="1"/>
  <c r="BL19" i="31"/>
  <c r="BN19" i="31"/>
  <c r="BF20" i="31"/>
  <c r="BI20" i="31"/>
  <c r="BJ20" i="31" s="1"/>
  <c r="BL20" i="31"/>
  <c r="BN20" i="31"/>
  <c r="BF21" i="31"/>
  <c r="BI21" i="31"/>
  <c r="BJ21" i="31" s="1"/>
  <c r="BL21" i="31"/>
  <c r="BN21" i="31"/>
  <c r="BF22" i="31"/>
  <c r="BI22" i="31"/>
  <c r="BJ22" i="31" s="1"/>
  <c r="BL22" i="31"/>
  <c r="BN22" i="31"/>
  <c r="BI23" i="31"/>
  <c r="BJ23" i="31" s="1"/>
  <c r="BL23" i="31"/>
  <c r="BN23" i="31"/>
  <c r="BI24" i="31"/>
  <c r="BJ24" i="31" s="1"/>
  <c r="BL24" i="31"/>
  <c r="BN24" i="31"/>
  <c r="BI25" i="31"/>
  <c r="BJ25" i="31" s="1"/>
  <c r="BL25" i="31"/>
  <c r="BN25" i="31"/>
  <c r="BI26" i="31"/>
  <c r="BJ26" i="31" s="1"/>
  <c r="BL26" i="31"/>
  <c r="BN26" i="31"/>
  <c r="BI27" i="31"/>
  <c r="BJ27" i="31" s="1"/>
  <c r="BL27" i="31"/>
  <c r="BN27" i="31"/>
  <c r="BI28" i="31"/>
  <c r="BJ28" i="31" s="1"/>
  <c r="BL28" i="31"/>
  <c r="BN28" i="31"/>
  <c r="BB31" i="31"/>
  <c r="BB32" i="31"/>
  <c r="BB33" i="31"/>
  <c r="BA33" i="31" s="1"/>
  <c r="BB34" i="31"/>
  <c r="BA34" i="31" s="1"/>
  <c r="BB35" i="31"/>
  <c r="BA35" i="31" s="1"/>
  <c r="BB36" i="31"/>
  <c r="BA36" i="31" s="1"/>
  <c r="BB37" i="31"/>
  <c r="BA37" i="31" s="1"/>
  <c r="BB38" i="31"/>
  <c r="BA38" i="31" s="1"/>
  <c r="BB39" i="31"/>
  <c r="BA39" i="31" s="1"/>
  <c r="BB40" i="31"/>
  <c r="BA40" i="31" s="1"/>
  <c r="BB41" i="31"/>
  <c r="BA41" i="31" s="1"/>
  <c r="BB42" i="31"/>
  <c r="BA42" i="31" s="1"/>
  <c r="BB43" i="31"/>
  <c r="BA43" i="31" s="1"/>
  <c r="H43" i="31"/>
  <c r="B43" i="31"/>
  <c r="BA31" i="31" l="1"/>
  <c r="BL17" i="31"/>
  <c r="BA32" i="31"/>
  <c r="B46" i="31"/>
  <c r="BA48" i="31" l="1"/>
  <c r="BA49" i="31"/>
  <c r="BF30" i="31"/>
  <c r="BA47" i="31"/>
  <c r="BE31" i="31"/>
  <c r="BG31" i="31" l="1"/>
  <c r="BE32" i="31"/>
  <c r="BF31" i="31"/>
  <c r="BF32" i="31" l="1"/>
  <c r="BG32" i="31"/>
  <c r="BF34" i="31" l="1"/>
  <c r="BB48" i="31" s="1"/>
  <c r="G46" i="31" l="1"/>
  <c r="BB46" i="31"/>
  <c r="BB47" i="31"/>
  <c r="B34" i="31"/>
  <c r="C49" i="31" l="1"/>
  <c r="G54" i="31" s="1"/>
  <c r="AP45" i="31"/>
  <c r="AP30" i="31"/>
  <c r="AO30" i="31" s="1"/>
  <c r="AP31" i="31"/>
  <c r="AO31" i="31" s="1"/>
  <c r="AP32" i="31"/>
  <c r="AO32" i="31" s="1"/>
  <c r="AP33" i="31"/>
  <c r="AO33" i="31" s="1"/>
  <c r="AP34" i="31"/>
  <c r="AO34" i="31" s="1"/>
  <c r="AP35" i="31"/>
  <c r="AO35" i="31" s="1"/>
  <c r="AP36" i="31"/>
  <c r="AO36" i="31" s="1"/>
  <c r="AP37" i="31"/>
  <c r="AO37" i="31" s="1"/>
  <c r="AP38" i="31"/>
  <c r="AO38" i="31" s="1"/>
  <c r="AP39" i="31"/>
  <c r="AO39" i="31" s="1"/>
  <c r="C48" i="31"/>
  <c r="F54" i="31"/>
  <c r="J34" i="31"/>
  <c r="F34" i="31"/>
  <c r="AP44" i="31" l="1"/>
  <c r="AP43" i="31"/>
  <c r="AR30" i="31"/>
  <c r="AS30" i="31" s="1"/>
  <c r="AS29" i="31"/>
  <c r="AR31" i="31" l="1"/>
  <c r="AS31" i="31" s="1"/>
  <c r="AT30" i="31"/>
  <c r="AT31" i="31" l="1"/>
  <c r="AS33" i="31" s="1"/>
  <c r="AQ43" i="31" l="1"/>
  <c r="AQ44" i="31"/>
  <c r="AQ42" i="31"/>
  <c r="E37" i="31"/>
  <c r="C40" i="31" s="1"/>
  <c r="C39" i="31"/>
  <c r="B31" i="31" l="1"/>
  <c r="E28" i="31"/>
  <c r="W31" i="31" s="1"/>
  <c r="B28" i="31"/>
  <c r="B27" i="31"/>
  <c r="E27" i="31"/>
  <c r="B30" i="31"/>
  <c r="Y39" i="31" l="1"/>
  <c r="Y32" i="31"/>
  <c r="Y34" i="31"/>
  <c r="Y33" i="31"/>
  <c r="Y35" i="31"/>
  <c r="Y36" i="31"/>
  <c r="Y37" i="31"/>
  <c r="Y38" i="31"/>
  <c r="X45" i="31"/>
  <c r="Z31" i="31"/>
  <c r="X43" i="31"/>
  <c r="X44" i="31"/>
  <c r="X33" i="31" l="1"/>
  <c r="X34" i="31"/>
  <c r="X35" i="31"/>
  <c r="X38" i="31"/>
  <c r="W39" i="31"/>
  <c r="X36" i="31"/>
  <c r="X37" i="31"/>
  <c r="X31" i="31"/>
  <c r="Z30" i="31" s="1"/>
  <c r="F11" i="31"/>
  <c r="L10" i="31"/>
  <c r="F10" i="31"/>
  <c r="J9" i="31"/>
  <c r="F9" i="31"/>
  <c r="J8" i="31"/>
  <c r="F8" i="31"/>
  <c r="X7" i="31"/>
  <c r="X6" i="31"/>
  <c r="X5" i="31"/>
  <c r="X4" i="31"/>
  <c r="X3" i="31"/>
  <c r="X2" i="31"/>
  <c r="X1" i="31"/>
  <c r="G1" i="31" s="1"/>
  <c r="J10" i="31" s="1"/>
  <c r="W33" i="31" l="1"/>
  <c r="Z33" i="31" s="1"/>
  <c r="W35" i="31"/>
  <c r="Z35" i="31" s="1"/>
  <c r="W38" i="31"/>
  <c r="Z38" i="31" s="1"/>
  <c r="X39" i="31"/>
  <c r="Z39" i="31" s="1"/>
  <c r="W34" i="31"/>
  <c r="Z34" i="31" s="1"/>
  <c r="X32" i="31"/>
  <c r="W32" i="31"/>
  <c r="W36" i="31"/>
  <c r="Z36" i="31" s="1"/>
  <c r="W37" i="31"/>
  <c r="Z37" i="31" s="1"/>
  <c r="Z32" i="31" l="1"/>
  <c r="AC31" i="31" a="1"/>
  <c r="AD31" i="31" s="1"/>
  <c r="AF31" i="31" l="1"/>
  <c r="AE31" i="31"/>
  <c r="AG31" i="31"/>
  <c r="AC31" i="31"/>
  <c r="AA39" i="31" l="1"/>
  <c r="AA38" i="31"/>
  <c r="AA37" i="31"/>
  <c r="AA36" i="31"/>
  <c r="AA35" i="31"/>
  <c r="AC34" i="31"/>
  <c r="I29" i="31"/>
  <c r="AA34" i="31"/>
  <c r="AA33" i="31"/>
  <c r="AA32" i="31"/>
  <c r="Y42" i="31" l="1"/>
  <c r="E31" i="31"/>
  <c r="G53" i="31"/>
  <c r="Y43" i="31"/>
  <c r="Y45" i="31"/>
  <c r="F53" i="31"/>
  <c r="E30" i="31"/>
  <c r="K55" i="31" l="1"/>
  <c r="J55" i="31"/>
</calcChain>
</file>

<file path=xl/sharedStrings.xml><?xml version="1.0" encoding="utf-8"?>
<sst xmlns="http://schemas.openxmlformats.org/spreadsheetml/2006/main" count="216" uniqueCount="131">
  <si>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</si>
  <si>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</si>
  <si>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</si>
  <si>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</si>
  <si>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</si>
  <si>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</si>
  <si>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</si>
  <si>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</si>
  <si>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</si>
  <si>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</si>
  <si>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</si>
  <si>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</si>
  <si>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</si>
  <si>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</si>
  <si>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</si>
  <si>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</si>
  <si>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</si>
  <si>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</si>
  <si>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</si>
  <si>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</si>
  <si>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</si>
  <si>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</si>
  <si>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</si>
  <si>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</si>
  <si>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</si>
  <si>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</si>
  <si>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</si>
  <si>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</si>
  <si>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</si>
  <si>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</si>
  <si>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</si>
  <si>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</si>
  <si>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</si>
  <si>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</si>
  <si>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</si>
  <si>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</si>
  <si>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</si>
  <si>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</si>
  <si>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</si>
  <si>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</si>
  <si>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</si>
  <si>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</si>
  <si>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</si>
  <si>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</si>
  <si>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</si>
  <si>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</si>
  <si>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</si>
  <si>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e/D</t>
  </si>
  <si>
    <t>Curve A</t>
  </si>
  <si>
    <t>Curve B</t>
  </si>
  <si>
    <t>Kbr</t>
  </si>
  <si>
    <t>x</t>
  </si>
  <si>
    <t>y</t>
  </si>
  <si>
    <t>hor line</t>
  </si>
  <si>
    <t>vert line</t>
  </si>
  <si>
    <t>D =</t>
  </si>
  <si>
    <t>Hole Diameter</t>
  </si>
  <si>
    <t>t =</t>
  </si>
  <si>
    <t>Lug Thickness</t>
  </si>
  <si>
    <t>Lug Width</t>
  </si>
  <si>
    <t>e =</t>
  </si>
  <si>
    <t>Edge Distance</t>
  </si>
  <si>
    <t xml:space="preserve">e/D = </t>
  </si>
  <si>
    <t xml:space="preserve">D/t = </t>
  </si>
  <si>
    <t>in</t>
  </si>
  <si>
    <t>(NASA TM X-73305, 1975)</t>
  </si>
  <si>
    <t>=</t>
  </si>
  <si>
    <t>psi</t>
  </si>
  <si>
    <r>
      <t>K</t>
    </r>
    <r>
      <rPr>
        <vertAlign val="subscript"/>
        <sz val="10"/>
        <rFont val="Calibri"/>
        <family val="2"/>
        <scheme val="minor"/>
      </rPr>
      <t>br</t>
    </r>
    <r>
      <rPr>
        <sz val="10"/>
        <rFont val="Calibri"/>
        <family val="2"/>
        <scheme val="minor"/>
      </rPr>
      <t xml:space="preserve"> =</t>
    </r>
  </si>
  <si>
    <t>lb</t>
  </si>
  <si>
    <r>
      <t>A</t>
    </r>
    <r>
      <rPr>
        <vertAlign val="subscript"/>
        <sz val="10"/>
        <rFont val="Calibri"/>
        <family val="2"/>
        <scheme val="minor"/>
      </rPr>
      <t>br</t>
    </r>
    <r>
      <rPr>
        <sz val="10"/>
        <rFont val="Calibri"/>
        <family val="2"/>
        <scheme val="minor"/>
      </rPr>
      <t xml:space="preserve"> =</t>
    </r>
  </si>
  <si>
    <t>in²</t>
  </si>
  <si>
    <t xml:space="preserve">Ultimate Shear-Bearing Efficiency Factor </t>
  </si>
  <si>
    <r>
      <t>P'</t>
    </r>
    <r>
      <rPr>
        <vertAlign val="subscript"/>
        <sz val="10"/>
        <rFont val="Calibri"/>
        <family val="2"/>
        <scheme val="minor"/>
      </rPr>
      <t>bru</t>
    </r>
    <r>
      <rPr>
        <sz val="10"/>
        <rFont val="Calibri"/>
        <family val="2"/>
        <scheme val="minor"/>
      </rPr>
      <t xml:space="preserve"> =</t>
    </r>
  </si>
  <si>
    <r>
      <t>F</t>
    </r>
    <r>
      <rPr>
        <vertAlign val="subscript"/>
        <sz val="10"/>
        <rFont val="Calibri"/>
        <family val="2"/>
        <scheme val="minor"/>
      </rPr>
      <t>tu</t>
    </r>
    <r>
      <rPr>
        <sz val="10"/>
        <rFont val="Calibri"/>
        <family val="2"/>
        <scheme val="minor"/>
      </rPr>
      <t xml:space="preserve"> =</t>
    </r>
  </si>
  <si>
    <t>w/D</t>
  </si>
  <si>
    <t>Curve:</t>
  </si>
  <si>
    <r>
      <t>A</t>
    </r>
    <r>
      <rPr>
        <vertAlign val="subscript"/>
        <sz val="10"/>
        <rFont val="Calibri"/>
        <family val="2"/>
        <scheme val="minor"/>
      </rPr>
      <t>t</t>
    </r>
    <r>
      <rPr>
        <sz val="10"/>
        <rFont val="Calibri"/>
        <family val="2"/>
        <scheme val="minor"/>
      </rPr>
      <t xml:space="preserve"> =</t>
    </r>
  </si>
  <si>
    <t xml:space="preserve">w/D = </t>
  </si>
  <si>
    <t>Curve 4</t>
  </si>
  <si>
    <t>Curve 2</t>
  </si>
  <si>
    <t>Curve 1</t>
  </si>
  <si>
    <t>w =</t>
  </si>
  <si>
    <t>Material Ult strength</t>
  </si>
  <si>
    <t xml:space="preserve">Ultimate Transverse Efficiency Factor </t>
  </si>
  <si>
    <r>
      <t>A</t>
    </r>
    <r>
      <rPr>
        <vertAlign val="subscript"/>
        <sz val="10"/>
        <rFont val="Calibri"/>
        <family val="2"/>
        <scheme val="minor"/>
      </rPr>
      <t>av</t>
    </r>
    <r>
      <rPr>
        <sz val="10"/>
        <rFont val="Calibri"/>
        <family val="2"/>
        <scheme val="minor"/>
      </rPr>
      <t>/A</t>
    </r>
    <r>
      <rPr>
        <vertAlign val="subscript"/>
        <sz val="10"/>
        <rFont val="Calibri"/>
        <family val="2"/>
        <scheme val="minor"/>
      </rPr>
      <t>br</t>
    </r>
    <r>
      <rPr>
        <sz val="10"/>
        <rFont val="Calibri"/>
        <family val="2"/>
        <scheme val="minor"/>
      </rPr>
      <t xml:space="preserve"> =</t>
    </r>
  </si>
  <si>
    <r>
      <t>A</t>
    </r>
    <r>
      <rPr>
        <vertAlign val="subscript"/>
        <sz val="10"/>
        <rFont val="Calibri"/>
        <family val="2"/>
        <scheme val="minor"/>
      </rPr>
      <t>av</t>
    </r>
    <r>
      <rPr>
        <sz val="10"/>
        <rFont val="Calibri"/>
        <family val="2"/>
        <scheme val="minor"/>
      </rPr>
      <t xml:space="preserve"> =</t>
    </r>
  </si>
  <si>
    <t>A₃ =</t>
  </si>
  <si>
    <t>Curve 13</t>
  </si>
  <si>
    <t>Curve 12</t>
  </si>
  <si>
    <t>Curve 11</t>
  </si>
  <si>
    <t>Curve 10</t>
  </si>
  <si>
    <t>Curve 9</t>
  </si>
  <si>
    <t>Curve 8</t>
  </si>
  <si>
    <t>Curve 7</t>
  </si>
  <si>
    <t>Curve 6</t>
  </si>
  <si>
    <t>Curve 5</t>
  </si>
  <si>
    <t>Curve 3</t>
  </si>
  <si>
    <t>1c</t>
  </si>
  <si>
    <t>1b</t>
  </si>
  <si>
    <t>1a</t>
  </si>
  <si>
    <t>A₂ =</t>
  </si>
  <si>
    <t>A₁ =</t>
  </si>
  <si>
    <t>Applied Ultimate Axial Load</t>
  </si>
  <si>
    <t>Applied Ultimate Transverse Load</t>
  </si>
  <si>
    <t>P₁ =</t>
  </si>
  <si>
    <t>P₂ =</t>
  </si>
  <si>
    <t>Shear Bearing Failure:</t>
  </si>
  <si>
    <t>Axial Tension Failure:</t>
  </si>
  <si>
    <t>Transverse Failure:</t>
  </si>
  <si>
    <r>
      <t>K</t>
    </r>
    <r>
      <rPr>
        <vertAlign val="subscript"/>
        <sz val="10"/>
        <rFont val="Calibri"/>
        <family val="2"/>
        <scheme val="minor"/>
      </rPr>
      <t>tru</t>
    </r>
    <r>
      <rPr>
        <sz val="10"/>
        <rFont val="Calibri"/>
        <family val="2"/>
        <scheme val="minor"/>
      </rPr>
      <t xml:space="preserve"> =</t>
    </r>
  </si>
  <si>
    <r>
      <t>P'</t>
    </r>
    <r>
      <rPr>
        <vertAlign val="subscript"/>
        <sz val="10"/>
        <rFont val="Calibri"/>
        <family val="2"/>
        <scheme val="minor"/>
      </rPr>
      <t>tru</t>
    </r>
    <r>
      <rPr>
        <sz val="10"/>
        <rFont val="Calibri"/>
        <family val="2"/>
        <scheme val="minor"/>
      </rPr>
      <t xml:space="preserve"> =</t>
    </r>
  </si>
  <si>
    <t>Material transverse ult. strength</t>
  </si>
  <si>
    <r>
      <t>K</t>
    </r>
    <r>
      <rPr>
        <vertAlign val="subscript"/>
        <sz val="10"/>
        <rFont val="Calibri"/>
        <family val="2"/>
        <scheme val="minor"/>
      </rPr>
      <t>t</t>
    </r>
    <r>
      <rPr>
        <sz val="10"/>
        <rFont val="Calibri"/>
        <family val="2"/>
        <scheme val="minor"/>
      </rPr>
      <t xml:space="preserve"> =</t>
    </r>
  </si>
  <si>
    <r>
      <t>P'</t>
    </r>
    <r>
      <rPr>
        <vertAlign val="subscript"/>
        <sz val="10"/>
        <rFont val="Calibri"/>
        <family val="2"/>
        <scheme val="minor"/>
      </rPr>
      <t>tu</t>
    </r>
    <r>
      <rPr>
        <sz val="10"/>
        <rFont val="Calibri"/>
        <family val="2"/>
        <scheme val="minor"/>
      </rPr>
      <t xml:space="preserve"> =</t>
    </r>
  </si>
  <si>
    <r>
      <t>R</t>
    </r>
    <r>
      <rPr>
        <vertAlign val="subscript"/>
        <sz val="10"/>
        <rFont val="Calibri"/>
        <family val="2"/>
        <scheme val="minor"/>
      </rPr>
      <t>a</t>
    </r>
    <r>
      <rPr>
        <sz val="10"/>
        <rFont val="Calibri"/>
        <family val="2"/>
        <scheme val="minor"/>
      </rPr>
      <t xml:space="preserve"> =</t>
    </r>
  </si>
  <si>
    <r>
      <t>R</t>
    </r>
    <r>
      <rPr>
        <vertAlign val="subscript"/>
        <sz val="10"/>
        <rFont val="Calibri"/>
        <family val="2"/>
        <scheme val="minor"/>
      </rPr>
      <t>tr</t>
    </r>
    <r>
      <rPr>
        <sz val="10"/>
        <rFont val="Calibri"/>
        <family val="2"/>
        <scheme val="minor"/>
      </rPr>
      <t xml:space="preserve"> =</t>
    </r>
  </si>
  <si>
    <t>1.15 Fitting Factor Included.</t>
  </si>
  <si>
    <t>(NASA TM X-73305, 1975 Fig B 2.1.0-3)</t>
  </si>
  <si>
    <t>Ultimate Axial Efficiency Factor</t>
  </si>
  <si>
    <t>(NASA TM X-73305, 1975 Fig B 2.1.0-4)</t>
  </si>
  <si>
    <t>(NASA TM X-73305, 1975 Fig B 2.2.0-4)</t>
  </si>
  <si>
    <t>Oblique Load Interaction (NASA TM X-73305, 1975 Section B 2.3.0)</t>
  </si>
  <si>
    <t>AA-SM-009-005</t>
  </si>
  <si>
    <t>LUG ANALYSIS - OBLIQUE STRENGTH</t>
  </si>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</sst>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4"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indexed="12"/>
      <name val="Calibri"/>
      <family val="2"/>
      <scheme val="minor"/>
    </font>
    <font>
      <sz val="10"/>
      <color rgb="FF0000FF"/>
      <name val="Calibri"/>
      <family val="2"/>
      <scheme val="minor"/>
    </font>
    <font>
      <b/>
      <sz val="10"/>
      <color indexed="8"/>
      <name val="Calibri"/>
      <family val="2"/>
      <scheme val="minor"/>
    </font>
    <font>
      <vertAlign val="subscript"/>
      <sz val="10"/>
      <name val="Calibri"/>
      <family val="2"/>
      <scheme val="minor"/>
    </font>
    <font>
      <u/>
      <sz val="10"/>
      <color theme="10"/>
      <name val="Arial"/>
      <family val="2"/>
    </font>
    <font>
      <u/>
      <sz val="10"/>
      <color theme="10"/>
      <name val="Calibri"/>
      <family val="2"/>
      <scheme val="minor"/>
    </font>
    <font>
      <u/>
      <sz val="10"/>
      <color theme="10"/>
      <name val="Arial"/>
      <family val="2"/>
    </font>
  </fonts>
  <fills count="3">
    <fill>
      <patternFill patternType="none"/>
    </fill>
    <fill>
      <patternFill patternType="gray125"/>
    </fill>
    <fill>
      <patternFill patternType="solid">
        <fgColor indexed="22"/>
        <bgColor indexed="64"/>
      </patternFill>
    </fill>
  </fills>
  <borders count="1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1" fillId="0" borderId="0" applyNumberFormat="0" applyFill="0" applyBorder="0" applyAlignment="0" applyProtection="0"/>
    <xf numFmtId="0" fontId="23" fillId="0" borderId="0" applyNumberFormat="0" applyFill="0" applyBorder="0" applyAlignment="0" applyProtection="0"/>
  </cellStyleXfs>
  <cellXfs count="189">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0" applyFont="1" applyBorder="1" applyProtection="1">
      <protection locked="0"/>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2"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3" fillId="0" borderId="0" xfId="2" applyFont="1"/>
    <xf numFmtId="0" fontId="14" fillId="0" borderId="0" xfId="0" applyFont="1" applyProtection="1">
      <protection locked="0"/>
    </xf>
    <xf numFmtId="0" fontId="15" fillId="0" borderId="0" xfId="0" applyFont="1" applyFill="1" applyAlignment="1" applyProtection="1">
      <alignment horizontal="center"/>
      <protection locked="0"/>
    </xf>
    <xf numFmtId="0" fontId="14" fillId="0" borderId="0" xfId="2" applyFont="1"/>
    <xf numFmtId="0" fontId="14" fillId="0" borderId="0" xfId="1" applyFont="1"/>
    <xf numFmtId="0" fontId="14" fillId="0" borderId="0" xfId="2" applyFont="1" applyAlignment="1">
      <alignment horizontal="right"/>
    </xf>
    <xf numFmtId="0" fontId="14" fillId="0" borderId="0" xfId="2" applyFont="1" applyAlignment="1">
      <alignment horizontal="left"/>
    </xf>
    <xf numFmtId="0" fontId="16" fillId="0" borderId="0" xfId="4" applyFont="1" applyBorder="1" applyAlignment="1" applyProtection="1">
      <alignment horizontal="center"/>
      <protection locked="0"/>
    </xf>
    <xf numFmtId="166" fontId="3" fillId="0" borderId="0" xfId="2" applyNumberFormat="1" applyFont="1" applyAlignment="1">
      <alignment horizontal="center"/>
    </xf>
    <xf numFmtId="0" fontId="3" fillId="0" borderId="0" xfId="1" applyFont="1" applyBorder="1"/>
    <xf numFmtId="0" fontId="3" fillId="0" borderId="0" xfId="0" applyFont="1" applyFill="1" applyBorder="1" applyAlignment="1" applyProtection="1">
      <alignment horizontal="right" vertical="center"/>
      <protection locked="0"/>
    </xf>
    <xf numFmtId="164" fontId="17"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2" fontId="3" fillId="0" borderId="0" xfId="0" applyNumberFormat="1" applyFont="1" applyFill="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5" fillId="0" borderId="0" xfId="0" applyFont="1" applyFill="1" applyBorder="1" applyAlignment="1" applyProtection="1">
      <alignment horizontal="right"/>
      <protection locked="0"/>
    </xf>
    <xf numFmtId="0" fontId="5" fillId="0" borderId="0" xfId="0" applyFont="1" applyProtection="1">
      <protection locked="0"/>
    </xf>
    <xf numFmtId="0" fontId="3" fillId="0" borderId="0" xfId="0" applyFont="1" applyProtection="1">
      <protection locked="0"/>
    </xf>
    <xf numFmtId="0" fontId="5" fillId="0" borderId="2" xfId="0" applyFont="1" applyFill="1" applyBorder="1"/>
    <xf numFmtId="0" fontId="5" fillId="0" borderId="6" xfId="0" applyFont="1" applyFill="1" applyBorder="1" applyAlignment="1">
      <alignment horizontal="center"/>
    </xf>
    <xf numFmtId="0" fontId="5" fillId="0" borderId="7" xfId="0" applyFont="1" applyFill="1" applyBorder="1" applyAlignment="1">
      <alignment horizontal="center"/>
    </xf>
    <xf numFmtId="0" fontId="5" fillId="0" borderId="9" xfId="0" applyFont="1" applyFill="1" applyBorder="1" applyAlignment="1">
      <alignment horizontal="center"/>
    </xf>
    <xf numFmtId="0" fontId="3" fillId="0" borderId="0" xfId="0" applyFont="1" applyBorder="1" applyAlignment="1">
      <alignment horizontal="center"/>
    </xf>
    <xf numFmtId="2" fontId="3" fillId="0" borderId="0" xfId="0" applyNumberFormat="1" applyFont="1" applyBorder="1" applyAlignment="1">
      <alignment horizontal="center"/>
    </xf>
    <xf numFmtId="2" fontId="3" fillId="0" borderId="0" xfId="0" applyNumberFormat="1" applyFont="1" applyFill="1" applyBorder="1" applyAlignment="1" applyProtection="1">
      <alignment horizontal="left" vertical="center"/>
      <protection locked="0"/>
    </xf>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0" xfId="0" applyFont="1" applyFill="1" applyProtection="1">
      <protection locked="0"/>
    </xf>
    <xf numFmtId="0" fontId="3" fillId="0" borderId="9" xfId="0" applyFont="1" applyFill="1" applyBorder="1" applyAlignment="1">
      <alignment horizontal="center"/>
    </xf>
    <xf numFmtId="0" fontId="3" fillId="0" borderId="0" xfId="0" applyFont="1" applyAlignment="1" applyProtection="1">
      <alignment horizontal="right"/>
      <protection locked="0"/>
    </xf>
    <xf numFmtId="0" fontId="18" fillId="0" borderId="0" xfId="0" applyFont="1" applyProtection="1">
      <protection locked="0"/>
    </xf>
    <xf numFmtId="2" fontId="3" fillId="0" borderId="0" xfId="0" applyNumberFormat="1" applyFont="1" applyAlignment="1">
      <alignment horizontal="center"/>
    </xf>
    <xf numFmtId="2" fontId="3" fillId="0" borderId="0" xfId="0" applyNumberFormat="1" applyFont="1"/>
    <xf numFmtId="0" fontId="3" fillId="0" borderId="0" xfId="0" applyFont="1" applyAlignment="1" applyProtection="1">
      <alignment horizontal="left" vertical="center"/>
      <protection locked="0"/>
    </xf>
    <xf numFmtId="0" fontId="19" fillId="0" borderId="0" xfId="0" applyFont="1" applyFill="1" applyBorder="1" applyAlignment="1">
      <alignment horizontal="left"/>
    </xf>
    <xf numFmtId="0" fontId="3" fillId="2" borderId="0" xfId="0" applyFont="1" applyFill="1"/>
    <xf numFmtId="0" fontId="3" fillId="2" borderId="0" xfId="0" applyFont="1" applyFill="1" applyAlignment="1">
      <alignment horizontal="center"/>
    </xf>
    <xf numFmtId="0" fontId="5" fillId="0" borderId="3" xfId="0" applyFont="1" applyBorder="1" applyAlignment="1">
      <alignment horizontal="center"/>
    </xf>
    <xf numFmtId="0" fontId="5" fillId="2" borderId="10" xfId="0" applyFont="1" applyFill="1" applyBorder="1" applyAlignment="1">
      <alignment horizontal="center"/>
    </xf>
    <xf numFmtId="0" fontId="5" fillId="2" borderId="8" xfId="0" applyFont="1" applyFill="1" applyBorder="1" applyAlignment="1">
      <alignment horizontal="center"/>
    </xf>
    <xf numFmtId="0" fontId="5" fillId="0" borderId="4" xfId="0" applyFont="1" applyBorder="1" applyAlignment="1">
      <alignment horizontal="center"/>
    </xf>
    <xf numFmtId="0" fontId="3" fillId="2" borderId="0" xfId="0" applyFont="1" applyFill="1" applyBorder="1" applyAlignment="1">
      <alignment horizontal="center"/>
    </xf>
    <xf numFmtId="2" fontId="3" fillId="2" borderId="5" xfId="0" applyNumberFormat="1" applyFont="1" applyFill="1" applyBorder="1" applyAlignment="1">
      <alignment horizontal="center"/>
    </xf>
    <xf numFmtId="2" fontId="3" fillId="2" borderId="0" xfId="0" applyNumberFormat="1" applyFont="1" applyFill="1" applyBorder="1" applyAlignment="1">
      <alignment horizontal="center"/>
    </xf>
    <xf numFmtId="0" fontId="3" fillId="2" borderId="5" xfId="0" applyFont="1" applyFill="1" applyBorder="1" applyAlignment="1">
      <alignment horizontal="center"/>
    </xf>
    <xf numFmtId="0" fontId="3" fillId="0" borderId="11" xfId="0" applyFont="1" applyBorder="1" applyAlignment="1">
      <alignment horizontal="center"/>
    </xf>
    <xf numFmtId="2" fontId="3" fillId="2" borderId="12" xfId="0" applyNumberFormat="1" applyFont="1" applyFill="1" applyBorder="1" applyAlignment="1">
      <alignment horizontal="center"/>
    </xf>
    <xf numFmtId="2" fontId="3" fillId="2" borderId="13" xfId="0" applyNumberFormat="1" applyFont="1" applyFill="1" applyBorder="1" applyAlignment="1">
      <alignment horizontal="center"/>
    </xf>
    <xf numFmtId="0" fontId="3" fillId="0" borderId="0" xfId="0" applyFont="1" applyFill="1"/>
    <xf numFmtId="0" fontId="3" fillId="0" borderId="0" xfId="0" applyFont="1" applyBorder="1" applyAlignment="1" applyProtection="1">
      <alignment vertical="center"/>
      <protection locked="0"/>
    </xf>
    <xf numFmtId="0" fontId="18" fillId="0" borderId="0" xfId="0" applyFont="1"/>
    <xf numFmtId="0" fontId="3" fillId="0" borderId="0" xfId="1" applyFont="1" applyAlignment="1">
      <alignment horizontal="right"/>
    </xf>
    <xf numFmtId="167" fontId="3" fillId="0" borderId="0" xfId="1" applyNumberFormat="1" applyFont="1"/>
    <xf numFmtId="2" fontId="3" fillId="0" borderId="0" xfId="2" applyNumberFormat="1" applyFont="1" applyAlignment="1">
      <alignment horizontal="left"/>
    </xf>
    <xf numFmtId="0" fontId="3" fillId="0" borderId="0" xfId="0" applyFont="1" applyAlignment="1">
      <alignment horizontal="right"/>
    </xf>
    <xf numFmtId="2" fontId="5" fillId="0" borderId="0" xfId="2" applyNumberFormat="1" applyFont="1" applyAlignment="1">
      <alignment horizontal="center"/>
    </xf>
    <xf numFmtId="0" fontId="2" fillId="0" borderId="0" xfId="0" applyFont="1" applyBorder="1"/>
    <xf numFmtId="0" fontId="2" fillId="0" borderId="0" xfId="0" applyFont="1" applyFill="1" applyBorder="1" applyAlignment="1">
      <alignment horizontal="center"/>
    </xf>
    <xf numFmtId="0" fontId="0" fillId="0" borderId="0" xfId="0" applyFill="1" applyBorder="1" applyAlignment="1">
      <alignment horizontal="center"/>
    </xf>
    <xf numFmtId="0" fontId="0" fillId="2" borderId="0" xfId="0" applyFill="1" applyBorder="1" applyAlignment="1">
      <alignment horizontal="center"/>
    </xf>
    <xf numFmtId="2" fontId="2" fillId="0" borderId="0" xfId="0" applyNumberFormat="1" applyFont="1" applyBorder="1" applyAlignment="1">
      <alignment horizontal="center"/>
    </xf>
    <xf numFmtId="0" fontId="2" fillId="0" borderId="0" xfId="0" applyFont="1" applyBorder="1" applyAlignment="1">
      <alignment horizontal="center"/>
    </xf>
    <xf numFmtId="0" fontId="2" fillId="2" borderId="0" xfId="0" applyFont="1" applyFill="1" applyBorder="1" applyAlignment="1">
      <alignment horizontal="center"/>
    </xf>
    <xf numFmtId="0" fontId="0" fillId="2" borderId="9" xfId="0" applyFill="1" applyBorder="1" applyAlignment="1">
      <alignment horizontal="center"/>
    </xf>
    <xf numFmtId="0" fontId="0" fillId="2" borderId="1" xfId="0" applyFont="1" applyFill="1" applyBorder="1" applyAlignment="1">
      <alignment horizontal="center"/>
    </xf>
    <xf numFmtId="0" fontId="0" fillId="2" borderId="1" xfId="0" applyFill="1" applyBorder="1" applyAlignment="1">
      <alignment horizontal="center"/>
    </xf>
    <xf numFmtId="0" fontId="2" fillId="0" borderId="1" xfId="0" applyFont="1" applyBorder="1" applyAlignment="1">
      <alignment horizontal="center"/>
    </xf>
    <xf numFmtId="0" fontId="0" fillId="2" borderId="2" xfId="0" applyFill="1" applyBorder="1" applyAlignment="1">
      <alignment horizontal="center"/>
    </xf>
    <xf numFmtId="0" fontId="2" fillId="2" borderId="6" xfId="0" applyFont="1" applyFill="1" applyBorder="1" applyAlignment="1">
      <alignment horizontal="center"/>
    </xf>
    <xf numFmtId="0" fontId="3" fillId="0" borderId="9" xfId="0" applyFont="1" applyBorder="1" applyAlignment="1">
      <alignment horizontal="center"/>
    </xf>
    <xf numFmtId="0" fontId="3" fillId="0" borderId="12" xfId="0" applyFont="1" applyBorder="1" applyAlignment="1">
      <alignment horizontal="center"/>
    </xf>
    <xf numFmtId="0" fontId="0" fillId="0" borderId="11" xfId="0" applyFill="1" applyBorder="1" applyAlignment="1">
      <alignment horizontal="center"/>
    </xf>
    <xf numFmtId="0" fontId="0" fillId="0" borderId="9" xfId="0" applyFill="1" applyBorder="1" applyAlignment="1">
      <alignment horizontal="center"/>
    </xf>
    <xf numFmtId="0" fontId="3" fillId="0" borderId="4" xfId="0" applyFont="1" applyBorder="1" applyAlignment="1">
      <alignment horizontal="center"/>
    </xf>
    <xf numFmtId="0" fontId="2" fillId="0" borderId="4" xfId="0" applyFont="1" applyFill="1" applyBorder="1" applyAlignment="1">
      <alignment horizontal="center"/>
    </xf>
    <xf numFmtId="0" fontId="2" fillId="0" borderId="1" xfId="0" applyFont="1" applyFill="1" applyBorder="1" applyAlignment="1">
      <alignment horizontal="center"/>
    </xf>
    <xf numFmtId="0" fontId="0" fillId="0" borderId="1" xfId="0" applyFont="1" applyFill="1" applyBorder="1" applyAlignment="1">
      <alignment horizontal="center"/>
    </xf>
    <xf numFmtId="0" fontId="3" fillId="0" borderId="0" xfId="0" applyFont="1" applyFill="1" applyBorder="1" applyAlignment="1">
      <alignment horizontal="center"/>
    </xf>
    <xf numFmtId="0" fontId="3" fillId="0" borderId="4" xfId="0" applyFont="1" applyFill="1" applyBorder="1" applyAlignment="1">
      <alignment horizontal="center"/>
    </xf>
    <xf numFmtId="0" fontId="0" fillId="0" borderId="4" xfId="0" applyFill="1" applyBorder="1" applyAlignment="1">
      <alignment horizontal="center"/>
    </xf>
    <xf numFmtId="0" fontId="0" fillId="0" borderId="1" xfId="0" applyFill="1" applyBorder="1" applyAlignment="1">
      <alignment horizontal="center"/>
    </xf>
    <xf numFmtId="0" fontId="6" fillId="0" borderId="0" xfId="0" applyFont="1" applyAlignment="1">
      <alignment horizontal="left"/>
    </xf>
    <xf numFmtId="0" fontId="0" fillId="0" borderId="2" xfId="0" applyFill="1" applyBorder="1" applyAlignment="1">
      <alignment horizontal="center"/>
    </xf>
    <xf numFmtId="0" fontId="3" fillId="0" borderId="10" xfId="0" applyFont="1" applyFill="1" applyBorder="1" applyAlignment="1">
      <alignment horizontal="center"/>
    </xf>
    <xf numFmtId="0" fontId="0" fillId="0" borderId="3" xfId="0" applyFill="1" applyBorder="1" applyAlignment="1">
      <alignment horizontal="center"/>
    </xf>
    <xf numFmtId="0" fontId="5" fillId="0" borderId="0" xfId="0" applyFont="1" applyFill="1" applyBorder="1" applyAlignment="1">
      <alignment horizontal="center"/>
    </xf>
    <xf numFmtId="0" fontId="5" fillId="0" borderId="1" xfId="0" applyFont="1" applyFill="1" applyBorder="1" applyAlignment="1">
      <alignment horizontal="center"/>
    </xf>
    <xf numFmtId="0" fontId="5" fillId="0" borderId="4" xfId="0" applyFont="1" applyFill="1" applyBorder="1" applyAlignment="1">
      <alignment horizontal="center"/>
    </xf>
    <xf numFmtId="0" fontId="5" fillId="0" borderId="11" xfId="0" applyFont="1" applyFill="1" applyBorder="1" applyAlignment="1">
      <alignment horizontal="center"/>
    </xf>
    <xf numFmtId="0" fontId="5" fillId="0" borderId="14" xfId="0" applyFont="1" applyFill="1" applyBorder="1" applyAlignment="1">
      <alignment horizontal="center"/>
    </xf>
    <xf numFmtId="0" fontId="3" fillId="0" borderId="0" xfId="0" applyFont="1" applyAlignment="1" applyProtection="1">
      <protection locked="0"/>
    </xf>
    <xf numFmtId="0" fontId="3" fillId="2" borderId="9" xfId="0" applyFont="1" applyFill="1" applyBorder="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164" fontId="3" fillId="0" borderId="9" xfId="0" applyNumberFormat="1" applyFont="1" applyFill="1" applyBorder="1" applyAlignment="1">
      <alignment horizontal="center"/>
    </xf>
    <xf numFmtId="164" fontId="3" fillId="0" borderId="13" xfId="0" applyNumberFormat="1" applyFont="1" applyBorder="1" applyAlignment="1">
      <alignment horizontal="center"/>
    </xf>
    <xf numFmtId="164" fontId="3" fillId="0" borderId="9" xfId="0" applyNumberFormat="1" applyFont="1" applyBorder="1" applyAlignment="1">
      <alignment horizontal="center"/>
    </xf>
    <xf numFmtId="164" fontId="3" fillId="0" borderId="11" xfId="0" applyNumberFormat="1" applyFont="1" applyFill="1" applyBorder="1" applyAlignment="1">
      <alignment horizontal="center"/>
    </xf>
    <xf numFmtId="164" fontId="3" fillId="2" borderId="9" xfId="0" applyNumberFormat="1" applyFont="1" applyFill="1" applyBorder="1" applyAlignment="1">
      <alignment horizontal="center"/>
    </xf>
    <xf numFmtId="164" fontId="3" fillId="0" borderId="1" xfId="0" applyNumberFormat="1" applyFont="1" applyFill="1" applyBorder="1" applyAlignment="1">
      <alignment horizontal="center"/>
    </xf>
    <xf numFmtId="164" fontId="3" fillId="0" borderId="5" xfId="0" applyNumberFormat="1" applyFont="1" applyBorder="1" applyAlignment="1">
      <alignment horizontal="center"/>
    </xf>
    <xf numFmtId="164" fontId="3" fillId="0" borderId="1" xfId="0" applyNumberFormat="1" applyFont="1" applyBorder="1" applyAlignment="1">
      <alignment horizontal="center"/>
    </xf>
    <xf numFmtId="164" fontId="3" fillId="0" borderId="4" xfId="0" applyNumberFormat="1" applyFont="1" applyFill="1" applyBorder="1" applyAlignment="1">
      <alignment horizontal="center"/>
    </xf>
    <xf numFmtId="164" fontId="3" fillId="0" borderId="5" xfId="0" applyNumberFormat="1" applyFont="1" applyFill="1" applyBorder="1" applyAlignment="1">
      <alignment horizontal="center"/>
    </xf>
    <xf numFmtId="164" fontId="3" fillId="2" borderId="1" xfId="0" applyNumberFormat="1" applyFont="1" applyFill="1" applyBorder="1" applyAlignment="1">
      <alignment horizontal="center"/>
    </xf>
    <xf numFmtId="164" fontId="3" fillId="2" borderId="4" xfId="0" applyNumberFormat="1" applyFont="1" applyFill="1" applyBorder="1" applyAlignment="1">
      <alignment horizontal="center"/>
    </xf>
    <xf numFmtId="164" fontId="3" fillId="0" borderId="0" xfId="0" applyNumberFormat="1" applyFont="1"/>
    <xf numFmtId="164" fontId="3" fillId="0" borderId="4" xfId="0" applyNumberFormat="1" applyFont="1" applyBorder="1" applyAlignment="1">
      <alignment horizontal="center"/>
    </xf>
    <xf numFmtId="0" fontId="3" fillId="0" borderId="2" xfId="0" applyFont="1" applyBorder="1"/>
    <xf numFmtId="164" fontId="3" fillId="0" borderId="2" xfId="0" applyNumberFormat="1" applyFont="1" applyFill="1" applyBorder="1" applyAlignment="1">
      <alignment horizontal="center"/>
    </xf>
    <xf numFmtId="164" fontId="3" fillId="2" borderId="2" xfId="0" applyNumberFormat="1" applyFont="1" applyFill="1" applyBorder="1" applyAlignment="1">
      <alignment horizontal="center"/>
    </xf>
    <xf numFmtId="164" fontId="3" fillId="0" borderId="3" xfId="0" applyNumberFormat="1" applyFont="1" applyFill="1" applyBorder="1" applyAlignment="1">
      <alignment horizontal="center"/>
    </xf>
    <xf numFmtId="164" fontId="3" fillId="2" borderId="3" xfId="0" applyNumberFormat="1" applyFont="1" applyFill="1" applyBorder="1" applyAlignment="1">
      <alignment horizontal="center"/>
    </xf>
    <xf numFmtId="164" fontId="3" fillId="0" borderId="0" xfId="0" applyNumberFormat="1" applyFont="1" applyFill="1" applyBorder="1" applyAlignment="1" applyProtection="1">
      <alignment horizontal="right" vertical="center"/>
      <protection locked="0"/>
    </xf>
    <xf numFmtId="0" fontId="5" fillId="0" borderId="0" xfId="0" applyFont="1"/>
    <xf numFmtId="164" fontId="14" fillId="0" borderId="0" xfId="0" applyNumberFormat="1" applyFont="1"/>
    <xf numFmtId="164" fontId="3" fillId="0" borderId="0" xfId="1" applyNumberFormat="1" applyFont="1" applyAlignment="1">
      <alignment horizontal="left"/>
    </xf>
    <xf numFmtId="0" fontId="5" fillId="0" borderId="0" xfId="1" applyFont="1"/>
    <xf numFmtId="1" fontId="5" fillId="0" borderId="0" xfId="2" applyNumberFormat="1" applyFont="1" applyAlignment="1">
      <alignment horizontal="right"/>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22" fillId="0" borderId="0" xfId="8" applyFont="1" applyBorder="1" applyAlignment="1" applyProtection="1">
      <alignment horizontal="center"/>
    </xf>
    <xf numFmtId="0" fontId="23" fillId="0" borderId="0" xfId="8"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22" fillId="0" borderId="0" xfId="7" applyFont="1" applyAlignment="1">
      <alignment horizontal="left"/>
    </xf>
    <xf numFmtId="0" fontId="10" fillId="0" borderId="0" xfId="4" applyAlignment="1" applyProtection="1">
      <alignment horizontal="left"/>
    </xf>
  </cellXfs>
  <cellStyles count="9">
    <cellStyle name="Hyperlink" xfId="7" builtinId="8"/>
    <cellStyle name="Hyperlink 2" xfId="4"/>
    <cellStyle name="Hyperlink 3" xfId="8"/>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technical-library/donate/" TargetMode="External"/><Relationship Id="rId3" Type="http://schemas.openxmlformats.org/officeDocument/2006/relationships/image" Target="../media/image6.png"/><Relationship Id="rId7"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hyperlink" Target="http://www.abbottaerospace.com/" TargetMode="External"/><Relationship Id="rId5" Type="http://schemas.openxmlformats.org/officeDocument/2006/relationships/image" Target="../media/image8.png"/><Relationship Id="rId4" Type="http://schemas.openxmlformats.org/officeDocument/2006/relationships/image" Target="../media/image7.png"/><Relationship Id="rId9"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104776</xdr:colOff>
      <xdr:row>14</xdr:row>
      <xdr:rowOff>163293</xdr:rowOff>
    </xdr:from>
    <xdr:to>
      <xdr:col>2</xdr:col>
      <xdr:colOff>419100</xdr:colOff>
      <xdr:row>23</xdr:row>
      <xdr:rowOff>106143</xdr:rowOff>
    </xdr:to>
    <xdr:grpSp>
      <xdr:nvGrpSpPr>
        <xdr:cNvPr id="51" name="Group 50"/>
        <xdr:cNvGrpSpPr/>
      </xdr:nvGrpSpPr>
      <xdr:grpSpPr>
        <a:xfrm>
          <a:off x="104776" y="2623464"/>
          <a:ext cx="1577067" cy="1553936"/>
          <a:chOff x="95250" y="2296886"/>
          <a:chExt cx="2152650" cy="2090057"/>
        </a:xfrm>
      </xdr:grpSpPr>
      <xdr:pic>
        <xdr:nvPicPr>
          <xdr:cNvPr id="49" name="Picture 48"/>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3075" b="-800"/>
          <a:stretch/>
        </xdr:blipFill>
        <xdr:spPr bwMode="auto">
          <a:xfrm>
            <a:off x="95250" y="2296886"/>
            <a:ext cx="2119994" cy="2057400"/>
          </a:xfrm>
          <a:prstGeom prst="rect">
            <a:avLst/>
          </a:prstGeom>
          <a:noFill/>
          <a:ln>
            <a:noFill/>
          </a:ln>
        </xdr:spPr>
      </xdr:pic>
      <xdr:sp macro="" textlink="">
        <xdr:nvSpPr>
          <xdr:cNvPr id="50" name="Rectangle 49"/>
          <xdr:cNvSpPr/>
        </xdr:nvSpPr>
        <xdr:spPr bwMode="auto">
          <a:xfrm>
            <a:off x="1328057" y="4016829"/>
            <a:ext cx="919843" cy="370114"/>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clientData/>
  </xdr:twoCellAnchor>
  <xdr:twoCellAnchor>
    <xdr:from>
      <xdr:col>3</xdr:col>
      <xdr:colOff>0</xdr:colOff>
      <xdr:row>25</xdr:row>
      <xdr:rowOff>9524</xdr:rowOff>
    </xdr:from>
    <xdr:to>
      <xdr:col>5</xdr:col>
      <xdr:colOff>194643</xdr:colOff>
      <xdr:row>26</xdr:row>
      <xdr:rowOff>9524</xdr:rowOff>
    </xdr:to>
    <xdr:pic>
      <xdr:nvPicPr>
        <xdr:cNvPr id="53" name="Picture 52"/>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66900" y="3657599"/>
          <a:ext cx="1413843"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39714</xdr:colOff>
      <xdr:row>31</xdr:row>
      <xdr:rowOff>161836</xdr:rowOff>
    </xdr:from>
    <xdr:to>
      <xdr:col>4</xdr:col>
      <xdr:colOff>361950</xdr:colOff>
      <xdr:row>32</xdr:row>
      <xdr:rowOff>159356</xdr:rowOff>
    </xdr:to>
    <xdr:pic>
      <xdr:nvPicPr>
        <xdr:cNvPr id="58" name="Picture 57"/>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06614" y="5486311"/>
          <a:ext cx="931836" cy="159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474034</xdr:colOff>
      <xdr:row>14</xdr:row>
      <xdr:rowOff>125753</xdr:rowOff>
    </xdr:from>
    <xdr:ext cx="1640516" cy="1038170"/>
    <xdr:pic>
      <xdr:nvPicPr>
        <xdr:cNvPr id="69" name="Picture 68"/>
        <xdr:cNvPicPr>
          <a:picLocks noChangeAspect="1"/>
        </xdr:cNvPicPr>
      </xdr:nvPicPr>
      <xdr:blipFill rotWithShape="1">
        <a:blip xmlns:r="http://schemas.openxmlformats.org/officeDocument/2006/relationships" r:embed="rId4"/>
        <a:srcRect b="15090"/>
        <a:stretch/>
      </xdr:blipFill>
      <xdr:spPr>
        <a:xfrm>
          <a:off x="1736777" y="2585924"/>
          <a:ext cx="1640516" cy="1038170"/>
        </a:xfrm>
        <a:prstGeom prst="rect">
          <a:avLst/>
        </a:prstGeom>
      </xdr:spPr>
    </xdr:pic>
    <xdr:clientData/>
  </xdr:oneCellAnchor>
  <xdr:twoCellAnchor>
    <xdr:from>
      <xdr:col>3</xdr:col>
      <xdr:colOff>74650</xdr:colOff>
      <xdr:row>41</xdr:row>
      <xdr:rowOff>6187</xdr:rowOff>
    </xdr:from>
    <xdr:to>
      <xdr:col>5</xdr:col>
      <xdr:colOff>57077</xdr:colOff>
      <xdr:row>41</xdr:row>
      <xdr:rowOff>159835</xdr:rowOff>
    </xdr:to>
    <xdr:pic>
      <xdr:nvPicPr>
        <xdr:cNvPr id="86" name="Picture 85"/>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41550" y="7492837"/>
          <a:ext cx="1201627" cy="15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9" name="Group 8"/>
        <xdr:cNvGrpSpPr/>
      </xdr:nvGrpSpPr>
      <xdr:grpSpPr>
        <a:xfrm>
          <a:off x="40822" y="1260021"/>
          <a:ext cx="2562224" cy="626929"/>
          <a:chOff x="40822" y="1267641"/>
          <a:chExt cx="2570933" cy="630195"/>
        </a:xfrm>
      </xdr:grpSpPr>
      <xdr:pic>
        <xdr:nvPicPr>
          <xdr:cNvPr id="10" name="Picture 9">
            <a:hlinkClick xmlns:r="http://schemas.openxmlformats.org/officeDocument/2006/relationships" r:id="rId6"/>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1" name="Picture 10" descr="PayPal - The safer, easier way to pay online!">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AA-99/General%20Design/Spreadsheets%20for%20Design%20and%20Stress/AA-SM-XXX/AA-SM-009-001%20Lugs%20Under%20Oblique%20Loading.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Sheet1"/>
      <sheetName val="Proforma"/>
      <sheetName val="Curves"/>
      <sheetName val="MIL-HDBK-5J"/>
      <sheetName val="Macro1"/>
    </sheetNames>
    <sheetDataSet>
      <sheetData sheetId="0"/>
      <sheetData sheetId="1"/>
      <sheetData sheetId="2"/>
      <sheetData sheetId="3"/>
      <sheetData sheetId="4"/>
      <sheetData sheetId="5">
        <row r="1">
          <cell r="A1" t="str">
            <v>LUG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nasa-astronautic-structures-manual-volumes-i-ii-iii"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56" customWidth="1"/>
    <col min="18" max="19" width="5.33203125" style="57" customWidth="1"/>
    <col min="20" max="25" width="9.109375" style="59"/>
    <col min="26" max="16384" width="9.109375" style="20"/>
  </cols>
  <sheetData>
    <row r="1" spans="1:25" s="5" customFormat="1" ht="13.8" x14ac:dyDescent="0.3">
      <c r="A1" s="1"/>
      <c r="B1" s="2" t="s">
        <v>1</v>
      </c>
      <c r="C1" s="3" t="s">
        <v>0</v>
      </c>
      <c r="D1" s="1"/>
      <c r="E1" s="1"/>
      <c r="F1" s="2" t="s">
        <v>11</v>
      </c>
      <c r="G1" s="4"/>
      <c r="H1" s="1"/>
      <c r="I1" s="1"/>
      <c r="J1" s="1"/>
      <c r="K1" s="1"/>
      <c r="M1" s="52"/>
      <c r="N1" s="52"/>
      <c r="O1" s="52"/>
      <c r="P1" s="52"/>
      <c r="Q1" s="52"/>
      <c r="R1" s="52"/>
      <c r="S1" s="52"/>
      <c r="T1" s="53"/>
      <c r="U1" s="53"/>
      <c r="V1" s="53"/>
      <c r="W1" s="54"/>
      <c r="X1" s="55"/>
      <c r="Y1" s="53"/>
    </row>
    <row r="2" spans="1:25" s="5" customFormat="1" ht="13.8" x14ac:dyDescent="0.3">
      <c r="A2" s="1"/>
      <c r="B2" s="2" t="s">
        <v>2</v>
      </c>
      <c r="C2" s="3" t="s">
        <v>10</v>
      </c>
      <c r="D2" s="1"/>
      <c r="E2" s="1"/>
      <c r="F2" s="2" t="s">
        <v>5</v>
      </c>
      <c r="G2" s="3"/>
      <c r="H2" s="1"/>
      <c r="I2" s="1"/>
      <c r="J2" s="1"/>
      <c r="K2" s="1"/>
      <c r="M2" s="52"/>
      <c r="N2" s="52"/>
      <c r="O2" s="52"/>
      <c r="P2" s="52"/>
      <c r="Q2" s="52"/>
      <c r="R2" s="52"/>
      <c r="S2" s="52"/>
      <c r="T2" s="53"/>
      <c r="U2" s="53"/>
      <c r="V2" s="53"/>
      <c r="W2" s="54"/>
      <c r="X2" s="55"/>
      <c r="Y2" s="53"/>
    </row>
    <row r="3" spans="1:25" s="5" customFormat="1" ht="13.8" x14ac:dyDescent="0.3">
      <c r="A3" s="1"/>
      <c r="B3" s="2" t="s">
        <v>3</v>
      </c>
      <c r="C3" s="10"/>
      <c r="D3" s="1"/>
      <c r="E3" s="1"/>
      <c r="F3" s="2" t="s">
        <v>4</v>
      </c>
      <c r="G3" s="3"/>
      <c r="H3" s="1"/>
      <c r="I3" s="1"/>
      <c r="J3" s="1"/>
      <c r="K3" s="1"/>
      <c r="M3" s="52"/>
      <c r="N3" s="52"/>
      <c r="O3" s="52"/>
      <c r="P3" s="52"/>
      <c r="Q3" s="52"/>
      <c r="R3" s="52"/>
      <c r="S3" s="52"/>
      <c r="T3" s="53"/>
      <c r="U3" s="53"/>
      <c r="V3" s="53"/>
      <c r="W3" s="54"/>
      <c r="X3" s="55"/>
      <c r="Y3" s="53"/>
    </row>
    <row r="4" spans="1:25" s="5" customFormat="1" ht="13.8" x14ac:dyDescent="0.3">
      <c r="A4" s="1"/>
      <c r="B4" s="2" t="s">
        <v>23</v>
      </c>
      <c r="C4" s="4"/>
      <c r="D4" s="1"/>
      <c r="E4" s="1"/>
      <c r="F4" s="2" t="s">
        <v>24</v>
      </c>
      <c r="G4" s="3" t="s">
        <v>25</v>
      </c>
      <c r="H4" s="1"/>
      <c r="I4" s="1"/>
      <c r="J4" s="1"/>
      <c r="K4" s="1"/>
      <c r="M4" s="52"/>
      <c r="N4" s="52"/>
      <c r="O4" s="52"/>
      <c r="P4" s="52"/>
      <c r="Q4" s="56"/>
      <c r="R4" s="57"/>
      <c r="S4" s="57"/>
      <c r="T4" s="53"/>
      <c r="U4" s="53"/>
      <c r="V4" s="53"/>
      <c r="W4" s="54"/>
      <c r="X4" s="55"/>
      <c r="Y4" s="53"/>
    </row>
    <row r="5" spans="1:25" s="5" customFormat="1" ht="13.8" x14ac:dyDescent="0.3">
      <c r="A5" s="1"/>
      <c r="B5" s="2" t="s">
        <v>26</v>
      </c>
      <c r="C5" s="4"/>
      <c r="D5" s="1"/>
      <c r="E5" s="2"/>
      <c r="F5" s="1"/>
      <c r="G5" s="1"/>
      <c r="H5" s="1"/>
      <c r="I5" s="1"/>
      <c r="J5" s="1"/>
      <c r="K5" s="1"/>
      <c r="M5" s="52"/>
      <c r="N5" s="52"/>
      <c r="O5" s="52"/>
      <c r="P5" s="52"/>
      <c r="Q5" s="56"/>
      <c r="R5" s="57"/>
      <c r="S5" s="57"/>
      <c r="T5" s="53"/>
      <c r="U5" s="53"/>
      <c r="V5" s="53"/>
      <c r="W5" s="54"/>
      <c r="X5" s="55"/>
      <c r="Y5" s="53"/>
    </row>
    <row r="6" spans="1:25" s="5" customFormat="1" ht="13.8" x14ac:dyDescent="0.3">
      <c r="A6" s="1"/>
      <c r="B6" s="1" t="s">
        <v>7</v>
      </c>
      <c r="C6" s="13"/>
      <c r="D6" s="1"/>
      <c r="E6" s="1"/>
      <c r="F6" s="1"/>
      <c r="G6" s="1"/>
      <c r="H6" s="1"/>
      <c r="I6" s="1"/>
      <c r="J6" s="1"/>
      <c r="K6" s="1"/>
      <c r="M6" s="52"/>
      <c r="N6" s="52"/>
      <c r="O6" s="52"/>
      <c r="P6" s="52"/>
      <c r="Q6" s="56"/>
      <c r="R6" s="57"/>
      <c r="S6" s="57"/>
      <c r="T6" s="53"/>
      <c r="U6" s="53"/>
      <c r="V6" s="53"/>
      <c r="W6" s="54"/>
      <c r="X6" s="55"/>
      <c r="Y6" s="53"/>
    </row>
    <row r="7" spans="1:25" s="5" customFormat="1" ht="13.8" x14ac:dyDescent="0.3">
      <c r="A7" s="1"/>
      <c r="B7" s="1"/>
      <c r="C7" s="1"/>
      <c r="D7" s="1"/>
      <c r="E7" s="1"/>
      <c r="F7" s="1"/>
      <c r="G7" s="1"/>
      <c r="H7" s="1"/>
      <c r="I7" s="1"/>
      <c r="J7" s="1"/>
      <c r="K7" s="1"/>
      <c r="M7" s="52"/>
      <c r="N7" s="52"/>
      <c r="O7" s="52"/>
      <c r="P7" s="52"/>
      <c r="Q7" s="56"/>
      <c r="R7" s="57"/>
      <c r="S7" s="57"/>
      <c r="T7" s="53"/>
      <c r="U7" s="53"/>
      <c r="V7" s="53"/>
      <c r="W7" s="54"/>
      <c r="X7" s="55"/>
      <c r="Y7" s="53"/>
    </row>
    <row r="8" spans="1:25" s="5" customFormat="1" ht="13.8" x14ac:dyDescent="0.3">
      <c r="A8" s="14"/>
      <c r="E8" s="7"/>
      <c r="F8" s="8"/>
      <c r="H8" s="15"/>
      <c r="I8" s="7"/>
      <c r="J8" s="16"/>
      <c r="K8" s="17"/>
      <c r="L8" s="18"/>
      <c r="M8" s="52"/>
      <c r="N8" s="52"/>
      <c r="O8" s="52"/>
      <c r="P8" s="52"/>
      <c r="Q8" s="56"/>
      <c r="R8" s="57"/>
      <c r="S8" s="57"/>
      <c r="T8" s="53"/>
      <c r="U8" s="53"/>
      <c r="V8" s="53"/>
      <c r="W8" s="53"/>
      <c r="X8" s="53"/>
      <c r="Y8" s="53"/>
    </row>
    <row r="9" spans="1:25" s="5" customFormat="1" ht="13.8" x14ac:dyDescent="0.3">
      <c r="E9" s="7"/>
      <c r="F9" s="15"/>
      <c r="H9" s="15"/>
      <c r="I9" s="7"/>
      <c r="J9" s="17"/>
      <c r="K9" s="17"/>
      <c r="L9" s="18"/>
      <c r="M9" s="52"/>
      <c r="N9" s="52"/>
      <c r="O9" s="52"/>
      <c r="P9" s="52"/>
      <c r="Q9" s="56"/>
      <c r="R9" s="57"/>
      <c r="S9" s="57"/>
      <c r="T9" s="53"/>
      <c r="U9" s="53"/>
      <c r="V9" s="53"/>
      <c r="W9" s="53"/>
      <c r="X9" s="53"/>
      <c r="Y9" s="53"/>
    </row>
    <row r="10" spans="1:25" s="5" customFormat="1" ht="13.8" x14ac:dyDescent="0.3">
      <c r="E10" s="7"/>
      <c r="F10" s="15"/>
      <c r="H10" s="15"/>
      <c r="I10" s="7"/>
      <c r="J10" s="8"/>
      <c r="K10" s="15"/>
      <c r="L10" s="18"/>
      <c r="M10" s="52"/>
      <c r="N10" s="52"/>
      <c r="O10" s="52"/>
      <c r="P10" s="52"/>
      <c r="Q10" s="56"/>
      <c r="R10" s="57"/>
      <c r="S10" s="57"/>
      <c r="T10" s="53"/>
      <c r="U10" s="53"/>
      <c r="V10" s="53"/>
      <c r="W10" s="53"/>
      <c r="X10" s="53"/>
      <c r="Y10" s="53"/>
    </row>
    <row r="11" spans="1:25" s="5" customFormat="1" ht="13.8" x14ac:dyDescent="0.3">
      <c r="E11" s="7"/>
      <c r="F11" s="15"/>
      <c r="I11" s="19"/>
      <c r="J11" s="8"/>
      <c r="M11" s="52"/>
      <c r="N11" s="52"/>
      <c r="O11" s="52"/>
      <c r="P11" s="52"/>
      <c r="Q11" s="52"/>
      <c r="R11" s="52"/>
      <c r="S11" s="52"/>
      <c r="T11" s="53"/>
      <c r="U11" s="53"/>
      <c r="V11" s="53"/>
      <c r="W11" s="53"/>
      <c r="X11" s="53"/>
      <c r="Y11" s="53"/>
    </row>
    <row r="12" spans="1:25" x14ac:dyDescent="0.3">
      <c r="C12" s="21" t="str">
        <f>G4</f>
        <v>IMPORTANT INFORMATION</v>
      </c>
      <c r="M12" s="52"/>
      <c r="N12" s="52"/>
      <c r="O12" s="52"/>
      <c r="P12" s="52"/>
      <c r="Q12" s="58"/>
      <c r="R12" s="58"/>
      <c r="S12" s="58"/>
    </row>
    <row r="13" spans="1:25" s="5" customFormat="1" ht="13.8" x14ac:dyDescent="0.3">
      <c r="M13" s="52"/>
      <c r="N13" s="52"/>
      <c r="O13" s="52"/>
      <c r="P13" s="52"/>
      <c r="Q13" s="52"/>
      <c r="R13" s="52"/>
      <c r="S13" s="52"/>
      <c r="T13" s="53"/>
      <c r="U13" s="53"/>
      <c r="V13" s="53"/>
      <c r="W13" s="53"/>
      <c r="X13" s="53"/>
      <c r="Y13" s="53"/>
    </row>
    <row r="14" spans="1:25" s="5" customFormat="1" ht="13.8" x14ac:dyDescent="0.3">
      <c r="B14" s="22" t="s">
        <v>30</v>
      </c>
      <c r="M14" s="52"/>
      <c r="N14" s="52"/>
      <c r="O14" s="52"/>
      <c r="P14" s="52"/>
      <c r="Q14" s="52"/>
      <c r="R14" s="52"/>
      <c r="S14" s="52"/>
      <c r="T14" s="53"/>
      <c r="U14" s="53"/>
      <c r="V14" s="53"/>
      <c r="W14" s="53"/>
      <c r="X14" s="53"/>
      <c r="Y14" s="53"/>
    </row>
    <row r="15" spans="1:25" s="5" customFormat="1" ht="13.8" x14ac:dyDescent="0.3">
      <c r="A15" s="23"/>
      <c r="K15" s="23"/>
      <c r="M15" s="56"/>
      <c r="N15" s="56"/>
      <c r="O15" s="56"/>
      <c r="P15" s="56"/>
      <c r="Q15" s="56"/>
      <c r="R15" s="57"/>
      <c r="S15" s="57"/>
      <c r="T15" s="53"/>
      <c r="U15" s="53"/>
      <c r="V15" s="53"/>
      <c r="W15" s="53"/>
      <c r="X15" s="53"/>
      <c r="Y15" s="53"/>
    </row>
    <row r="16" spans="1:25" s="5" customFormat="1" ht="12.75" customHeight="1" x14ac:dyDescent="0.3">
      <c r="B16" s="184" t="s">
        <v>37</v>
      </c>
      <c r="C16" s="184"/>
      <c r="D16" s="184"/>
      <c r="E16" s="184"/>
      <c r="F16" s="184"/>
      <c r="G16" s="184"/>
      <c r="H16" s="184"/>
      <c r="I16" s="184"/>
      <c r="J16" s="184"/>
      <c r="M16" s="56"/>
      <c r="N16" s="56"/>
      <c r="O16" s="56"/>
      <c r="P16" s="56"/>
      <c r="Q16" s="56"/>
      <c r="R16" s="57"/>
      <c r="S16" s="57"/>
      <c r="T16" s="53"/>
      <c r="U16" s="53"/>
      <c r="V16" s="53"/>
      <c r="W16" s="53"/>
      <c r="X16" s="53"/>
      <c r="Y16" s="53"/>
    </row>
    <row r="17" spans="1:25" s="5" customFormat="1" ht="13.8" x14ac:dyDescent="0.3">
      <c r="B17" s="184"/>
      <c r="C17" s="184"/>
      <c r="D17" s="184"/>
      <c r="E17" s="184"/>
      <c r="F17" s="184"/>
      <c r="G17" s="184"/>
      <c r="H17" s="184"/>
      <c r="I17" s="184"/>
      <c r="J17" s="184"/>
      <c r="M17" s="56"/>
      <c r="N17" s="56"/>
      <c r="O17" s="56"/>
      <c r="P17" s="56"/>
      <c r="Q17" s="56"/>
      <c r="R17" s="57"/>
      <c r="S17" s="57"/>
      <c r="T17" s="53"/>
      <c r="U17" s="53"/>
      <c r="V17" s="53"/>
      <c r="W17" s="53"/>
      <c r="X17" s="53"/>
      <c r="Y17" s="53"/>
    </row>
    <row r="18" spans="1:25" s="5" customFormat="1" ht="13.8" x14ac:dyDescent="0.3">
      <c r="B18" s="184"/>
      <c r="C18" s="184"/>
      <c r="D18" s="184"/>
      <c r="E18" s="184"/>
      <c r="F18" s="184"/>
      <c r="G18" s="184"/>
      <c r="H18" s="184"/>
      <c r="I18" s="184"/>
      <c r="J18" s="184"/>
      <c r="M18" s="56"/>
      <c r="N18" s="56"/>
      <c r="O18" s="56"/>
      <c r="P18" s="56"/>
      <c r="Q18" s="56"/>
      <c r="R18" s="57"/>
      <c r="S18" s="57"/>
      <c r="T18" s="53"/>
      <c r="U18" s="53"/>
      <c r="V18" s="53"/>
      <c r="W18" s="53"/>
      <c r="X18" s="53"/>
      <c r="Y18" s="53"/>
    </row>
    <row r="19" spans="1:25" s="5" customFormat="1" ht="13.8" x14ac:dyDescent="0.3">
      <c r="B19" s="184"/>
      <c r="C19" s="184"/>
      <c r="D19" s="184"/>
      <c r="E19" s="184"/>
      <c r="F19" s="184"/>
      <c r="G19" s="184"/>
      <c r="H19" s="184"/>
      <c r="I19" s="184"/>
      <c r="J19" s="184"/>
      <c r="M19" s="56"/>
      <c r="N19" s="56"/>
      <c r="O19" s="56"/>
      <c r="P19" s="56"/>
      <c r="Q19" s="56"/>
      <c r="R19" s="57"/>
      <c r="S19" s="57"/>
      <c r="T19" s="53"/>
      <c r="U19" s="53"/>
      <c r="V19" s="53"/>
      <c r="W19" s="53"/>
      <c r="X19" s="53"/>
      <c r="Y19" s="53"/>
    </row>
    <row r="20" spans="1:25" s="5" customFormat="1" ht="12.75" customHeight="1" x14ac:dyDescent="0.3">
      <c r="A20" s="23"/>
      <c r="B20" s="24" t="s">
        <v>35</v>
      </c>
      <c r="C20" s="23"/>
      <c r="D20" s="23"/>
      <c r="E20" s="23"/>
      <c r="F20" s="23"/>
      <c r="G20" s="23"/>
      <c r="H20" s="23"/>
      <c r="I20" s="23"/>
      <c r="J20" s="23"/>
      <c r="K20" s="23"/>
      <c r="M20" s="56"/>
      <c r="N20" s="56"/>
      <c r="O20" s="56"/>
      <c r="P20" s="56"/>
      <c r="Q20" s="56"/>
      <c r="R20" s="57"/>
      <c r="S20" s="57"/>
      <c r="T20" s="53"/>
      <c r="U20" s="53"/>
      <c r="V20" s="53"/>
      <c r="W20" s="53"/>
      <c r="X20" s="53"/>
      <c r="Y20" s="53"/>
    </row>
    <row r="21" spans="1:25" s="5" customFormat="1" ht="13.8" x14ac:dyDescent="0.3">
      <c r="A21" s="23"/>
      <c r="B21" s="24"/>
      <c r="C21" s="23"/>
      <c r="D21" s="23"/>
      <c r="E21" s="23"/>
      <c r="F21" s="23"/>
      <c r="G21" s="23"/>
      <c r="H21" s="23"/>
      <c r="I21" s="23"/>
      <c r="J21" s="23"/>
      <c r="K21" s="23"/>
      <c r="M21" s="56"/>
      <c r="N21" s="56"/>
      <c r="O21" s="56"/>
      <c r="P21" s="56"/>
      <c r="Q21" s="56"/>
      <c r="R21" s="57"/>
      <c r="S21" s="57"/>
      <c r="T21" s="53"/>
      <c r="U21" s="53"/>
      <c r="V21" s="53"/>
      <c r="W21" s="53"/>
      <c r="X21" s="53"/>
      <c r="Y21" s="53"/>
    </row>
    <row r="22" spans="1:25" s="5" customFormat="1" ht="13.8" x14ac:dyDescent="0.3">
      <c r="A22" s="23"/>
      <c r="B22" s="184" t="s">
        <v>38</v>
      </c>
      <c r="C22" s="184"/>
      <c r="D22" s="184"/>
      <c r="E22" s="184"/>
      <c r="F22" s="184"/>
      <c r="G22" s="184"/>
      <c r="H22" s="184"/>
      <c r="I22" s="184"/>
      <c r="J22" s="184"/>
      <c r="K22" s="23"/>
      <c r="M22" s="56"/>
      <c r="N22" s="56"/>
      <c r="O22" s="56"/>
      <c r="P22" s="56"/>
      <c r="Q22" s="56"/>
      <c r="R22" s="57"/>
      <c r="S22" s="57"/>
      <c r="T22" s="53"/>
      <c r="U22" s="53"/>
      <c r="V22" s="53"/>
      <c r="W22" s="53"/>
      <c r="X22" s="53"/>
      <c r="Y22" s="53"/>
    </row>
    <row r="23" spans="1:25" s="5" customFormat="1" ht="13.8" x14ac:dyDescent="0.3">
      <c r="A23" s="23"/>
      <c r="B23" s="184"/>
      <c r="C23" s="184"/>
      <c r="D23" s="184"/>
      <c r="E23" s="184"/>
      <c r="F23" s="184"/>
      <c r="G23" s="184"/>
      <c r="H23" s="184"/>
      <c r="I23" s="184"/>
      <c r="J23" s="184"/>
      <c r="K23" s="23"/>
      <c r="M23" s="56"/>
      <c r="N23" s="56"/>
      <c r="O23" s="56"/>
      <c r="P23" s="56"/>
      <c r="Q23" s="56"/>
      <c r="R23" s="57"/>
      <c r="S23" s="60"/>
      <c r="T23" s="53"/>
      <c r="U23" s="53"/>
      <c r="V23" s="53"/>
      <c r="W23" s="53"/>
      <c r="X23" s="53"/>
      <c r="Y23" s="53"/>
    </row>
    <row r="24" spans="1:25" s="5" customFormat="1" ht="13.8" x14ac:dyDescent="0.3">
      <c r="A24" s="23"/>
      <c r="B24" s="184"/>
      <c r="C24" s="184"/>
      <c r="D24" s="184"/>
      <c r="E24" s="184"/>
      <c r="F24" s="184"/>
      <c r="G24" s="184"/>
      <c r="H24" s="184"/>
      <c r="I24" s="184"/>
      <c r="J24" s="184"/>
      <c r="K24" s="23"/>
      <c r="M24" s="56"/>
      <c r="N24" s="56"/>
      <c r="O24" s="56"/>
      <c r="P24" s="56"/>
      <c r="Q24" s="56"/>
      <c r="R24" s="57"/>
      <c r="S24" s="60"/>
      <c r="T24" s="53"/>
      <c r="U24" s="53"/>
      <c r="V24" s="53"/>
      <c r="W24" s="53"/>
      <c r="X24" s="53"/>
      <c r="Y24" s="53"/>
    </row>
    <row r="25" spans="1:25" s="5" customFormat="1" ht="12.75" customHeight="1" x14ac:dyDescent="0.3">
      <c r="A25" s="23"/>
      <c r="B25" s="180"/>
      <c r="C25" s="180"/>
      <c r="D25" s="180"/>
      <c r="E25" s="180"/>
      <c r="F25" s="182" t="s">
        <v>126</v>
      </c>
      <c r="G25" s="180"/>
      <c r="H25" s="180"/>
      <c r="I25" s="180"/>
      <c r="J25" s="180"/>
      <c r="K25" s="23"/>
      <c r="M25" s="56"/>
      <c r="N25" s="56"/>
      <c r="O25" s="56"/>
      <c r="P25" s="56"/>
      <c r="Q25" s="56"/>
      <c r="R25" s="57"/>
      <c r="S25" s="57"/>
      <c r="T25" s="53"/>
      <c r="U25" s="53"/>
      <c r="V25" s="53"/>
      <c r="W25" s="53"/>
      <c r="X25" s="53"/>
      <c r="Y25" s="53"/>
    </row>
    <row r="26" spans="1:25" s="5" customFormat="1" ht="13.8" x14ac:dyDescent="0.3">
      <c r="A26" s="23"/>
      <c r="B26" s="184" t="s">
        <v>39</v>
      </c>
      <c r="C26" s="184"/>
      <c r="D26" s="184"/>
      <c r="E26" s="184"/>
      <c r="F26" s="184"/>
      <c r="G26" s="184"/>
      <c r="H26" s="184"/>
      <c r="I26" s="184"/>
      <c r="J26" s="184"/>
      <c r="K26" s="23"/>
      <c r="M26" s="56"/>
      <c r="N26" s="56"/>
      <c r="O26" s="56"/>
      <c r="P26" s="56"/>
      <c r="Q26" s="56"/>
      <c r="R26" s="57"/>
      <c r="S26" s="57"/>
      <c r="T26" s="53"/>
      <c r="U26" s="53"/>
      <c r="V26" s="53"/>
      <c r="W26" s="53"/>
      <c r="X26" s="53"/>
      <c r="Y26" s="53"/>
    </row>
    <row r="27" spans="1:25" s="5" customFormat="1" ht="13.8" x14ac:dyDescent="0.3">
      <c r="A27" s="23"/>
      <c r="B27" s="184"/>
      <c r="C27" s="184"/>
      <c r="D27" s="184"/>
      <c r="E27" s="184"/>
      <c r="F27" s="184"/>
      <c r="G27" s="184"/>
      <c r="H27" s="184"/>
      <c r="I27" s="184"/>
      <c r="J27" s="184"/>
      <c r="K27" s="23"/>
      <c r="M27" s="56"/>
      <c r="N27" s="56"/>
      <c r="O27" s="56"/>
      <c r="P27" s="56"/>
      <c r="Q27" s="56"/>
      <c r="R27" s="57"/>
      <c r="S27" s="57"/>
      <c r="T27" s="53"/>
      <c r="U27" s="53"/>
      <c r="V27" s="53"/>
      <c r="W27" s="53"/>
      <c r="X27" s="53"/>
      <c r="Y27" s="53"/>
    </row>
    <row r="28" spans="1:25" s="5" customFormat="1" ht="13.8" x14ac:dyDescent="0.3">
      <c r="A28" s="23"/>
      <c r="B28" s="180"/>
      <c r="C28" s="180"/>
      <c r="D28" s="180"/>
      <c r="E28" s="180"/>
      <c r="F28" s="180"/>
      <c r="G28" s="180"/>
      <c r="H28" s="180"/>
      <c r="I28" s="180"/>
      <c r="J28" s="180"/>
      <c r="K28" s="23"/>
      <c r="M28" s="56"/>
      <c r="N28" s="56"/>
      <c r="O28" s="56"/>
      <c r="P28" s="56"/>
      <c r="Q28" s="56"/>
      <c r="R28" s="57"/>
      <c r="S28" s="57"/>
      <c r="T28" s="53"/>
      <c r="U28" s="53"/>
      <c r="V28" s="53"/>
      <c r="W28" s="53"/>
      <c r="X28" s="53"/>
      <c r="Y28" s="53"/>
    </row>
    <row r="29" spans="1:25" s="5" customFormat="1" ht="13.8" x14ac:dyDescent="0.3">
      <c r="A29" s="23"/>
      <c r="B29" s="184" t="s">
        <v>40</v>
      </c>
      <c r="C29" s="184"/>
      <c r="D29" s="184"/>
      <c r="E29" s="184"/>
      <c r="F29" s="184"/>
      <c r="G29" s="184"/>
      <c r="H29" s="184"/>
      <c r="I29" s="184"/>
      <c r="J29" s="184"/>
      <c r="K29" s="23"/>
      <c r="M29" s="56"/>
      <c r="N29" s="56"/>
      <c r="O29" s="56"/>
      <c r="P29" s="56"/>
      <c r="Q29" s="56"/>
      <c r="R29" s="57"/>
      <c r="S29" s="57"/>
      <c r="T29" s="53"/>
      <c r="U29" s="53"/>
      <c r="V29" s="53"/>
      <c r="W29" s="53"/>
      <c r="X29" s="53"/>
      <c r="Y29" s="53"/>
    </row>
    <row r="30" spans="1:25" s="5" customFormat="1" ht="13.8" x14ac:dyDescent="0.3">
      <c r="A30" s="23"/>
      <c r="B30" s="184"/>
      <c r="C30" s="184"/>
      <c r="D30" s="184"/>
      <c r="E30" s="184"/>
      <c r="F30" s="184"/>
      <c r="G30" s="184"/>
      <c r="H30" s="184"/>
      <c r="I30" s="184"/>
      <c r="J30" s="184"/>
      <c r="K30" s="23"/>
      <c r="M30" s="56"/>
      <c r="N30" s="56"/>
      <c r="O30" s="56"/>
      <c r="P30" s="56"/>
      <c r="Q30" s="56"/>
      <c r="R30" s="57"/>
      <c r="S30" s="57"/>
      <c r="T30" s="53"/>
      <c r="U30" s="53"/>
      <c r="V30" s="53"/>
      <c r="W30" s="53"/>
      <c r="X30" s="53"/>
      <c r="Y30" s="53"/>
    </row>
    <row r="31" spans="1:25" s="5" customFormat="1" ht="12.75" customHeight="1" x14ac:dyDescent="0.3">
      <c r="A31" s="23"/>
      <c r="B31" s="184"/>
      <c r="C31" s="184"/>
      <c r="D31" s="184"/>
      <c r="E31" s="184"/>
      <c r="F31" s="184"/>
      <c r="G31" s="184"/>
      <c r="H31" s="184"/>
      <c r="I31" s="184"/>
      <c r="J31" s="184"/>
      <c r="K31" s="23"/>
      <c r="M31" s="56"/>
      <c r="N31" s="56"/>
      <c r="O31" s="56"/>
      <c r="P31" s="56"/>
      <c r="Q31" s="56"/>
      <c r="R31" s="57"/>
      <c r="S31" s="57"/>
      <c r="T31" s="53"/>
      <c r="U31" s="53"/>
      <c r="V31" s="53"/>
      <c r="W31" s="53"/>
      <c r="X31" s="53"/>
      <c r="Y31" s="53"/>
    </row>
    <row r="32" spans="1:25" s="5" customFormat="1" ht="13.8" x14ac:dyDescent="0.3">
      <c r="A32" s="23"/>
      <c r="B32" s="184"/>
      <c r="C32" s="184"/>
      <c r="D32" s="184"/>
      <c r="E32" s="184"/>
      <c r="F32" s="184"/>
      <c r="G32" s="184"/>
      <c r="H32" s="184"/>
      <c r="I32" s="184"/>
      <c r="J32" s="184"/>
      <c r="K32" s="23"/>
      <c r="M32" s="56"/>
      <c r="N32" s="56"/>
      <c r="O32" s="56"/>
      <c r="P32" s="56"/>
      <c r="Q32" s="56"/>
      <c r="R32" s="57"/>
      <c r="S32" s="57"/>
      <c r="T32" s="53"/>
      <c r="U32" s="53"/>
      <c r="V32" s="53"/>
      <c r="W32" s="53"/>
      <c r="X32" s="53"/>
      <c r="Y32" s="53"/>
    </row>
    <row r="33" spans="1:25" s="5" customFormat="1" ht="12.75" customHeight="1" x14ac:dyDescent="0.3">
      <c r="A33" s="23"/>
      <c r="B33" s="184"/>
      <c r="C33" s="184"/>
      <c r="D33" s="184"/>
      <c r="E33" s="184"/>
      <c r="F33" s="184"/>
      <c r="G33" s="184"/>
      <c r="H33" s="184"/>
      <c r="I33" s="184"/>
      <c r="J33" s="184"/>
      <c r="K33" s="23"/>
      <c r="M33" s="56"/>
      <c r="N33" s="56"/>
      <c r="O33" s="56"/>
      <c r="P33" s="56"/>
      <c r="Q33" s="56"/>
      <c r="R33" s="57"/>
      <c r="S33" s="57"/>
      <c r="T33" s="53"/>
      <c r="U33" s="53"/>
      <c r="V33" s="53"/>
      <c r="W33" s="53"/>
      <c r="X33" s="53"/>
      <c r="Y33" s="53"/>
    </row>
    <row r="34" spans="1:25" s="5" customFormat="1" ht="13.8" x14ac:dyDescent="0.3">
      <c r="A34" s="23"/>
      <c r="B34" s="180"/>
      <c r="C34" s="180"/>
      <c r="D34" s="186" t="s">
        <v>31</v>
      </c>
      <c r="E34" s="186"/>
      <c r="F34" s="186"/>
      <c r="G34" s="186"/>
      <c r="H34" s="186"/>
      <c r="I34" s="180"/>
      <c r="J34" s="180"/>
      <c r="K34" s="23"/>
      <c r="M34" s="56"/>
      <c r="N34" s="56"/>
      <c r="O34" s="56"/>
      <c r="P34" s="56"/>
      <c r="Q34" s="56"/>
      <c r="R34" s="57"/>
      <c r="S34" s="60"/>
      <c r="T34" s="53"/>
      <c r="U34" s="53"/>
      <c r="V34" s="53"/>
      <c r="W34" s="53"/>
      <c r="X34" s="53"/>
      <c r="Y34" s="53"/>
    </row>
    <row r="35" spans="1:25" s="5" customFormat="1" ht="13.8" x14ac:dyDescent="0.3">
      <c r="A35" s="23"/>
      <c r="B35" s="23"/>
      <c r="C35" s="23"/>
      <c r="I35" s="23"/>
      <c r="J35" s="23"/>
      <c r="K35" s="23"/>
      <c r="M35" s="56"/>
      <c r="N35" s="56"/>
      <c r="O35" s="56"/>
      <c r="P35" s="56"/>
      <c r="Q35" s="56"/>
      <c r="R35" s="57"/>
      <c r="S35" s="60"/>
      <c r="T35" s="53"/>
      <c r="U35" s="53"/>
      <c r="V35" s="53"/>
      <c r="W35" s="53"/>
      <c r="X35" s="53"/>
      <c r="Y35" s="53"/>
    </row>
    <row r="36" spans="1:25" s="5" customFormat="1" ht="12.75" customHeight="1" x14ac:dyDescent="0.3">
      <c r="A36" s="23"/>
      <c r="B36" s="24" t="s">
        <v>32</v>
      </c>
      <c r="C36" s="23"/>
      <c r="D36" s="23"/>
      <c r="E36" s="23"/>
      <c r="F36" s="181"/>
      <c r="G36" s="23"/>
      <c r="H36" s="23"/>
      <c r="I36" s="23"/>
      <c r="J36" s="23"/>
      <c r="K36" s="23"/>
      <c r="M36" s="56"/>
      <c r="N36" s="56"/>
      <c r="O36" s="56"/>
      <c r="P36" s="56"/>
      <c r="Q36" s="56"/>
      <c r="R36" s="57"/>
      <c r="S36" s="57"/>
      <c r="T36" s="53"/>
      <c r="U36" s="53"/>
      <c r="V36" s="53"/>
      <c r="W36" s="53"/>
      <c r="X36" s="53"/>
      <c r="Y36" s="53"/>
    </row>
    <row r="37" spans="1:25" s="5" customFormat="1" ht="13.8" x14ac:dyDescent="0.3">
      <c r="A37" s="23"/>
      <c r="B37" s="24"/>
      <c r="C37" s="23"/>
      <c r="D37" s="23"/>
      <c r="E37" s="23"/>
      <c r="F37" s="181"/>
      <c r="G37" s="23"/>
      <c r="H37" s="23"/>
      <c r="I37" s="23"/>
      <c r="J37" s="23"/>
      <c r="K37" s="23"/>
      <c r="M37" s="56"/>
      <c r="N37" s="56"/>
      <c r="O37" s="56"/>
      <c r="P37" s="56"/>
      <c r="Q37" s="56"/>
      <c r="R37" s="57"/>
      <c r="S37" s="57"/>
      <c r="T37" s="53"/>
      <c r="U37" s="53"/>
      <c r="V37" s="53"/>
      <c r="W37" s="53"/>
      <c r="X37" s="53"/>
      <c r="Y37" s="53"/>
    </row>
    <row r="38" spans="1:25" s="5" customFormat="1" ht="13.8" x14ac:dyDescent="0.3">
      <c r="A38" s="23"/>
      <c r="B38" s="184" t="s">
        <v>41</v>
      </c>
      <c r="C38" s="184"/>
      <c r="D38" s="184"/>
      <c r="E38" s="184"/>
      <c r="F38" s="184"/>
      <c r="G38" s="184"/>
      <c r="H38" s="184"/>
      <c r="I38" s="184"/>
      <c r="J38" s="184"/>
      <c r="K38" s="23"/>
      <c r="M38" s="56"/>
      <c r="N38" s="56"/>
      <c r="O38" s="56"/>
      <c r="P38" s="56"/>
      <c r="Q38" s="56"/>
      <c r="R38" s="57"/>
      <c r="S38" s="57"/>
      <c r="T38" s="53"/>
      <c r="U38" s="53"/>
      <c r="V38" s="53"/>
      <c r="W38" s="53"/>
      <c r="X38" s="53"/>
      <c r="Y38" s="53"/>
    </row>
    <row r="39" spans="1:25" s="5" customFormat="1" ht="13.8" x14ac:dyDescent="0.3">
      <c r="A39" s="23"/>
      <c r="B39" s="184"/>
      <c r="C39" s="184"/>
      <c r="D39" s="184"/>
      <c r="E39" s="184"/>
      <c r="F39" s="184"/>
      <c r="G39" s="184"/>
      <c r="H39" s="184"/>
      <c r="I39" s="184"/>
      <c r="J39" s="184"/>
      <c r="K39" s="23"/>
      <c r="M39" s="56"/>
      <c r="N39" s="56"/>
      <c r="O39" s="56"/>
      <c r="P39" s="56"/>
      <c r="Q39" s="56"/>
      <c r="R39" s="57"/>
      <c r="S39" s="57"/>
      <c r="T39" s="53"/>
      <c r="U39" s="53"/>
      <c r="V39" s="53"/>
      <c r="W39" s="53"/>
      <c r="X39" s="53"/>
      <c r="Y39" s="53"/>
    </row>
    <row r="40" spans="1:25" s="5" customFormat="1" ht="13.8" x14ac:dyDescent="0.3">
      <c r="A40" s="23"/>
      <c r="B40" s="180"/>
      <c r="C40" s="180"/>
      <c r="D40" s="180"/>
      <c r="E40" s="180"/>
      <c r="F40" s="180"/>
      <c r="G40" s="180"/>
      <c r="H40" s="180"/>
      <c r="I40" s="180"/>
      <c r="J40" s="180"/>
      <c r="K40" s="23"/>
      <c r="M40" s="56"/>
      <c r="N40" s="56"/>
      <c r="O40" s="56"/>
      <c r="P40" s="56"/>
      <c r="Q40" s="56"/>
      <c r="R40" s="57"/>
      <c r="S40" s="57"/>
      <c r="T40" s="53"/>
      <c r="U40" s="53"/>
      <c r="V40" s="53"/>
      <c r="W40" s="53"/>
      <c r="X40" s="53"/>
      <c r="Y40" s="53"/>
    </row>
    <row r="41" spans="1:25" s="5" customFormat="1" ht="13.8" x14ac:dyDescent="0.3">
      <c r="A41" s="23"/>
      <c r="B41" s="184" t="s">
        <v>42</v>
      </c>
      <c r="C41" s="184"/>
      <c r="D41" s="184"/>
      <c r="E41" s="184"/>
      <c r="F41" s="184"/>
      <c r="G41" s="184"/>
      <c r="H41" s="184"/>
      <c r="I41" s="184"/>
      <c r="J41" s="184"/>
      <c r="K41" s="23"/>
      <c r="M41" s="56"/>
      <c r="N41" s="56"/>
      <c r="O41" s="56"/>
      <c r="P41" s="56"/>
      <c r="Q41" s="56"/>
      <c r="R41" s="57"/>
      <c r="S41" s="57"/>
      <c r="T41" s="53"/>
      <c r="U41" s="53"/>
      <c r="V41" s="53"/>
      <c r="W41" s="53"/>
      <c r="X41" s="53"/>
      <c r="Y41" s="53"/>
    </row>
    <row r="42" spans="1:25" s="5" customFormat="1" ht="13.8" x14ac:dyDescent="0.3">
      <c r="A42" s="23"/>
      <c r="B42" s="184"/>
      <c r="C42" s="184"/>
      <c r="D42" s="184"/>
      <c r="E42" s="184"/>
      <c r="F42" s="184"/>
      <c r="G42" s="184"/>
      <c r="H42" s="184"/>
      <c r="I42" s="184"/>
      <c r="J42" s="184"/>
      <c r="K42" s="23"/>
      <c r="M42" s="56"/>
      <c r="N42" s="56"/>
      <c r="O42" s="56"/>
      <c r="P42" s="56"/>
      <c r="Q42" s="56"/>
      <c r="R42" s="57"/>
      <c r="S42" s="57"/>
      <c r="T42" s="53"/>
      <c r="U42" s="53"/>
      <c r="V42" s="53"/>
      <c r="W42" s="53"/>
      <c r="X42" s="53"/>
      <c r="Y42" s="53"/>
    </row>
    <row r="43" spans="1:25" s="5" customFormat="1" ht="13.8" x14ac:dyDescent="0.3">
      <c r="A43" s="23"/>
      <c r="B43" s="184"/>
      <c r="C43" s="184"/>
      <c r="D43" s="184"/>
      <c r="E43" s="184"/>
      <c r="F43" s="184"/>
      <c r="G43" s="184"/>
      <c r="H43" s="184"/>
      <c r="I43" s="184"/>
      <c r="J43" s="184"/>
      <c r="K43" s="23"/>
      <c r="M43" s="56"/>
      <c r="N43" s="56"/>
      <c r="O43" s="56"/>
      <c r="P43" s="56"/>
      <c r="Q43" s="56"/>
      <c r="R43" s="57"/>
      <c r="S43" s="57"/>
      <c r="T43" s="53"/>
      <c r="U43" s="53"/>
      <c r="V43" s="53"/>
      <c r="W43" s="53"/>
      <c r="X43" s="53"/>
      <c r="Y43" s="53"/>
    </row>
    <row r="44" spans="1:25" s="5" customFormat="1" ht="13.8" x14ac:dyDescent="0.3">
      <c r="A44" s="23"/>
      <c r="B44" s="180"/>
      <c r="C44" s="180"/>
      <c r="D44" s="180"/>
      <c r="E44" s="180"/>
      <c r="F44" s="180"/>
      <c r="G44" s="180"/>
      <c r="H44" s="180"/>
      <c r="I44" s="180"/>
      <c r="J44" s="180"/>
      <c r="K44" s="23"/>
      <c r="M44" s="56"/>
      <c r="N44" s="56"/>
      <c r="O44" s="56"/>
      <c r="P44" s="56"/>
      <c r="Q44" s="56"/>
      <c r="R44" s="57"/>
      <c r="S44" s="57"/>
      <c r="T44" s="53"/>
      <c r="U44" s="53"/>
      <c r="V44" s="53"/>
      <c r="W44" s="53"/>
      <c r="X44" s="53"/>
      <c r="Y44" s="53"/>
    </row>
    <row r="45" spans="1:25" s="5" customFormat="1" ht="12.75" customHeight="1" x14ac:dyDescent="0.3">
      <c r="A45" s="23"/>
      <c r="B45" s="184" t="s">
        <v>36</v>
      </c>
      <c r="C45" s="184"/>
      <c r="D45" s="184"/>
      <c r="E45" s="184"/>
      <c r="F45" s="184"/>
      <c r="G45" s="184"/>
      <c r="H45" s="184"/>
      <c r="I45" s="184"/>
      <c r="J45" s="184"/>
      <c r="K45" s="23"/>
      <c r="M45" s="56"/>
      <c r="N45" s="56"/>
      <c r="O45" s="56"/>
      <c r="P45" s="56"/>
      <c r="Q45" s="56"/>
      <c r="R45" s="57"/>
      <c r="S45" s="57"/>
      <c r="T45" s="53"/>
      <c r="U45" s="53"/>
      <c r="V45" s="53"/>
      <c r="W45" s="53"/>
      <c r="X45" s="53"/>
      <c r="Y45" s="53"/>
    </row>
    <row r="46" spans="1:25" s="5" customFormat="1" ht="13.8" x14ac:dyDescent="0.3">
      <c r="A46" s="23"/>
      <c r="B46" s="184"/>
      <c r="C46" s="184"/>
      <c r="D46" s="184"/>
      <c r="E46" s="184"/>
      <c r="F46" s="184"/>
      <c r="G46" s="184"/>
      <c r="H46" s="184"/>
      <c r="I46" s="184"/>
      <c r="J46" s="184"/>
      <c r="K46" s="23"/>
      <c r="M46" s="56"/>
      <c r="N46" s="56"/>
      <c r="O46" s="56"/>
      <c r="P46" s="56"/>
      <c r="Q46" s="56"/>
      <c r="R46" s="57"/>
      <c r="S46" s="57"/>
      <c r="T46" s="53"/>
      <c r="U46" s="53"/>
      <c r="V46" s="53"/>
      <c r="W46" s="53"/>
      <c r="X46" s="53"/>
      <c r="Y46" s="53"/>
    </row>
    <row r="47" spans="1:25" s="5" customFormat="1" ht="13.8" x14ac:dyDescent="0.3">
      <c r="A47" s="23"/>
      <c r="B47" s="184"/>
      <c r="C47" s="184"/>
      <c r="D47" s="184"/>
      <c r="E47" s="184"/>
      <c r="F47" s="184"/>
      <c r="G47" s="184"/>
      <c r="H47" s="184"/>
      <c r="I47" s="184"/>
      <c r="J47" s="184"/>
      <c r="K47" s="23"/>
      <c r="M47" s="56"/>
      <c r="N47" s="56"/>
      <c r="O47" s="56"/>
      <c r="P47" s="56"/>
      <c r="Q47" s="56"/>
      <c r="R47" s="57"/>
      <c r="S47" s="57"/>
      <c r="T47" s="53"/>
      <c r="U47" s="53"/>
      <c r="V47" s="53"/>
      <c r="W47" s="53"/>
      <c r="X47" s="53"/>
      <c r="Y47" s="53"/>
    </row>
    <row r="48" spans="1:25" s="5" customFormat="1" ht="12.75" customHeight="1" x14ac:dyDescent="0.3">
      <c r="A48" s="23"/>
      <c r="B48" s="184"/>
      <c r="C48" s="184"/>
      <c r="D48" s="184"/>
      <c r="E48" s="184"/>
      <c r="F48" s="184"/>
      <c r="G48" s="184"/>
      <c r="H48" s="184"/>
      <c r="I48" s="184"/>
      <c r="J48" s="184"/>
      <c r="K48" s="23"/>
      <c r="M48" s="56"/>
      <c r="N48" s="56"/>
      <c r="O48" s="56"/>
      <c r="P48" s="56"/>
      <c r="Q48" s="56"/>
      <c r="R48" s="57"/>
      <c r="S48" s="57"/>
      <c r="T48" s="53"/>
      <c r="U48" s="53"/>
      <c r="V48" s="53"/>
      <c r="W48" s="53"/>
      <c r="X48" s="53"/>
      <c r="Y48" s="53"/>
    </row>
    <row r="49" spans="1:25" s="5" customFormat="1" ht="13.8" x14ac:dyDescent="0.3">
      <c r="A49" s="23"/>
      <c r="B49" s="23" t="s">
        <v>43</v>
      </c>
      <c r="C49" s="23"/>
      <c r="D49" s="23"/>
      <c r="E49" s="23"/>
      <c r="F49" s="23"/>
      <c r="G49" s="23"/>
      <c r="H49" s="23"/>
      <c r="I49" s="23"/>
      <c r="J49" s="23"/>
      <c r="K49" s="23"/>
      <c r="M49" s="56"/>
      <c r="N49" s="56"/>
      <c r="O49" s="56"/>
      <c r="P49" s="56"/>
      <c r="Q49" s="56"/>
      <c r="R49" s="57"/>
      <c r="S49" s="57"/>
      <c r="T49" s="53"/>
      <c r="U49" s="53"/>
      <c r="V49" s="53"/>
      <c r="W49" s="53"/>
      <c r="X49" s="53"/>
      <c r="Y49" s="53"/>
    </row>
    <row r="50" spans="1:25" s="5" customFormat="1" ht="13.8" x14ac:dyDescent="0.3">
      <c r="A50" s="23"/>
      <c r="B50" s="23"/>
      <c r="C50" s="23"/>
      <c r="D50" s="23"/>
      <c r="F50" s="182" t="s">
        <v>127</v>
      </c>
      <c r="G50" s="181"/>
      <c r="H50" s="23"/>
      <c r="I50" s="23"/>
      <c r="J50" s="23"/>
      <c r="K50" s="23"/>
      <c r="M50" s="56"/>
      <c r="N50" s="56"/>
      <c r="O50" s="56"/>
      <c r="P50" s="56"/>
      <c r="Q50" s="56"/>
      <c r="R50" s="57"/>
      <c r="S50" s="57"/>
      <c r="T50" s="53"/>
      <c r="U50" s="53"/>
      <c r="V50" s="53"/>
      <c r="W50" s="53"/>
      <c r="X50" s="53"/>
      <c r="Y50" s="53"/>
    </row>
    <row r="51" spans="1:25" s="5" customFormat="1" ht="13.8" x14ac:dyDescent="0.3">
      <c r="A51" s="23"/>
      <c r="B51" s="23"/>
      <c r="C51" s="23"/>
      <c r="D51" s="23"/>
      <c r="E51" s="23"/>
      <c r="F51" s="23"/>
      <c r="G51" s="23"/>
      <c r="H51" s="23"/>
      <c r="I51" s="23"/>
      <c r="J51" s="23"/>
      <c r="K51" s="23"/>
      <c r="M51" s="56"/>
      <c r="N51" s="56"/>
      <c r="O51" s="56"/>
      <c r="P51" s="56"/>
      <c r="Q51" s="56"/>
      <c r="R51" s="57"/>
      <c r="S51" s="57"/>
      <c r="T51" s="53"/>
      <c r="U51" s="53"/>
      <c r="V51" s="53"/>
      <c r="W51" s="53"/>
      <c r="X51" s="53"/>
      <c r="Y51" s="53"/>
    </row>
    <row r="52" spans="1:25" s="5" customFormat="1" ht="12.75" customHeight="1" x14ac:dyDescent="0.3">
      <c r="A52" s="23"/>
      <c r="B52" s="24" t="s">
        <v>44</v>
      </c>
      <c r="C52" s="23"/>
      <c r="D52" s="23"/>
      <c r="E52" s="23"/>
      <c r="F52" s="23"/>
      <c r="G52" s="23"/>
      <c r="H52" s="23"/>
      <c r="I52" s="23"/>
      <c r="J52" s="23"/>
      <c r="K52" s="23"/>
      <c r="M52" s="56"/>
      <c r="N52" s="56"/>
      <c r="O52" s="56"/>
      <c r="P52" s="56"/>
      <c r="Q52" s="56"/>
      <c r="R52" s="57"/>
      <c r="S52" s="57"/>
      <c r="T52" s="53"/>
      <c r="U52" s="53"/>
      <c r="V52" s="53"/>
      <c r="W52" s="53"/>
      <c r="X52" s="53"/>
      <c r="Y52" s="53"/>
    </row>
    <row r="53" spans="1:25" s="5" customFormat="1" ht="13.8" x14ac:dyDescent="0.3">
      <c r="A53" s="23"/>
      <c r="B53" s="23"/>
      <c r="C53" s="23"/>
      <c r="D53" s="23"/>
      <c r="E53" s="23"/>
      <c r="F53" s="23"/>
      <c r="G53" s="23"/>
      <c r="H53" s="23"/>
      <c r="I53" s="23"/>
      <c r="J53" s="23"/>
      <c r="K53" s="23"/>
      <c r="M53" s="56"/>
      <c r="N53" s="56"/>
      <c r="O53" s="56"/>
      <c r="P53" s="56"/>
      <c r="Q53" s="56"/>
      <c r="R53" s="57"/>
      <c r="S53" s="57"/>
      <c r="T53" s="53"/>
      <c r="U53" s="53"/>
      <c r="V53" s="53"/>
      <c r="W53" s="53"/>
      <c r="X53" s="53"/>
      <c r="Y53" s="53"/>
    </row>
    <row r="54" spans="1:25" s="5" customFormat="1" ht="13.8" x14ac:dyDescent="0.3">
      <c r="A54" s="23"/>
      <c r="B54" s="185" t="s">
        <v>45</v>
      </c>
      <c r="C54" s="185"/>
      <c r="D54" s="185"/>
      <c r="E54" s="185"/>
      <c r="F54" s="185"/>
      <c r="G54" s="185"/>
      <c r="H54" s="185"/>
      <c r="I54" s="185"/>
      <c r="J54" s="185"/>
      <c r="K54" s="23"/>
      <c r="M54" s="56"/>
      <c r="N54" s="56"/>
      <c r="O54" s="56"/>
      <c r="P54" s="56"/>
      <c r="Q54" s="56"/>
      <c r="R54" s="57"/>
      <c r="S54" s="57"/>
      <c r="T54" s="53"/>
      <c r="U54" s="53"/>
      <c r="V54" s="53"/>
      <c r="W54" s="53"/>
      <c r="X54" s="53"/>
      <c r="Y54" s="53"/>
    </row>
    <row r="55" spans="1:25" s="5" customFormat="1" ht="13.8" x14ac:dyDescent="0.3">
      <c r="A55" s="23"/>
      <c r="B55" s="185"/>
      <c r="C55" s="185"/>
      <c r="D55" s="185"/>
      <c r="E55" s="185"/>
      <c r="F55" s="185"/>
      <c r="G55" s="185"/>
      <c r="H55" s="185"/>
      <c r="I55" s="185"/>
      <c r="J55" s="185"/>
      <c r="K55" s="23"/>
      <c r="M55" s="56"/>
      <c r="N55" s="56"/>
      <c r="O55" s="56"/>
      <c r="P55" s="56"/>
      <c r="Q55" s="56"/>
      <c r="R55" s="57"/>
      <c r="S55" s="57"/>
      <c r="T55" s="53"/>
      <c r="U55" s="53"/>
      <c r="V55" s="53"/>
      <c r="W55" s="53"/>
      <c r="X55" s="53"/>
      <c r="Y55" s="53"/>
    </row>
    <row r="56" spans="1:25" s="5" customFormat="1" ht="13.8" x14ac:dyDescent="0.3">
      <c r="A56" s="23"/>
      <c r="B56" s="185"/>
      <c r="C56" s="185"/>
      <c r="D56" s="185"/>
      <c r="E56" s="185"/>
      <c r="F56" s="185"/>
      <c r="G56" s="185"/>
      <c r="H56" s="185"/>
      <c r="I56" s="185"/>
      <c r="J56" s="185"/>
      <c r="K56" s="23"/>
      <c r="M56" s="56"/>
      <c r="N56" s="56"/>
      <c r="O56"/>
      <c r="P56" s="56"/>
      <c r="Q56" s="56"/>
      <c r="R56" s="57"/>
      <c r="S56" s="57"/>
      <c r="T56" s="53"/>
      <c r="U56" s="53"/>
      <c r="V56" s="53"/>
      <c r="W56" s="53"/>
      <c r="X56" s="53"/>
      <c r="Y56" s="53"/>
    </row>
    <row r="57" spans="1:25" s="5" customFormat="1" ht="13.8" x14ac:dyDescent="0.3">
      <c r="A57" s="23"/>
      <c r="B57" s="23"/>
      <c r="C57" s="23"/>
      <c r="D57" s="23"/>
      <c r="F57" s="181"/>
      <c r="G57" s="23"/>
      <c r="H57" s="23"/>
      <c r="I57" s="23"/>
      <c r="J57" s="23"/>
      <c r="K57" s="23"/>
      <c r="M57" s="56"/>
      <c r="N57" s="56"/>
      <c r="O57" s="56"/>
      <c r="P57" s="56"/>
      <c r="Q57" s="56"/>
      <c r="R57" s="57"/>
      <c r="S57" s="57"/>
      <c r="T57" s="53"/>
      <c r="U57" s="53"/>
      <c r="V57" s="53"/>
      <c r="W57" s="53"/>
      <c r="X57" s="53"/>
      <c r="Y57" s="53"/>
    </row>
    <row r="58" spans="1:25" s="5" customFormat="1" ht="13.8" x14ac:dyDescent="0.3">
      <c r="A58" s="23"/>
      <c r="B58" s="23"/>
      <c r="C58" s="23"/>
      <c r="D58" s="23"/>
      <c r="E58" s="23"/>
      <c r="F58" s="23"/>
      <c r="G58" s="23"/>
      <c r="H58" s="23"/>
      <c r="I58" s="23"/>
      <c r="J58" s="23"/>
      <c r="K58" s="23"/>
      <c r="M58" s="56"/>
      <c r="N58" s="56"/>
      <c r="O58" s="56"/>
      <c r="P58" s="56"/>
      <c r="Q58" s="56"/>
      <c r="R58" s="57"/>
      <c r="S58" s="57"/>
      <c r="T58" s="53"/>
      <c r="U58" s="53"/>
      <c r="V58" s="53"/>
      <c r="W58" s="53"/>
      <c r="X58" s="53"/>
      <c r="Y58" s="53"/>
    </row>
    <row r="59" spans="1:25" s="5" customFormat="1" ht="13.8" x14ac:dyDescent="0.3">
      <c r="K59" s="23"/>
      <c r="M59" s="56"/>
      <c r="N59" s="56"/>
      <c r="O59" s="183"/>
      <c r="P59" s="56"/>
      <c r="Q59" s="56"/>
      <c r="R59" s="57"/>
      <c r="S59" s="57"/>
      <c r="T59" s="53"/>
      <c r="U59" s="53"/>
      <c r="V59" s="53"/>
      <c r="W59" s="53"/>
      <c r="X59" s="53"/>
      <c r="Y59" s="53"/>
    </row>
    <row r="60" spans="1:25" s="5" customFormat="1" ht="13.8" x14ac:dyDescent="0.3">
      <c r="A60" s="23"/>
      <c r="B60" s="23" t="s">
        <v>46</v>
      </c>
      <c r="C60" s="23"/>
      <c r="D60" s="23"/>
      <c r="E60" s="23"/>
      <c r="F60" s="23"/>
      <c r="G60" s="23"/>
      <c r="H60" s="23"/>
      <c r="I60" s="23"/>
      <c r="J60" s="23"/>
      <c r="K60" s="23"/>
      <c r="M60" s="56"/>
      <c r="N60" s="56"/>
      <c r="O60" s="56"/>
      <c r="P60" s="56"/>
      <c r="Q60" s="56"/>
      <c r="R60" s="57"/>
      <c r="S60" s="57"/>
      <c r="T60" s="53"/>
      <c r="U60" s="53"/>
      <c r="V60" s="53"/>
      <c r="W60" s="53"/>
      <c r="X60" s="53"/>
      <c r="Y60" s="53"/>
    </row>
    <row r="61" spans="1:25" s="5" customFormat="1" ht="13.8" x14ac:dyDescent="0.3">
      <c r="A61" s="23"/>
      <c r="C61" s="23"/>
      <c r="D61" s="23"/>
      <c r="F61" s="182" t="s">
        <v>128</v>
      </c>
      <c r="G61" s="46"/>
      <c r="H61" s="23"/>
      <c r="I61" s="23"/>
      <c r="J61" s="23"/>
      <c r="K61" s="23"/>
      <c r="M61" s="56"/>
      <c r="N61" s="56"/>
      <c r="O61" s="56"/>
      <c r="P61" s="56"/>
      <c r="Q61" s="56"/>
      <c r="R61" s="57"/>
      <c r="S61" s="57"/>
      <c r="T61" s="53"/>
      <c r="U61" s="53"/>
      <c r="V61" s="53"/>
      <c r="W61" s="53"/>
      <c r="X61" s="53"/>
      <c r="Y61" s="53"/>
    </row>
    <row r="62" spans="1:25" s="5" customFormat="1" ht="13.8" x14ac:dyDescent="0.3">
      <c r="A62" s="23"/>
      <c r="B62" s="23"/>
      <c r="C62" s="23"/>
      <c r="D62" s="23"/>
      <c r="E62" s="23"/>
      <c r="F62" s="23"/>
      <c r="G62" s="23"/>
      <c r="H62" s="23"/>
      <c r="I62" s="23"/>
      <c r="J62" s="23"/>
      <c r="K62" s="23"/>
      <c r="M62" s="56"/>
      <c r="N62" s="56"/>
      <c r="O62" s="56"/>
      <c r="P62" s="56"/>
      <c r="Q62" s="56"/>
      <c r="R62" s="57"/>
      <c r="S62" s="57"/>
      <c r="T62" s="53"/>
      <c r="U62" s="53"/>
      <c r="V62" s="53"/>
      <c r="W62" s="53"/>
      <c r="X62" s="53"/>
      <c r="Y62" s="5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7591"/>
  <sheetViews>
    <sheetView tabSelected="1" view="pageBreakPreview" zoomScale="70" zoomScaleNormal="100" zoomScaleSheetLayoutView="70" workbookViewId="0">
      <selection activeCell="B13" sqref="B13:K13"/>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69"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69" s="5" customFormat="1" ht="13.8" x14ac:dyDescent="0.3">
      <c r="A2" s="1"/>
      <c r="B2" s="2" t="s">
        <v>2</v>
      </c>
      <c r="C2" s="3" t="s">
        <v>10</v>
      </c>
      <c r="D2" s="1"/>
      <c r="E2" s="1"/>
      <c r="F2" s="2" t="s">
        <v>5</v>
      </c>
      <c r="G2" s="3" t="s">
        <v>123</v>
      </c>
      <c r="H2" s="1"/>
      <c r="I2" s="1"/>
      <c r="J2" s="1"/>
      <c r="K2" s="1"/>
      <c r="M2" s="9" t="s">
        <v>19</v>
      </c>
      <c r="N2" s="9" t="s">
        <v>19</v>
      </c>
      <c r="O2" s="9" t="s">
        <v>13</v>
      </c>
      <c r="P2" s="9" t="s">
        <v>13</v>
      </c>
      <c r="Q2" s="9" t="s">
        <v>13</v>
      </c>
      <c r="R2" s="9" t="s">
        <v>19</v>
      </c>
      <c r="S2" s="33" t="s">
        <v>19</v>
      </c>
      <c r="T2" s="34"/>
      <c r="W2" s="7" t="s">
        <v>20</v>
      </c>
      <c r="X2" s="8">
        <f>SUM(N:N)</f>
        <v>0</v>
      </c>
    </row>
    <row r="3" spans="1:69" s="5" customFormat="1" ht="13.8" x14ac:dyDescent="0.3">
      <c r="A3" s="1"/>
      <c r="B3" s="2" t="s">
        <v>3</v>
      </c>
      <c r="C3" s="10" t="s">
        <v>21</v>
      </c>
      <c r="D3" s="1"/>
      <c r="E3" s="1"/>
      <c r="F3" s="2" t="s">
        <v>4</v>
      </c>
      <c r="G3" s="3" t="s">
        <v>130</v>
      </c>
      <c r="H3" s="1"/>
      <c r="I3" s="1"/>
      <c r="J3" s="1"/>
      <c r="K3" s="1"/>
      <c r="M3" s="9"/>
      <c r="N3" s="9"/>
      <c r="O3" s="9"/>
      <c r="P3" s="9"/>
      <c r="Q3" s="9"/>
      <c r="R3" s="9"/>
      <c r="S3" s="33"/>
      <c r="T3" s="34"/>
      <c r="W3" s="7" t="s">
        <v>22</v>
      </c>
      <c r="X3" s="8">
        <f>SUM(O:O)</f>
        <v>0</v>
      </c>
    </row>
    <row r="4" spans="1:69" s="5" customFormat="1" ht="13.8" x14ac:dyDescent="0.3">
      <c r="A4" s="1"/>
      <c r="B4" s="2" t="s">
        <v>23</v>
      </c>
      <c r="C4" s="4"/>
      <c r="D4" s="1"/>
      <c r="E4" s="1"/>
      <c r="F4" s="2" t="s">
        <v>24</v>
      </c>
      <c r="G4" s="3" t="s">
        <v>124</v>
      </c>
      <c r="H4" s="1"/>
      <c r="I4" s="1"/>
      <c r="J4" s="1"/>
      <c r="K4" s="1"/>
      <c r="M4" s="9"/>
      <c r="N4" s="9"/>
      <c r="O4" s="9"/>
      <c r="P4" s="9"/>
      <c r="Q4" s="11"/>
      <c r="R4" s="12"/>
      <c r="S4" s="35"/>
      <c r="T4" s="34"/>
      <c r="W4" s="7" t="s">
        <v>22</v>
      </c>
      <c r="X4" s="8">
        <f>SUM(P:P)</f>
        <v>0</v>
      </c>
    </row>
    <row r="5" spans="1:69" s="5" customFormat="1" ht="13.8" x14ac:dyDescent="0.3">
      <c r="A5" s="1"/>
      <c r="B5" s="2" t="s">
        <v>26</v>
      </c>
      <c r="C5" s="4" t="s">
        <v>33</v>
      </c>
      <c r="D5" s="1"/>
      <c r="E5" s="2"/>
      <c r="F5" s="1"/>
      <c r="G5" s="1"/>
      <c r="H5" s="1"/>
      <c r="I5" s="1"/>
      <c r="J5" s="1"/>
      <c r="K5" s="1"/>
      <c r="M5" s="9"/>
      <c r="N5" s="9"/>
      <c r="O5" s="9"/>
      <c r="P5" s="9"/>
      <c r="Q5" s="11"/>
      <c r="R5" s="12"/>
      <c r="S5" s="35"/>
      <c r="T5" s="34"/>
      <c r="W5" s="7" t="s">
        <v>22</v>
      </c>
      <c r="X5" s="8">
        <f>SUM(Q:Q)</f>
        <v>0</v>
      </c>
    </row>
    <row r="6" spans="1:69" s="5" customFormat="1" ht="13.8" x14ac:dyDescent="0.3">
      <c r="A6" s="1"/>
      <c r="B6" s="1" t="s">
        <v>7</v>
      </c>
      <c r="C6" s="13"/>
      <c r="D6" s="1"/>
      <c r="E6" s="1"/>
      <c r="F6" s="1"/>
      <c r="G6" s="1"/>
      <c r="H6" s="1"/>
      <c r="I6" s="1"/>
      <c r="J6" s="1"/>
      <c r="K6" s="1"/>
      <c r="M6" s="9"/>
      <c r="N6" s="9"/>
      <c r="O6" s="9"/>
      <c r="P6" s="9"/>
      <c r="Q6" s="11"/>
      <c r="R6" s="12"/>
      <c r="S6" s="35"/>
      <c r="T6" s="34"/>
      <c r="W6" s="7" t="s">
        <v>27</v>
      </c>
      <c r="X6" s="8">
        <f>SUM(R:R)</f>
        <v>0</v>
      </c>
    </row>
    <row r="7" spans="1:69" s="5" customFormat="1" ht="13.8" x14ac:dyDescent="0.3">
      <c r="A7" s="1"/>
      <c r="B7" s="1"/>
      <c r="C7" s="1"/>
      <c r="D7" s="1"/>
      <c r="E7" s="1"/>
      <c r="F7" s="1"/>
      <c r="G7" s="1"/>
      <c r="H7" s="1"/>
      <c r="I7" s="1"/>
      <c r="J7" s="1"/>
      <c r="K7" s="1"/>
      <c r="M7" s="9"/>
      <c r="N7" s="9"/>
      <c r="O7" s="9"/>
      <c r="P7" s="9"/>
      <c r="Q7" s="11"/>
      <c r="R7" s="12"/>
      <c r="S7" s="35"/>
      <c r="T7" s="34"/>
      <c r="W7" s="7" t="s">
        <v>28</v>
      </c>
      <c r="X7" s="8">
        <f>SUM(S:S)</f>
        <v>0</v>
      </c>
    </row>
    <row r="8" spans="1:69" s="5" customFormat="1" ht="13.8" x14ac:dyDescent="0.3">
      <c r="A8" s="14"/>
      <c r="E8" s="7" t="s">
        <v>1</v>
      </c>
      <c r="F8" s="8" t="str">
        <f>$C$1</f>
        <v>R. Abbott</v>
      </c>
      <c r="H8" s="15"/>
      <c r="I8" s="7" t="s">
        <v>8</v>
      </c>
      <c r="J8" s="16" t="str">
        <f>$G$2</f>
        <v>AA-SM-009-005</v>
      </c>
      <c r="K8" s="17"/>
      <c r="L8" s="18"/>
      <c r="M8" s="9"/>
      <c r="N8" s="9"/>
      <c r="O8" s="9"/>
      <c r="P8" s="9"/>
      <c r="Q8" s="11"/>
      <c r="R8" s="12"/>
      <c r="S8" s="35"/>
      <c r="T8" s="34"/>
    </row>
    <row r="9" spans="1:69" s="5" customFormat="1" ht="13.8" x14ac:dyDescent="0.3">
      <c r="E9" s="7" t="s">
        <v>2</v>
      </c>
      <c r="F9" s="15" t="str">
        <f>$C$2</f>
        <v xml:space="preserve"> </v>
      </c>
      <c r="H9" s="15"/>
      <c r="I9" s="7" t="s">
        <v>9</v>
      </c>
      <c r="J9" s="17" t="str">
        <f>$G$3</f>
        <v>A</v>
      </c>
      <c r="K9" s="17"/>
      <c r="L9" s="18"/>
      <c r="M9" s="9">
        <v>1</v>
      </c>
      <c r="N9" s="9"/>
      <c r="O9" s="9"/>
      <c r="P9" s="9"/>
      <c r="Q9" s="11"/>
      <c r="R9" s="12"/>
      <c r="S9" s="35"/>
      <c r="T9" s="34"/>
    </row>
    <row r="10" spans="1:69" s="5" customFormat="1" ht="13.8" x14ac:dyDescent="0.3">
      <c r="E10" s="7" t="s">
        <v>3</v>
      </c>
      <c r="F10" s="15" t="str">
        <f>$C$3</f>
        <v>20/10/2013</v>
      </c>
      <c r="H10" s="15"/>
      <c r="I10" s="7" t="s">
        <v>6</v>
      </c>
      <c r="J10" s="8" t="str">
        <f>L10&amp;" of "&amp;$G$1</f>
        <v>1 of 1</v>
      </c>
      <c r="K10" s="15"/>
      <c r="L10" s="18">
        <f>SUM($M$1:M9)</f>
        <v>1</v>
      </c>
      <c r="M10" s="9"/>
      <c r="N10" s="9"/>
      <c r="O10" s="9"/>
      <c r="P10" s="9"/>
      <c r="Q10" s="11"/>
      <c r="R10" s="12"/>
      <c r="S10" s="35"/>
      <c r="T10" s="34"/>
    </row>
    <row r="11" spans="1:69" s="5" customFormat="1" ht="13.8" x14ac:dyDescent="0.3">
      <c r="A11" s="26"/>
      <c r="B11" s="26"/>
      <c r="C11" s="26"/>
      <c r="D11" s="26"/>
      <c r="E11" s="7" t="s">
        <v>29</v>
      </c>
      <c r="F11" s="15" t="str">
        <f>$C$5</f>
        <v>STANDARD SPREADSHEET METHOD</v>
      </c>
      <c r="I11" s="19"/>
      <c r="J11" s="8"/>
      <c r="M11" s="9"/>
      <c r="N11" s="9"/>
      <c r="O11" s="9"/>
      <c r="P11" s="9"/>
      <c r="Q11" s="9"/>
      <c r="R11" s="9"/>
      <c r="S11" s="33"/>
      <c r="T11" s="34"/>
    </row>
    <row r="12" spans="1:69" s="28" customFormat="1" x14ac:dyDescent="0.3">
      <c r="A12" s="61"/>
      <c r="B12" s="21" t="str">
        <f>G4</f>
        <v>LUG ANALYSIS - OBLIQUE STRENGTH</v>
      </c>
      <c r="C12" s="62"/>
      <c r="D12" s="62"/>
      <c r="E12" s="63"/>
      <c r="F12" s="62"/>
      <c r="G12" s="62"/>
      <c r="H12" s="62"/>
      <c r="I12" s="62"/>
      <c r="J12" s="62"/>
      <c r="K12" s="62"/>
      <c r="L12" s="30"/>
      <c r="M12" s="36"/>
      <c r="N12" s="37"/>
      <c r="O12" s="37"/>
      <c r="P12" s="37"/>
      <c r="Q12" s="37"/>
      <c r="R12" s="36"/>
      <c r="S12" s="36"/>
      <c r="T12" s="38"/>
    </row>
    <row r="13" spans="1:69" s="26" customFormat="1" ht="13.8" x14ac:dyDescent="0.3">
      <c r="B13" s="188" t="s">
        <v>129</v>
      </c>
      <c r="C13" s="188"/>
      <c r="D13" s="188"/>
      <c r="E13" s="188"/>
      <c r="F13" s="188"/>
      <c r="G13" s="188"/>
      <c r="H13" s="188"/>
      <c r="I13" s="188"/>
      <c r="J13" s="188"/>
      <c r="K13" s="188"/>
      <c r="L13" s="29"/>
      <c r="M13" s="27"/>
      <c r="N13" s="27"/>
      <c r="O13" s="27"/>
      <c r="P13" s="27"/>
      <c r="Q13" s="27"/>
      <c r="R13" s="27"/>
      <c r="S13" s="27"/>
      <c r="T13" s="27"/>
      <c r="AX13" s="146"/>
      <c r="AY13" s="28"/>
    </row>
    <row r="14" spans="1:69" s="26" customFormat="1" ht="13.8" x14ac:dyDescent="0.3">
      <c r="A14" s="64"/>
      <c r="B14" s="187" t="s">
        <v>65</v>
      </c>
      <c r="C14" s="187"/>
      <c r="D14" s="187"/>
      <c r="E14" s="64"/>
      <c r="F14" s="66" t="s">
        <v>105</v>
      </c>
      <c r="G14" s="111">
        <v>3500</v>
      </c>
      <c r="H14" s="64" t="s">
        <v>69</v>
      </c>
      <c r="I14" s="64" t="s">
        <v>103</v>
      </c>
      <c r="J14" s="64"/>
      <c r="K14" s="64"/>
      <c r="M14" s="27"/>
      <c r="N14" s="27"/>
      <c r="O14" s="27"/>
      <c r="P14" s="27"/>
      <c r="Q14" s="27"/>
      <c r="R14" s="27"/>
      <c r="S14" s="27"/>
      <c r="T14" s="27"/>
      <c r="AN14" s="79"/>
      <c r="AO14" s="80">
        <v>1</v>
      </c>
      <c r="AP14" s="81">
        <v>2</v>
      </c>
      <c r="AQ14" s="80">
        <v>3</v>
      </c>
      <c r="AR14" s="81">
        <v>4</v>
      </c>
      <c r="AS14" s="150">
        <v>5</v>
      </c>
      <c r="AT14" s="80">
        <v>6</v>
      </c>
      <c r="AU14" s="81">
        <v>7</v>
      </c>
      <c r="AV14" s="80">
        <v>8</v>
      </c>
      <c r="AW14" s="146"/>
      <c r="AX14" s="146"/>
      <c r="AY14" s="28"/>
      <c r="AZ14" s="79"/>
      <c r="BA14" s="80" t="s">
        <v>100</v>
      </c>
      <c r="BB14" s="81" t="s">
        <v>99</v>
      </c>
      <c r="BC14" s="80"/>
      <c r="BD14" s="80" t="s">
        <v>98</v>
      </c>
      <c r="BE14" s="81">
        <v>2</v>
      </c>
      <c r="BF14" s="150">
        <v>3</v>
      </c>
      <c r="BG14" s="80">
        <v>4</v>
      </c>
      <c r="BH14" s="81">
        <v>5</v>
      </c>
      <c r="BI14" s="80">
        <v>6</v>
      </c>
      <c r="BJ14" s="81">
        <v>7</v>
      </c>
      <c r="BK14" s="80">
        <v>8</v>
      </c>
      <c r="BL14" s="81">
        <v>9</v>
      </c>
      <c r="BM14" s="80">
        <v>10</v>
      </c>
      <c r="BN14" s="80">
        <v>11</v>
      </c>
      <c r="BO14" s="146"/>
      <c r="BP14" s="146"/>
      <c r="BQ14" s="30"/>
    </row>
    <row r="15" spans="1:69" s="26" customFormat="1" ht="13.8" x14ac:dyDescent="0.3">
      <c r="A15" s="64"/>
      <c r="B15" s="65"/>
      <c r="C15" s="64"/>
      <c r="D15" s="66"/>
      <c r="F15" s="66" t="s">
        <v>106</v>
      </c>
      <c r="G15" s="111">
        <v>1500</v>
      </c>
      <c r="H15" s="64" t="s">
        <v>69</v>
      </c>
      <c r="I15" s="64" t="s">
        <v>104</v>
      </c>
      <c r="K15" s="28"/>
      <c r="M15" s="27"/>
      <c r="N15" s="27"/>
      <c r="O15" s="27"/>
      <c r="P15" s="27"/>
      <c r="Q15" s="27"/>
      <c r="R15" s="27"/>
      <c r="S15" s="27"/>
      <c r="T15" s="27"/>
      <c r="V15" s="39"/>
      <c r="W15" s="39"/>
      <c r="Y15" s="5"/>
      <c r="Z15" s="5"/>
      <c r="AA15" s="5"/>
      <c r="AB15" s="5"/>
      <c r="AC15" s="7"/>
      <c r="AD15" s="5"/>
      <c r="AE15" s="5"/>
      <c r="AF15" s="5"/>
      <c r="AG15" s="5"/>
      <c r="AH15" s="5"/>
      <c r="AI15" s="5"/>
      <c r="AN15" s="129" t="s">
        <v>75</v>
      </c>
      <c r="AO15" s="129" t="s">
        <v>81</v>
      </c>
      <c r="AP15" s="129" t="s">
        <v>80</v>
      </c>
      <c r="AQ15" s="129" t="s">
        <v>79</v>
      </c>
      <c r="AR15" s="149" t="s">
        <v>50</v>
      </c>
      <c r="AS15" s="148" t="s">
        <v>50</v>
      </c>
      <c r="AT15" s="147" t="s">
        <v>50</v>
      </c>
      <c r="AU15" s="146" t="s">
        <v>50</v>
      </c>
      <c r="AV15" s="147" t="s">
        <v>50</v>
      </c>
      <c r="AW15" s="146"/>
      <c r="AX15" s="138"/>
      <c r="AY15" s="28"/>
      <c r="AZ15" s="129" t="s">
        <v>75</v>
      </c>
      <c r="BA15" s="129" t="s">
        <v>81</v>
      </c>
      <c r="BB15" s="129" t="s">
        <v>80</v>
      </c>
      <c r="BC15" s="129" t="s">
        <v>97</v>
      </c>
      <c r="BD15" s="129"/>
      <c r="BE15" s="129" t="s">
        <v>79</v>
      </c>
      <c r="BF15" s="129" t="s">
        <v>96</v>
      </c>
      <c r="BG15" s="129" t="s">
        <v>95</v>
      </c>
      <c r="BH15" s="129" t="s">
        <v>94</v>
      </c>
      <c r="BI15" s="129" t="s">
        <v>93</v>
      </c>
      <c r="BJ15" s="129" t="s">
        <v>92</v>
      </c>
      <c r="BK15" s="129" t="s">
        <v>91</v>
      </c>
      <c r="BL15" s="129" t="s">
        <v>90</v>
      </c>
      <c r="BM15" s="129" t="s">
        <v>89</v>
      </c>
      <c r="BN15" s="129" t="s">
        <v>88</v>
      </c>
      <c r="BO15" s="146"/>
      <c r="BP15" s="146"/>
      <c r="BQ15" s="30"/>
    </row>
    <row r="16" spans="1:69" s="28" customFormat="1" ht="13.8" x14ac:dyDescent="0.3">
      <c r="F16" s="71" t="s">
        <v>55</v>
      </c>
      <c r="G16" s="72">
        <v>0.75</v>
      </c>
      <c r="H16" s="73" t="s">
        <v>64</v>
      </c>
      <c r="I16" s="73" t="s">
        <v>56</v>
      </c>
      <c r="J16" s="74"/>
      <c r="M16" s="36"/>
      <c r="N16" s="36"/>
      <c r="O16" s="36"/>
      <c r="P16" s="36"/>
      <c r="Q16" s="38"/>
      <c r="R16" s="27"/>
      <c r="S16" s="27"/>
      <c r="T16" s="27"/>
      <c r="AM16" s="26"/>
      <c r="AN16" s="128">
        <v>1</v>
      </c>
      <c r="AO16" s="128">
        <v>1</v>
      </c>
      <c r="AP16" s="143">
        <v>1</v>
      </c>
      <c r="AQ16" s="143">
        <v>1</v>
      </c>
      <c r="AR16" s="145">
        <v>1</v>
      </c>
      <c r="AS16" s="145">
        <v>1</v>
      </c>
      <c r="AT16" s="87">
        <v>1</v>
      </c>
      <c r="AU16" s="144">
        <v>1</v>
      </c>
      <c r="AV16" s="143">
        <v>1</v>
      </c>
      <c r="AW16" s="138"/>
      <c r="AX16" s="138"/>
      <c r="AZ16" s="154">
        <v>0</v>
      </c>
      <c r="BA16" s="171">
        <v>0</v>
      </c>
      <c r="BB16" s="171">
        <v>0</v>
      </c>
      <c r="BC16" s="173">
        <v>0</v>
      </c>
      <c r="BD16" s="172">
        <f>0.9*BB16</f>
        <v>0</v>
      </c>
      <c r="BE16" s="172">
        <f>0.9*BC16</f>
        <v>0</v>
      </c>
      <c r="BF16" s="170">
        <f>BE16*0.9</f>
        <v>0</v>
      </c>
      <c r="BG16" s="171">
        <v>0</v>
      </c>
      <c r="BH16" s="171">
        <v>0</v>
      </c>
      <c r="BI16" s="170">
        <v>0</v>
      </c>
      <c r="BJ16" s="170">
        <v>0</v>
      </c>
      <c r="BK16" s="87">
        <f>BH16*0.65</f>
        <v>0</v>
      </c>
      <c r="BL16" s="87">
        <v>0</v>
      </c>
      <c r="BM16" s="87">
        <v>0</v>
      </c>
      <c r="BN16" s="169">
        <v>0</v>
      </c>
      <c r="BO16" s="138"/>
      <c r="BP16" s="138"/>
      <c r="BQ16" s="30"/>
    </row>
    <row r="17" spans="1:69" s="28" customFormat="1" ht="13.8" x14ac:dyDescent="0.3">
      <c r="F17" s="71" t="s">
        <v>57</v>
      </c>
      <c r="G17" s="72">
        <v>0.375</v>
      </c>
      <c r="H17" s="73" t="s">
        <v>64</v>
      </c>
      <c r="I17" s="75" t="s">
        <v>58</v>
      </c>
      <c r="M17" s="36"/>
      <c r="N17" s="36"/>
      <c r="O17" s="36"/>
      <c r="P17" s="36"/>
      <c r="Q17" s="38"/>
      <c r="R17" s="27"/>
      <c r="S17" s="27"/>
      <c r="T17" s="27"/>
      <c r="AN17" s="127">
        <v>1.5</v>
      </c>
      <c r="AO17" s="127">
        <v>0.99</v>
      </c>
      <c r="AP17" s="136">
        <v>0.99</v>
      </c>
      <c r="AQ17" s="136">
        <v>0.98</v>
      </c>
      <c r="AR17" s="135">
        <v>0.95</v>
      </c>
      <c r="AS17" s="135">
        <v>0.95</v>
      </c>
      <c r="AT17" s="86">
        <v>0.87</v>
      </c>
      <c r="AU17" s="138">
        <v>0.92500000000000004</v>
      </c>
      <c r="AV17" s="136">
        <v>0.98</v>
      </c>
      <c r="AW17" s="138"/>
      <c r="AX17" s="138"/>
      <c r="AZ17" s="37">
        <v>0.1</v>
      </c>
      <c r="BA17" s="162">
        <v>0.16</v>
      </c>
      <c r="BB17" s="162">
        <v>0.16</v>
      </c>
      <c r="BC17" s="168">
        <v>0.16</v>
      </c>
      <c r="BD17" s="163">
        <v>0.14000000000000001</v>
      </c>
      <c r="BE17" s="163">
        <v>0.14000000000000001</v>
      </c>
      <c r="BF17" s="160">
        <f t="shared" ref="BF17:BF22" si="0">BE17*0.87</f>
        <v>0.12180000000000001</v>
      </c>
      <c r="BG17" s="162">
        <v>0.16</v>
      </c>
      <c r="BH17" s="162">
        <v>0.16</v>
      </c>
      <c r="BI17" s="160">
        <f t="shared" ref="BI17:BI28" si="1">BG17*0.75</f>
        <v>0.12</v>
      </c>
      <c r="BJ17" s="160">
        <f t="shared" ref="BJ17:BJ28" si="2">BI17*0.9</f>
        <v>0.108</v>
      </c>
      <c r="BK17" s="160">
        <f>BA17</f>
        <v>0.16</v>
      </c>
      <c r="BL17" s="86">
        <f t="shared" ref="BL17:BL28" si="3">BK17*0.95</f>
        <v>0.152</v>
      </c>
      <c r="BM17" s="162">
        <v>0.16</v>
      </c>
      <c r="BN17" s="36">
        <f t="shared" ref="BN17:BN28" si="4">BM17*0.5</f>
        <v>0.08</v>
      </c>
      <c r="BO17" s="138"/>
      <c r="BP17" s="138"/>
      <c r="BQ17" s="30"/>
    </row>
    <row r="18" spans="1:69" s="28" customFormat="1" ht="13.8" x14ac:dyDescent="0.3">
      <c r="A18" s="76"/>
      <c r="B18" s="77"/>
      <c r="C18" s="78"/>
      <c r="D18" s="78"/>
      <c r="F18" s="71" t="s">
        <v>60</v>
      </c>
      <c r="G18" s="72">
        <v>1</v>
      </c>
      <c r="H18" s="73" t="s">
        <v>64</v>
      </c>
      <c r="I18" s="73" t="s">
        <v>61</v>
      </c>
      <c r="M18" s="36"/>
      <c r="N18" s="36"/>
      <c r="O18" s="36"/>
      <c r="P18" s="36"/>
      <c r="Q18" s="38"/>
      <c r="R18" s="27"/>
      <c r="S18" s="27"/>
      <c r="T18" s="27"/>
      <c r="AN18" s="126">
        <v>2</v>
      </c>
      <c r="AO18" s="126">
        <v>0.97</v>
      </c>
      <c r="AP18" s="141">
        <v>0.96499999999999997</v>
      </c>
      <c r="AQ18" s="141">
        <v>0.94</v>
      </c>
      <c r="AR18" s="140">
        <v>0.9</v>
      </c>
      <c r="AS18" s="140">
        <v>0.9</v>
      </c>
      <c r="AT18" s="86">
        <v>0.7</v>
      </c>
      <c r="AU18" s="138">
        <v>0.84</v>
      </c>
      <c r="AV18" s="141">
        <v>0.94</v>
      </c>
      <c r="AW18" s="138"/>
      <c r="AX18" s="138"/>
      <c r="AZ18" s="153">
        <v>0.2</v>
      </c>
      <c r="BA18" s="165">
        <v>0.3</v>
      </c>
      <c r="BB18" s="165">
        <v>0.3</v>
      </c>
      <c r="BC18" s="166">
        <v>0.3</v>
      </c>
      <c r="BD18" s="163">
        <v>0.26500000000000001</v>
      </c>
      <c r="BE18" s="163">
        <v>0.26500000000000001</v>
      </c>
      <c r="BF18" s="160">
        <f t="shared" si="0"/>
        <v>0.23055</v>
      </c>
      <c r="BG18" s="165">
        <v>0.3</v>
      </c>
      <c r="BH18" s="165">
        <v>0.3</v>
      </c>
      <c r="BI18" s="160">
        <f t="shared" si="1"/>
        <v>0.22499999999999998</v>
      </c>
      <c r="BJ18" s="160">
        <f t="shared" si="2"/>
        <v>0.20249999999999999</v>
      </c>
      <c r="BK18" s="86">
        <v>0.3</v>
      </c>
      <c r="BL18" s="86">
        <f t="shared" si="3"/>
        <v>0.28499999999999998</v>
      </c>
      <c r="BM18" s="86">
        <v>0.24</v>
      </c>
      <c r="BN18" s="36">
        <f t="shared" si="4"/>
        <v>0.12</v>
      </c>
      <c r="BO18" s="138"/>
      <c r="BP18" s="138"/>
      <c r="BQ18" s="30"/>
    </row>
    <row r="19" spans="1:69" s="28" customFormat="1" ht="15" x14ac:dyDescent="0.35">
      <c r="A19" s="78"/>
      <c r="B19" s="78"/>
      <c r="C19" s="78"/>
      <c r="D19" s="78"/>
      <c r="E19" s="78"/>
      <c r="F19" s="90" t="s">
        <v>74</v>
      </c>
      <c r="G19" s="91">
        <v>75000</v>
      </c>
      <c r="H19" s="78" t="s">
        <v>67</v>
      </c>
      <c r="I19" s="151" t="s">
        <v>83</v>
      </c>
      <c r="M19" s="36"/>
      <c r="N19" s="36"/>
      <c r="O19" s="36"/>
      <c r="P19" s="36"/>
      <c r="Q19" s="38"/>
      <c r="R19" s="27"/>
      <c r="S19" s="27"/>
      <c r="T19" s="27"/>
      <c r="V19" s="79"/>
      <c r="W19" s="80">
        <v>2</v>
      </c>
      <c r="X19" s="81">
        <v>3</v>
      </c>
      <c r="Y19" s="80">
        <v>4</v>
      </c>
      <c r="Z19" s="81">
        <v>5</v>
      </c>
      <c r="AA19" s="80">
        <v>6</v>
      </c>
      <c r="AB19" s="80">
        <v>7</v>
      </c>
      <c r="AC19" s="80">
        <v>8</v>
      </c>
      <c r="AD19" s="80">
        <v>9</v>
      </c>
      <c r="AE19" s="80">
        <v>10</v>
      </c>
      <c r="AF19" s="80">
        <v>15</v>
      </c>
      <c r="AG19" s="80">
        <v>20</v>
      </c>
      <c r="AH19" s="80">
        <v>30</v>
      </c>
      <c r="AJ19" s="80" t="s">
        <v>48</v>
      </c>
      <c r="AK19" s="80" t="s">
        <v>49</v>
      </c>
      <c r="AN19" s="126">
        <v>2.5</v>
      </c>
      <c r="AO19" s="126">
        <v>0.95</v>
      </c>
      <c r="AP19" s="141">
        <v>0.94499999999999995</v>
      </c>
      <c r="AQ19" s="141">
        <v>0.9</v>
      </c>
      <c r="AR19" s="140">
        <v>0.85</v>
      </c>
      <c r="AS19" s="140">
        <v>0.83499999999999996</v>
      </c>
      <c r="AT19" s="86">
        <v>0.56499999999999995</v>
      </c>
      <c r="AU19" s="138">
        <v>0.78</v>
      </c>
      <c r="AV19" s="141">
        <v>0.9</v>
      </c>
      <c r="AW19" s="138"/>
      <c r="AX19" s="138"/>
      <c r="AZ19" s="153">
        <v>0.3</v>
      </c>
      <c r="BA19" s="165">
        <v>0.44</v>
      </c>
      <c r="BB19" s="165">
        <v>0.44</v>
      </c>
      <c r="BC19" s="166">
        <v>0.42</v>
      </c>
      <c r="BD19" s="163">
        <v>0.375</v>
      </c>
      <c r="BE19" s="163">
        <v>0.375</v>
      </c>
      <c r="BF19" s="160">
        <f t="shared" si="0"/>
        <v>0.32624999999999998</v>
      </c>
      <c r="BG19" s="165">
        <v>0.43</v>
      </c>
      <c r="BH19" s="160">
        <v>0.4</v>
      </c>
      <c r="BI19" s="160">
        <f t="shared" si="1"/>
        <v>0.32250000000000001</v>
      </c>
      <c r="BJ19" s="160">
        <f t="shared" si="2"/>
        <v>0.29025000000000001</v>
      </c>
      <c r="BK19" s="86">
        <v>0.38500000000000001</v>
      </c>
      <c r="BL19" s="86">
        <f t="shared" si="3"/>
        <v>0.36574999999999996</v>
      </c>
      <c r="BM19" s="86">
        <v>0.27500000000000002</v>
      </c>
      <c r="BN19" s="36">
        <f t="shared" si="4"/>
        <v>0.13750000000000001</v>
      </c>
      <c r="BO19" s="138"/>
      <c r="BP19" s="138"/>
      <c r="BQ19" s="30"/>
    </row>
    <row r="20" spans="1:69" s="28" customFormat="1" ht="15" x14ac:dyDescent="0.35">
      <c r="A20" s="78"/>
      <c r="B20" s="78"/>
      <c r="C20" s="78"/>
      <c r="D20" s="78"/>
      <c r="E20" s="78"/>
      <c r="F20" s="90" t="s">
        <v>74</v>
      </c>
      <c r="G20" s="91">
        <v>68000</v>
      </c>
      <c r="H20" s="78" t="s">
        <v>67</v>
      </c>
      <c r="I20" s="151" t="s">
        <v>112</v>
      </c>
      <c r="J20" s="151"/>
      <c r="K20" s="151"/>
      <c r="M20" s="36"/>
      <c r="N20" s="36"/>
      <c r="O20" s="36"/>
      <c r="P20" s="36"/>
      <c r="Q20" s="38"/>
      <c r="R20" s="27"/>
      <c r="S20" s="27"/>
      <c r="T20" s="27"/>
      <c r="V20" s="82" t="s">
        <v>47</v>
      </c>
      <c r="W20" s="82" t="s">
        <v>50</v>
      </c>
      <c r="X20" s="82" t="s">
        <v>50</v>
      </c>
      <c r="Y20" s="82" t="s">
        <v>50</v>
      </c>
      <c r="Z20" s="82" t="s">
        <v>50</v>
      </c>
      <c r="AA20" s="82" t="s">
        <v>50</v>
      </c>
      <c r="AB20" s="82" t="s">
        <v>50</v>
      </c>
      <c r="AC20" s="82" t="s">
        <v>50</v>
      </c>
      <c r="AD20" s="82" t="s">
        <v>50</v>
      </c>
      <c r="AE20" s="82" t="s">
        <v>50</v>
      </c>
      <c r="AF20" s="82" t="s">
        <v>50</v>
      </c>
      <c r="AG20" s="82" t="s">
        <v>50</v>
      </c>
      <c r="AH20" s="82" t="s">
        <v>50</v>
      </c>
      <c r="AJ20" s="82" t="s">
        <v>50</v>
      </c>
      <c r="AK20" s="82" t="s">
        <v>50</v>
      </c>
      <c r="AN20" s="126">
        <v>3</v>
      </c>
      <c r="AO20" s="126">
        <v>0.92500000000000004</v>
      </c>
      <c r="AP20" s="141">
        <v>0.92500000000000004</v>
      </c>
      <c r="AQ20" s="141">
        <v>0.87</v>
      </c>
      <c r="AR20" s="140">
        <v>0.8</v>
      </c>
      <c r="AS20" s="139">
        <v>0.745</v>
      </c>
      <c r="AT20" s="86">
        <v>0.46</v>
      </c>
      <c r="AU20" s="138">
        <v>0.72</v>
      </c>
      <c r="AV20" s="141">
        <v>0.84</v>
      </c>
      <c r="AW20" s="138"/>
      <c r="AX20" s="138"/>
      <c r="AZ20" s="153">
        <v>0.4</v>
      </c>
      <c r="BA20" s="165">
        <v>0.56999999999999995</v>
      </c>
      <c r="BB20" s="165">
        <v>0.56999999999999995</v>
      </c>
      <c r="BC20" s="166">
        <v>0.53</v>
      </c>
      <c r="BD20" s="163">
        <v>0.47</v>
      </c>
      <c r="BE20" s="163">
        <v>0.47</v>
      </c>
      <c r="BF20" s="160">
        <f t="shared" si="0"/>
        <v>0.40889999999999999</v>
      </c>
      <c r="BG20" s="165">
        <v>0.52</v>
      </c>
      <c r="BH20" s="160">
        <v>0.5</v>
      </c>
      <c r="BI20" s="160">
        <f t="shared" si="1"/>
        <v>0.39</v>
      </c>
      <c r="BJ20" s="160">
        <f t="shared" si="2"/>
        <v>0.35100000000000003</v>
      </c>
      <c r="BK20" s="86">
        <v>0.435</v>
      </c>
      <c r="BL20" s="86">
        <f t="shared" si="3"/>
        <v>0.41325000000000001</v>
      </c>
      <c r="BM20" s="86">
        <v>0.28999999999999998</v>
      </c>
      <c r="BN20" s="36">
        <f t="shared" si="4"/>
        <v>0.14499999999999999</v>
      </c>
      <c r="BO20" s="138"/>
      <c r="BP20" s="138"/>
      <c r="BQ20" s="30"/>
    </row>
    <row r="21" spans="1:69" s="28" customFormat="1" ht="13.8" x14ac:dyDescent="0.3">
      <c r="A21" s="78"/>
      <c r="B21" s="78"/>
      <c r="C21" s="78"/>
      <c r="D21" s="78"/>
      <c r="E21" s="78"/>
      <c r="F21" s="115" t="s">
        <v>102</v>
      </c>
      <c r="G21" s="111">
        <v>6.5000000000000002E-2</v>
      </c>
      <c r="H21" s="28" t="s">
        <v>71</v>
      </c>
      <c r="I21" s="151"/>
      <c r="J21" s="151"/>
      <c r="K21" s="151"/>
      <c r="M21" s="36"/>
      <c r="N21" s="36"/>
      <c r="O21" s="36"/>
      <c r="P21" s="36"/>
      <c r="Q21" s="38"/>
      <c r="R21" s="27"/>
      <c r="S21" s="27"/>
      <c r="T21" s="27"/>
      <c r="V21" s="86">
        <v>0.6</v>
      </c>
      <c r="W21" s="86">
        <v>0.2</v>
      </c>
      <c r="X21" s="87">
        <v>0.2</v>
      </c>
      <c r="Y21" s="87">
        <v>0.2</v>
      </c>
      <c r="Z21" s="87">
        <v>0.2</v>
      </c>
      <c r="AA21" s="87">
        <v>0.2</v>
      </c>
      <c r="AB21" s="87">
        <v>0.2</v>
      </c>
      <c r="AC21" s="87">
        <v>0.2</v>
      </c>
      <c r="AD21" s="87">
        <v>0.2</v>
      </c>
      <c r="AE21" s="87">
        <v>0.2</v>
      </c>
      <c r="AF21" s="87">
        <v>0.19</v>
      </c>
      <c r="AG21" s="87">
        <v>0.17</v>
      </c>
      <c r="AH21" s="87">
        <v>0.11</v>
      </c>
      <c r="AJ21" s="87">
        <v>0.2</v>
      </c>
      <c r="AK21" s="87">
        <v>0.2</v>
      </c>
      <c r="AN21" s="126">
        <v>3.5</v>
      </c>
      <c r="AO21" s="126">
        <v>0.91</v>
      </c>
      <c r="AP21" s="141">
        <v>0.90500000000000003</v>
      </c>
      <c r="AQ21" s="141">
        <v>0.84499999999999997</v>
      </c>
      <c r="AR21" s="140">
        <v>0.77</v>
      </c>
      <c r="AS21" s="139">
        <v>0.67</v>
      </c>
      <c r="AT21" s="86">
        <v>0.36499999999999999</v>
      </c>
      <c r="AU21" s="138">
        <v>0.67</v>
      </c>
      <c r="AV21" s="86">
        <v>0.65</v>
      </c>
      <c r="AW21" s="138"/>
      <c r="AX21" s="138"/>
      <c r="AZ21" s="153">
        <v>0.5</v>
      </c>
      <c r="BA21" s="165">
        <v>0.7</v>
      </c>
      <c r="BB21" s="165">
        <v>0.7</v>
      </c>
      <c r="BC21" s="163">
        <v>0.63</v>
      </c>
      <c r="BD21" s="163">
        <v>0.56499999999999995</v>
      </c>
      <c r="BE21" s="163">
        <v>0.56499999999999995</v>
      </c>
      <c r="BF21" s="160">
        <f t="shared" si="0"/>
        <v>0.49154999999999993</v>
      </c>
      <c r="BG21" s="164">
        <v>0.6</v>
      </c>
      <c r="BH21" s="160">
        <v>0.56999999999999995</v>
      </c>
      <c r="BI21" s="160">
        <f t="shared" si="1"/>
        <v>0.44999999999999996</v>
      </c>
      <c r="BJ21" s="160">
        <f t="shared" si="2"/>
        <v>0.40499999999999997</v>
      </c>
      <c r="BK21" s="86">
        <v>0.46500000000000002</v>
      </c>
      <c r="BL21" s="86">
        <f t="shared" si="3"/>
        <v>0.44174999999999998</v>
      </c>
      <c r="BM21" s="86">
        <v>0.3</v>
      </c>
      <c r="BN21" s="36">
        <f t="shared" si="4"/>
        <v>0.15</v>
      </c>
      <c r="BO21" s="30"/>
      <c r="BP21" s="30"/>
      <c r="BQ21" s="30"/>
    </row>
    <row r="22" spans="1:69" s="28" customFormat="1" ht="13.8" x14ac:dyDescent="0.3">
      <c r="A22" s="88"/>
      <c r="B22" s="88"/>
      <c r="C22" s="88"/>
      <c r="D22" s="88"/>
      <c r="E22" s="88"/>
      <c r="F22" s="71" t="s">
        <v>101</v>
      </c>
      <c r="G22" s="176">
        <f>G23</f>
        <v>0.234375</v>
      </c>
      <c r="H22" s="28" t="s">
        <v>71</v>
      </c>
      <c r="I22" s="78" t="str">
        <f ca="1">I23</f>
        <v>(e - D / 2) × t</v>
      </c>
      <c r="J22" s="78"/>
      <c r="K22" s="88"/>
      <c r="M22" s="36"/>
      <c r="N22" s="36"/>
      <c r="O22" s="36"/>
      <c r="P22" s="36"/>
      <c r="Q22" s="38"/>
      <c r="R22" s="27"/>
      <c r="S22" s="27"/>
      <c r="T22" s="27"/>
      <c r="V22" s="86">
        <v>1</v>
      </c>
      <c r="W22" s="86">
        <v>0.84</v>
      </c>
      <c r="X22" s="86">
        <v>0.84</v>
      </c>
      <c r="Y22" s="86">
        <v>0.84</v>
      </c>
      <c r="Z22" s="86">
        <v>0.84</v>
      </c>
      <c r="AA22" s="86">
        <v>0.84</v>
      </c>
      <c r="AB22" s="86">
        <v>0.83499999999999996</v>
      </c>
      <c r="AC22" s="86">
        <v>0.83499999999999996</v>
      </c>
      <c r="AD22" s="86">
        <v>0.83499999999999996</v>
      </c>
      <c r="AE22" s="86">
        <v>0.83</v>
      </c>
      <c r="AF22" s="86">
        <v>0.58499999999999996</v>
      </c>
      <c r="AG22" s="86">
        <v>0.43</v>
      </c>
      <c r="AH22" s="86">
        <v>0.28000000000000003</v>
      </c>
      <c r="AJ22" s="86">
        <v>0.84</v>
      </c>
      <c r="AK22" s="86">
        <v>0.84</v>
      </c>
      <c r="AN22" s="126">
        <v>4</v>
      </c>
      <c r="AO22" s="126">
        <v>0.89500000000000002</v>
      </c>
      <c r="AP22" s="141">
        <v>0.83</v>
      </c>
      <c r="AQ22" s="141">
        <v>0.81499999999999995</v>
      </c>
      <c r="AR22" s="140">
        <v>0.74</v>
      </c>
      <c r="AS22" s="139">
        <v>0.61499999999999999</v>
      </c>
      <c r="AT22" s="86">
        <v>0.28000000000000003</v>
      </c>
      <c r="AU22" s="138">
        <v>0.61499999999999999</v>
      </c>
      <c r="AV22" s="86">
        <v>0.51500000000000001</v>
      </c>
      <c r="AW22" s="138"/>
      <c r="AX22" s="138"/>
      <c r="AZ22" s="153">
        <v>0.6</v>
      </c>
      <c r="BA22" s="165">
        <v>0.83</v>
      </c>
      <c r="BB22" s="165">
        <v>0.83</v>
      </c>
      <c r="BC22" s="163">
        <v>0.73</v>
      </c>
      <c r="BD22" s="163">
        <v>0.66</v>
      </c>
      <c r="BE22" s="163">
        <v>0.66</v>
      </c>
      <c r="BF22" s="160">
        <f t="shared" si="0"/>
        <v>0.57420000000000004</v>
      </c>
      <c r="BG22" s="164">
        <v>0.67</v>
      </c>
      <c r="BH22" s="160">
        <v>0.62</v>
      </c>
      <c r="BI22" s="160">
        <f t="shared" si="1"/>
        <v>0.50250000000000006</v>
      </c>
      <c r="BJ22" s="160">
        <f t="shared" si="2"/>
        <v>0.45225000000000004</v>
      </c>
      <c r="BK22" s="86">
        <v>0.48</v>
      </c>
      <c r="BL22" s="86">
        <f t="shared" si="3"/>
        <v>0.45599999999999996</v>
      </c>
      <c r="BM22" s="86">
        <v>0.31</v>
      </c>
      <c r="BN22" s="36">
        <f t="shared" si="4"/>
        <v>0.155</v>
      </c>
      <c r="BO22" s="30"/>
      <c r="BP22" s="30"/>
      <c r="BQ22" s="30"/>
    </row>
    <row r="23" spans="1:69" s="28" customFormat="1" ht="13.8" x14ac:dyDescent="0.3">
      <c r="F23" s="71" t="s">
        <v>87</v>
      </c>
      <c r="G23" s="176">
        <f>(G18-G16/2)*G17</f>
        <v>0.234375</v>
      </c>
      <c r="H23" s="28" t="s">
        <v>71</v>
      </c>
      <c r="I23" s="78" t="str">
        <f ca="1">[2]!xlv(G23)</f>
        <v>(e - D / 2) × t</v>
      </c>
      <c r="M23" s="36"/>
      <c r="N23" s="36"/>
      <c r="O23" s="36"/>
      <c r="P23" s="36"/>
      <c r="Q23" s="38"/>
      <c r="R23" s="27"/>
      <c r="S23" s="27"/>
      <c r="T23" s="27"/>
      <c r="V23" s="86">
        <v>1.4</v>
      </c>
      <c r="W23" s="86">
        <v>1.36</v>
      </c>
      <c r="X23" s="86">
        <v>1.36</v>
      </c>
      <c r="Y23" s="86">
        <v>1.34</v>
      </c>
      <c r="Z23" s="86">
        <v>1.33</v>
      </c>
      <c r="AA23" s="86">
        <v>1.32</v>
      </c>
      <c r="AB23" s="86">
        <v>1.2849999999999999</v>
      </c>
      <c r="AC23" s="86">
        <v>1.24</v>
      </c>
      <c r="AD23" s="86">
        <v>1.19</v>
      </c>
      <c r="AE23" s="86">
        <v>1.0900000000000001</v>
      </c>
      <c r="AF23" s="86">
        <v>0.75</v>
      </c>
      <c r="AG23" s="86">
        <v>0.56000000000000005</v>
      </c>
      <c r="AH23" s="86">
        <v>0.37</v>
      </c>
      <c r="AJ23" s="86">
        <v>1.25</v>
      </c>
      <c r="AK23" s="86">
        <v>1.07</v>
      </c>
      <c r="AN23" s="126">
        <v>4.5</v>
      </c>
      <c r="AO23" s="126">
        <v>0.85499999999999998</v>
      </c>
      <c r="AP23" s="141">
        <v>0.7</v>
      </c>
      <c r="AQ23" s="141">
        <v>0.77500000000000002</v>
      </c>
      <c r="AR23" s="140">
        <v>0.71</v>
      </c>
      <c r="AS23" s="139">
        <v>0.56999999999999995</v>
      </c>
      <c r="AT23" s="86">
        <v>0.19500000000000001</v>
      </c>
      <c r="AU23" s="138">
        <v>0.56999999999999995</v>
      </c>
      <c r="AV23" s="86">
        <v>0.42499999999999999</v>
      </c>
      <c r="AW23" s="138"/>
      <c r="AX23" s="84"/>
      <c r="AZ23" s="153">
        <v>0.8</v>
      </c>
      <c r="BA23" s="165">
        <v>1.06</v>
      </c>
      <c r="BB23" s="165">
        <v>1.06</v>
      </c>
      <c r="BC23" s="163">
        <v>0.91</v>
      </c>
      <c r="BD23" s="163">
        <v>0.83</v>
      </c>
      <c r="BE23" s="163">
        <v>0.83</v>
      </c>
      <c r="BF23" s="160">
        <v>0.73</v>
      </c>
      <c r="BG23" s="164">
        <v>0.755</v>
      </c>
      <c r="BH23" s="160">
        <v>0.67500000000000004</v>
      </c>
      <c r="BI23" s="160">
        <f t="shared" si="1"/>
        <v>0.56625000000000003</v>
      </c>
      <c r="BJ23" s="160">
        <f t="shared" si="2"/>
        <v>0.50962499999999999</v>
      </c>
      <c r="BK23" s="86">
        <v>0.505</v>
      </c>
      <c r="BL23" s="86">
        <f t="shared" si="3"/>
        <v>0.47974999999999995</v>
      </c>
      <c r="BM23" s="86">
        <v>0.33</v>
      </c>
      <c r="BN23" s="36">
        <f t="shared" si="4"/>
        <v>0.16500000000000001</v>
      </c>
      <c r="BO23" s="30"/>
      <c r="BP23" s="30"/>
      <c r="BQ23" s="30"/>
    </row>
    <row r="24" spans="1:69" s="28" customFormat="1" ht="13.8" x14ac:dyDescent="0.3">
      <c r="F24" s="71" t="s">
        <v>87</v>
      </c>
      <c r="G24" s="111">
        <v>6.5000000000000002E-2</v>
      </c>
      <c r="H24" s="28" t="s">
        <v>71</v>
      </c>
      <c r="M24" s="36"/>
      <c r="N24" s="36"/>
      <c r="O24" s="36"/>
      <c r="P24" s="36"/>
      <c r="Q24" s="38"/>
      <c r="R24" s="27"/>
      <c r="S24" s="27"/>
      <c r="T24" s="27"/>
      <c r="V24" s="86">
        <v>1.8</v>
      </c>
      <c r="W24" s="86">
        <v>1.76</v>
      </c>
      <c r="X24" s="86">
        <v>1.74</v>
      </c>
      <c r="Y24" s="86">
        <v>1.72</v>
      </c>
      <c r="Z24" s="86">
        <v>1.68</v>
      </c>
      <c r="AA24" s="86">
        <v>1.62</v>
      </c>
      <c r="AB24" s="86">
        <v>1.52</v>
      </c>
      <c r="AC24" s="86">
        <v>1.43</v>
      </c>
      <c r="AD24" s="86">
        <v>1.34</v>
      </c>
      <c r="AE24" s="86">
        <v>1.22</v>
      </c>
      <c r="AF24" s="86">
        <v>0.82499999999999996</v>
      </c>
      <c r="AG24" s="86">
        <v>0.61</v>
      </c>
      <c r="AH24" s="86">
        <v>0.4</v>
      </c>
      <c r="AJ24" s="86">
        <v>1.46</v>
      </c>
      <c r="AK24" s="86">
        <v>1.1299999999999999</v>
      </c>
      <c r="AN24" s="125">
        <v>4.8</v>
      </c>
      <c r="AO24" s="125">
        <v>0.81</v>
      </c>
      <c r="AP24" s="137">
        <v>0.65</v>
      </c>
      <c r="AQ24" s="136">
        <v>0.75</v>
      </c>
      <c r="AR24" s="135">
        <v>0.7</v>
      </c>
      <c r="AS24" s="134">
        <v>0.54500000000000004</v>
      </c>
      <c r="AT24" s="37">
        <v>0.14000000000000001</v>
      </c>
      <c r="AU24" s="83">
        <v>0.54500000000000004</v>
      </c>
      <c r="AV24" s="37">
        <v>0.38</v>
      </c>
      <c r="AW24" s="30"/>
      <c r="AX24" s="30"/>
      <c r="AZ24" s="153">
        <v>1</v>
      </c>
      <c r="BA24" s="165">
        <v>1.27</v>
      </c>
      <c r="BB24" s="165">
        <v>1.27</v>
      </c>
      <c r="BC24" s="163">
        <v>1.05</v>
      </c>
      <c r="BD24" s="163">
        <v>0.96499999999999997</v>
      </c>
      <c r="BE24" s="163">
        <v>0.96499999999999997</v>
      </c>
      <c r="BF24" s="160">
        <v>0.875</v>
      </c>
      <c r="BG24" s="164">
        <v>0.81</v>
      </c>
      <c r="BH24" s="160">
        <v>0.69499999999999995</v>
      </c>
      <c r="BI24" s="160">
        <f t="shared" si="1"/>
        <v>0.60750000000000004</v>
      </c>
      <c r="BJ24" s="160">
        <f t="shared" si="2"/>
        <v>0.54675000000000007</v>
      </c>
      <c r="BK24" s="86">
        <v>0.51600000000000001</v>
      </c>
      <c r="BL24" s="86">
        <f t="shared" si="3"/>
        <v>0.49019999999999997</v>
      </c>
      <c r="BM24" s="86">
        <v>0.34</v>
      </c>
      <c r="BN24" s="36">
        <f t="shared" si="4"/>
        <v>0.17</v>
      </c>
      <c r="BO24" s="30"/>
      <c r="BP24" s="30"/>
      <c r="BQ24" s="30"/>
    </row>
    <row r="25" spans="1:69" s="28" customFormat="1" ht="13.8" x14ac:dyDescent="0.3">
      <c r="M25" s="36"/>
      <c r="N25" s="36"/>
      <c r="O25" s="36"/>
      <c r="P25" s="36"/>
      <c r="Q25" s="38"/>
      <c r="R25" s="27"/>
      <c r="S25" s="27"/>
      <c r="T25" s="27"/>
      <c r="V25" s="86">
        <v>2.2000000000000002</v>
      </c>
      <c r="W25" s="86">
        <v>2.08</v>
      </c>
      <c r="X25" s="86">
        <v>2.04</v>
      </c>
      <c r="Y25" s="86">
        <v>1.98</v>
      </c>
      <c r="Z25" s="86">
        <v>1.9</v>
      </c>
      <c r="AA25" s="86">
        <v>1.79</v>
      </c>
      <c r="AB25" s="86">
        <v>1.675</v>
      </c>
      <c r="AC25" s="86">
        <v>1.54</v>
      </c>
      <c r="AD25" s="86">
        <v>1.42</v>
      </c>
      <c r="AE25" s="86">
        <v>1.29</v>
      </c>
      <c r="AF25" s="86">
        <v>0.86</v>
      </c>
      <c r="AG25" s="86">
        <v>0.64</v>
      </c>
      <c r="AH25" s="86">
        <v>0.42</v>
      </c>
      <c r="AJ25" s="89">
        <v>1.6</v>
      </c>
      <c r="AK25" s="89">
        <v>1.1499999999999999</v>
      </c>
      <c r="AN25" s="124">
        <v>5</v>
      </c>
      <c r="AO25" s="124">
        <v>0.76</v>
      </c>
      <c r="AP25" s="133">
        <v>0.62</v>
      </c>
      <c r="AQ25" s="133">
        <v>0.73</v>
      </c>
      <c r="AR25" s="132">
        <v>0.69</v>
      </c>
      <c r="AS25" s="106">
        <v>0.52500000000000002</v>
      </c>
      <c r="AT25" s="130">
        <v>0.105</v>
      </c>
      <c r="AU25" s="131">
        <v>0.52500000000000002</v>
      </c>
      <c r="AV25" s="130">
        <v>0.35499999999999998</v>
      </c>
      <c r="AW25" s="30"/>
      <c r="AX25" s="30"/>
      <c r="AZ25" s="153">
        <v>1.1000000000000001</v>
      </c>
      <c r="BA25" s="165">
        <v>1.38</v>
      </c>
      <c r="BB25" s="165">
        <v>1.38</v>
      </c>
      <c r="BC25" s="163">
        <v>1.1200000000000001</v>
      </c>
      <c r="BD25" s="163">
        <v>1.02</v>
      </c>
      <c r="BE25" s="163">
        <v>1.02</v>
      </c>
      <c r="BF25" s="160">
        <v>0.94</v>
      </c>
      <c r="BG25" s="164">
        <v>0.83199999999999996</v>
      </c>
      <c r="BH25" s="160">
        <v>0.70199999999999996</v>
      </c>
      <c r="BI25" s="160">
        <f t="shared" si="1"/>
        <v>0.624</v>
      </c>
      <c r="BJ25" s="160">
        <f t="shared" si="2"/>
        <v>0.56159999999999999</v>
      </c>
      <c r="BK25" s="86">
        <v>0.52</v>
      </c>
      <c r="BL25" s="86">
        <f t="shared" si="3"/>
        <v>0.49399999999999999</v>
      </c>
      <c r="BM25" s="86">
        <v>0.34399999999999997</v>
      </c>
      <c r="BN25" s="36">
        <f t="shared" si="4"/>
        <v>0.17199999999999999</v>
      </c>
      <c r="BO25" s="30"/>
      <c r="BP25" s="30"/>
      <c r="BQ25" s="30"/>
    </row>
    <row r="26" spans="1:69" s="28" customFormat="1" ht="13.8" x14ac:dyDescent="0.3">
      <c r="A26" s="88"/>
      <c r="B26" s="77" t="s">
        <v>107</v>
      </c>
      <c r="C26" s="78"/>
      <c r="D26" s="78"/>
      <c r="E26" s="78"/>
      <c r="M26" s="36"/>
      <c r="N26" s="36"/>
      <c r="O26" s="36"/>
      <c r="P26" s="36"/>
      <c r="Q26" s="38"/>
      <c r="R26" s="27"/>
      <c r="S26" s="27"/>
      <c r="T26" s="27"/>
      <c r="V26" s="86">
        <v>2.6</v>
      </c>
      <c r="W26" s="86">
        <v>2.3199999999999998</v>
      </c>
      <c r="X26" s="86">
        <v>2.27</v>
      </c>
      <c r="Y26" s="86">
        <v>2.17</v>
      </c>
      <c r="Z26" s="86">
        <v>2.0499999999999998</v>
      </c>
      <c r="AA26" s="86">
        <v>1.9</v>
      </c>
      <c r="AB26" s="86">
        <v>1.76</v>
      </c>
      <c r="AC26" s="86">
        <v>1.59</v>
      </c>
      <c r="AD26" s="86">
        <v>1.45</v>
      </c>
      <c r="AE26" s="86">
        <v>1.32</v>
      </c>
      <c r="AF26" s="86">
        <v>0.87</v>
      </c>
      <c r="AG26" s="86">
        <v>0.64500000000000002</v>
      </c>
      <c r="AH26" s="86">
        <v>0.42</v>
      </c>
      <c r="AW26" s="30"/>
      <c r="AZ26" s="153">
        <v>1.2</v>
      </c>
      <c r="BA26" s="165">
        <v>1.48</v>
      </c>
      <c r="BB26" s="165">
        <v>1.48</v>
      </c>
      <c r="BC26" s="163">
        <v>1.18</v>
      </c>
      <c r="BD26" s="163">
        <v>1.075</v>
      </c>
      <c r="BE26" s="163">
        <v>1.075</v>
      </c>
      <c r="BF26" s="160">
        <v>0.99</v>
      </c>
      <c r="BG26" s="164">
        <v>0.84499999999999997</v>
      </c>
      <c r="BH26" s="160">
        <v>0.70499999999999996</v>
      </c>
      <c r="BI26" s="160">
        <f t="shared" si="1"/>
        <v>0.63375000000000004</v>
      </c>
      <c r="BJ26" s="160">
        <f t="shared" si="2"/>
        <v>0.57037500000000008</v>
      </c>
      <c r="BK26" s="86">
        <v>0.52300000000000002</v>
      </c>
      <c r="BL26" s="86">
        <f t="shared" si="3"/>
        <v>0.49685000000000001</v>
      </c>
      <c r="BM26" s="86">
        <v>0.34599999999999997</v>
      </c>
      <c r="BN26" s="36">
        <f t="shared" si="4"/>
        <v>0.17299999999999999</v>
      </c>
      <c r="BO26" s="30"/>
      <c r="BP26" s="30"/>
      <c r="BQ26" s="30"/>
    </row>
    <row r="27" spans="1:69" s="28" customFormat="1" ht="13.8" x14ac:dyDescent="0.3">
      <c r="A27" s="71" t="s">
        <v>62</v>
      </c>
      <c r="B27" s="28" t="str">
        <f>[2]!xln(B28)</f>
        <v>1 / 0.75</v>
      </c>
      <c r="D27" s="71" t="s">
        <v>63</v>
      </c>
      <c r="E27" s="28" t="str">
        <f>[2]!xln(E28)</f>
        <v>IF[0.75 / 0.375&lt;2,2,0.75 / 0.375]</v>
      </c>
      <c r="H27" s="110" t="s">
        <v>72</v>
      </c>
      <c r="K27" s="78"/>
      <c r="M27" s="36"/>
      <c r="N27" s="36"/>
      <c r="O27" s="36"/>
      <c r="P27" s="36"/>
      <c r="Q27" s="38"/>
      <c r="R27" s="27"/>
      <c r="S27" s="27"/>
      <c r="T27" s="27"/>
      <c r="V27" s="86">
        <v>3</v>
      </c>
      <c r="W27" s="86">
        <v>2.54</v>
      </c>
      <c r="X27" s="86">
        <v>2.4500000000000002</v>
      </c>
      <c r="Y27" s="86">
        <v>2.2999999999999998</v>
      </c>
      <c r="Z27" s="86">
        <v>2.15</v>
      </c>
      <c r="AA27" s="86">
        <v>1.98</v>
      </c>
      <c r="AB27" s="86">
        <v>1.81</v>
      </c>
      <c r="AC27" s="86">
        <v>1.6</v>
      </c>
      <c r="AD27" s="86">
        <v>1.45</v>
      </c>
      <c r="AE27" s="86">
        <v>1.32</v>
      </c>
      <c r="AF27" s="86">
        <v>0.87</v>
      </c>
      <c r="AG27" s="86">
        <v>0.64500000000000002</v>
      </c>
      <c r="AH27" s="86">
        <v>0.42</v>
      </c>
      <c r="AX27" s="92"/>
      <c r="AZ27" s="152">
        <v>1.3</v>
      </c>
      <c r="BA27" s="159">
        <v>1.575</v>
      </c>
      <c r="BB27" s="159">
        <v>1.56</v>
      </c>
      <c r="BC27" s="163">
        <v>1.24</v>
      </c>
      <c r="BD27" s="163">
        <v>1.115</v>
      </c>
      <c r="BE27" s="163">
        <v>1.115</v>
      </c>
      <c r="BF27" s="162">
        <v>1.0349999999999999</v>
      </c>
      <c r="BG27" s="161">
        <v>0.85499999999999998</v>
      </c>
      <c r="BH27" s="160">
        <v>0.71</v>
      </c>
      <c r="BI27" s="160">
        <f t="shared" si="1"/>
        <v>0.64124999999999999</v>
      </c>
      <c r="BJ27" s="160">
        <f t="shared" si="2"/>
        <v>0.577125</v>
      </c>
      <c r="BK27" s="86">
        <v>0.52500000000000002</v>
      </c>
      <c r="BL27" s="86">
        <f t="shared" si="3"/>
        <v>0.49874999999999997</v>
      </c>
      <c r="BM27" s="86">
        <v>0.34699999999999998</v>
      </c>
      <c r="BN27" s="36">
        <f t="shared" si="4"/>
        <v>0.17349999999999999</v>
      </c>
      <c r="BO27" s="30"/>
      <c r="BP27" s="30"/>
      <c r="BQ27" s="30"/>
    </row>
    <row r="28" spans="1:69" s="28" customFormat="1" ht="13.8" x14ac:dyDescent="0.3">
      <c r="A28" s="71" t="s">
        <v>66</v>
      </c>
      <c r="B28" s="85">
        <f>G18/G16</f>
        <v>1.3333333333333333</v>
      </c>
      <c r="D28" s="71" t="s">
        <v>66</v>
      </c>
      <c r="E28" s="85">
        <f>IF(G16/G17&lt;2,2,G16/G17)</f>
        <v>2</v>
      </c>
      <c r="H28" s="28" t="s">
        <v>118</v>
      </c>
      <c r="M28" s="36"/>
      <c r="N28" s="36"/>
      <c r="O28" s="36"/>
      <c r="P28" s="36"/>
      <c r="Q28" s="38"/>
      <c r="R28" s="27"/>
      <c r="S28" s="27"/>
      <c r="T28" s="27"/>
      <c r="V28" s="89">
        <v>3.4</v>
      </c>
      <c r="W28" s="89">
        <v>2.72</v>
      </c>
      <c r="X28" s="89">
        <v>2.61</v>
      </c>
      <c r="Y28" s="89">
        <v>2.4</v>
      </c>
      <c r="Z28" s="89">
        <v>2.2200000000000002</v>
      </c>
      <c r="AA28" s="89">
        <v>2.04</v>
      </c>
      <c r="AB28" s="89">
        <v>1.83</v>
      </c>
      <c r="AC28" s="89">
        <v>1.6</v>
      </c>
      <c r="AD28" s="89">
        <v>1.45</v>
      </c>
      <c r="AE28" s="89">
        <v>1.32</v>
      </c>
      <c r="AF28" s="89">
        <v>0.87</v>
      </c>
      <c r="AG28" s="89">
        <v>0.64500000000000002</v>
      </c>
      <c r="AH28" s="89">
        <v>0.42</v>
      </c>
      <c r="AX28" s="92"/>
      <c r="AZ28" s="152">
        <v>1.4</v>
      </c>
      <c r="BA28" s="159">
        <v>1.67</v>
      </c>
      <c r="BB28" s="159">
        <v>1.58</v>
      </c>
      <c r="BC28" s="158">
        <v>1.2949999999999999</v>
      </c>
      <c r="BD28" s="158">
        <v>1.1399999999999999</v>
      </c>
      <c r="BE28" s="158">
        <v>1.1399999999999999</v>
      </c>
      <c r="BF28" s="157">
        <v>1.07</v>
      </c>
      <c r="BG28" s="156">
        <v>0.86499999999999999</v>
      </c>
      <c r="BH28" s="155">
        <v>0.72</v>
      </c>
      <c r="BI28" s="155">
        <f t="shared" si="1"/>
        <v>0.64874999999999994</v>
      </c>
      <c r="BJ28" s="155">
        <f t="shared" si="2"/>
        <v>0.58387499999999992</v>
      </c>
      <c r="BK28" s="89">
        <v>0.53</v>
      </c>
      <c r="BL28" s="89">
        <f t="shared" si="3"/>
        <v>0.50349999999999995</v>
      </c>
      <c r="BM28" s="89">
        <v>0.34799999999999998</v>
      </c>
      <c r="BN28" s="36">
        <f t="shared" si="4"/>
        <v>0.17399999999999999</v>
      </c>
      <c r="BO28" s="30"/>
      <c r="BP28" s="30"/>
      <c r="BQ28" s="30"/>
    </row>
    <row r="29" spans="1:69" s="28" customFormat="1" ht="15" x14ac:dyDescent="0.3">
      <c r="H29" s="71" t="s">
        <v>68</v>
      </c>
      <c r="I29" s="85">
        <f>AC31*B28^4+AD31*B28^3+AE31*B28^2+AF31*B28+AG31</f>
        <v>1.2794267889710598</v>
      </c>
      <c r="M29" s="36"/>
      <c r="N29" s="36"/>
      <c r="O29" s="36"/>
      <c r="P29" s="36"/>
      <c r="Q29" s="38"/>
      <c r="R29" s="27"/>
      <c r="S29" s="27"/>
      <c r="T29" s="27"/>
      <c r="AF29" s="92"/>
      <c r="AG29" s="92"/>
      <c r="AN29" s="129" t="s">
        <v>75</v>
      </c>
      <c r="AR29" s="93"/>
      <c r="AS29" s="93">
        <f>J35</f>
        <v>2.6666666666666665</v>
      </c>
      <c r="AX29" s="92"/>
      <c r="AY29" s="94"/>
      <c r="BK29" s="92"/>
      <c r="BL29" s="92"/>
    </row>
    <row r="30" spans="1:69" s="28" customFormat="1" ht="15" x14ac:dyDescent="0.35">
      <c r="A30" s="112" t="s">
        <v>70</v>
      </c>
      <c r="B30" s="28" t="str">
        <f>[2]!xln(B31)</f>
        <v>0.75 × 0.375</v>
      </c>
      <c r="C30" s="26"/>
      <c r="D30" s="115" t="s">
        <v>73</v>
      </c>
      <c r="E30" s="28" t="str">
        <f>[2]!xln(E31)</f>
        <v>75000 × 1.28 × 0.281</v>
      </c>
      <c r="F30" s="26"/>
      <c r="H30" s="67"/>
      <c r="J30" s="78"/>
      <c r="K30" s="78"/>
      <c r="M30" s="36"/>
      <c r="N30" s="36"/>
      <c r="O30" s="36"/>
      <c r="P30" s="36"/>
      <c r="Q30" s="38"/>
      <c r="R30" s="27"/>
      <c r="S30" s="27"/>
      <c r="T30" s="27"/>
      <c r="Z30" s="28">
        <f>(Z31-W31)/(X31-W31)</f>
        <v>0</v>
      </c>
      <c r="AF30" s="92"/>
      <c r="AG30" s="92"/>
      <c r="AN30" s="128">
        <v>1</v>
      </c>
      <c r="AO30" s="28" t="str">
        <f t="shared" ref="AO30:AO39" si="5">INDEX(AO15:AX15,AP30)</f>
        <v>Kbr</v>
      </c>
      <c r="AP30" s="28">
        <f>C37</f>
        <v>5</v>
      </c>
      <c r="AR30" s="93">
        <f>MATCH(J35,AN30:AN39,1)</f>
        <v>4</v>
      </c>
      <c r="AS30" s="92">
        <f>INDEX(AN30:AN39,AR30)</f>
        <v>2.5</v>
      </c>
      <c r="AT30" s="28">
        <f>INDEX(AO30:AO39,AR30)</f>
        <v>0.9</v>
      </c>
      <c r="AX30" s="92"/>
      <c r="AY30" s="94"/>
      <c r="AZ30" s="129" t="s">
        <v>75</v>
      </c>
      <c r="BE30" s="93"/>
      <c r="BF30" s="93">
        <f>B46</f>
        <v>0.30444964871194385</v>
      </c>
      <c r="BK30" s="92"/>
      <c r="BL30" s="92"/>
    </row>
    <row r="31" spans="1:69" s="28" customFormat="1" ht="13.8" x14ac:dyDescent="0.3">
      <c r="A31" s="41"/>
      <c r="B31" s="113">
        <f>G16*G17</f>
        <v>0.28125</v>
      </c>
      <c r="C31" s="114" t="s">
        <v>71</v>
      </c>
      <c r="D31" s="19" t="s">
        <v>66</v>
      </c>
      <c r="E31" s="179">
        <f>G19*I29*B31</f>
        <v>26987.90882985829</v>
      </c>
      <c r="F31" s="114" t="s">
        <v>69</v>
      </c>
      <c r="H31" s="43"/>
      <c r="I31" s="39"/>
      <c r="J31" s="66"/>
      <c r="K31" s="116"/>
      <c r="M31" s="36"/>
      <c r="N31" s="36"/>
      <c r="O31" s="36"/>
      <c r="P31" s="36"/>
      <c r="Q31" s="38"/>
      <c r="R31" s="27"/>
      <c r="S31" s="27"/>
      <c r="T31" s="27"/>
      <c r="V31" s="80" t="s">
        <v>47</v>
      </c>
      <c r="W31" s="28">
        <f>IF(INDEX(W19:AH19,MATCH(E28,W19:AH19,1))&gt;20,20,INDEX(W19:AH19,MATCH(E28,W19:AH19,1)))</f>
        <v>2</v>
      </c>
      <c r="X31" s="28">
        <f>INDEX(W19:AH19,Y32+1)</f>
        <v>3</v>
      </c>
      <c r="Z31" s="93">
        <f>E28</f>
        <v>2</v>
      </c>
      <c r="AC31" s="28">
        <f t="array" ref="AC31:AG31">LINEST(Z32:Z39,V32:V39^{1,2,3,4})</f>
        <v>7.3982007575744467E-4</v>
      </c>
      <c r="AD31" s="28">
        <v>5.1688762626263741E-2</v>
      </c>
      <c r="AE31" s="28">
        <v>-0.56824100378788189</v>
      </c>
      <c r="AF31" s="92">
        <v>2.4169800685425713</v>
      </c>
      <c r="AG31" s="92">
        <v>-1.0578667816558445</v>
      </c>
      <c r="AN31" s="127">
        <v>1.5</v>
      </c>
      <c r="AO31" s="28">
        <f t="shared" si="5"/>
        <v>1</v>
      </c>
      <c r="AP31" s="28">
        <f>C37</f>
        <v>5</v>
      </c>
      <c r="AR31" s="93">
        <f>AR30+1</f>
        <v>5</v>
      </c>
      <c r="AS31" s="92">
        <f>INDEX(AN30:AN39,AR31)</f>
        <v>3</v>
      </c>
      <c r="AT31" s="28">
        <f>INDEX(AO30:AO39,AR31)</f>
        <v>0.83499999999999996</v>
      </c>
      <c r="AX31" s="92"/>
      <c r="AY31" s="94"/>
      <c r="AZ31" s="154">
        <v>0</v>
      </c>
      <c r="BA31" s="28">
        <f>INDEX(BA16:BN16,MATCH(BB31,BA14:BN14,0))</f>
        <v>0</v>
      </c>
      <c r="BB31" s="28">
        <f>E46</f>
        <v>8</v>
      </c>
      <c r="BE31" s="93">
        <f>MATCH(B46,AZ31:AZ40,1)</f>
        <v>4</v>
      </c>
      <c r="BF31" s="92">
        <f>INDEX(AZ31:AZ43,BE31)</f>
        <v>0.3</v>
      </c>
      <c r="BG31" s="28">
        <f>INDEX(BA31:BA43,BE31)</f>
        <v>0.38500000000000001</v>
      </c>
      <c r="BK31" s="92"/>
      <c r="BL31" s="92"/>
    </row>
    <row r="32" spans="1:69" s="28" customFormat="1" ht="13.8" x14ac:dyDescent="0.3">
      <c r="M32" s="36"/>
      <c r="N32" s="36"/>
      <c r="O32" s="36"/>
      <c r="P32" s="36"/>
      <c r="Q32" s="38"/>
      <c r="R32" s="27"/>
      <c r="S32" s="27"/>
      <c r="T32" s="27"/>
      <c r="V32" s="86">
        <v>0.6</v>
      </c>
      <c r="W32" s="28">
        <f>INDEX(W21:AH21,Y32)</f>
        <v>0.2</v>
      </c>
      <c r="X32" s="28">
        <f>INDEX(W21:AH21,Y32+1)</f>
        <v>0.2</v>
      </c>
      <c r="Y32" s="28">
        <f>MATCH(W31,W19:AH19,1)</f>
        <v>1</v>
      </c>
      <c r="Z32" s="93">
        <f>(X32-W32)*Z30+W32</f>
        <v>0.2</v>
      </c>
      <c r="AA32" s="92">
        <f>AC31*V32^4+AD31*V32^3+AE31*V32^2+AF31*V32+AG31</f>
        <v>0.19901515151515192</v>
      </c>
      <c r="AF32" s="92"/>
      <c r="AG32" s="92"/>
      <c r="AN32" s="126">
        <v>2</v>
      </c>
      <c r="AO32" s="28">
        <f t="shared" si="5"/>
        <v>0.95</v>
      </c>
      <c r="AP32" s="28">
        <f>C37</f>
        <v>5</v>
      </c>
      <c r="AR32" s="93"/>
      <c r="AS32" s="92"/>
      <c r="AX32" s="92"/>
      <c r="AY32" s="94"/>
      <c r="AZ32" s="37">
        <v>0.1</v>
      </c>
      <c r="BA32" s="28">
        <f>INDEX(BA17:BN17,MATCH(BB32,BA14:BN14,0))</f>
        <v>0.16</v>
      </c>
      <c r="BB32" s="28">
        <f>E46</f>
        <v>8</v>
      </c>
      <c r="BE32" s="93">
        <f>BE31+1</f>
        <v>5</v>
      </c>
      <c r="BF32" s="92">
        <f>INDEX(AZ31:AZ43,BE32)</f>
        <v>0.4</v>
      </c>
      <c r="BG32" s="28">
        <f>INDEX(BA31:BA43,BE32)</f>
        <v>0.435</v>
      </c>
      <c r="BK32" s="92"/>
      <c r="BL32" s="92"/>
    </row>
    <row r="33" spans="1:69" s="28" customFormat="1" ht="13.8" x14ac:dyDescent="0.3">
      <c r="A33" s="78"/>
      <c r="B33" s="77" t="s">
        <v>108</v>
      </c>
      <c r="C33" s="78"/>
      <c r="D33" s="78"/>
      <c r="E33" s="78"/>
      <c r="F33" s="78"/>
      <c r="G33" s="78"/>
      <c r="I33" s="39"/>
      <c r="J33" s="42"/>
      <c r="K33" s="42"/>
      <c r="M33" s="36"/>
      <c r="N33" s="36"/>
      <c r="O33" s="36"/>
      <c r="P33" s="36"/>
      <c r="Q33" s="38"/>
      <c r="R33" s="27"/>
      <c r="S33" s="27"/>
      <c r="T33" s="27"/>
      <c r="V33" s="86">
        <v>1</v>
      </c>
      <c r="W33" s="28">
        <f t="shared" ref="W33:W39" si="6">INDEX(W22:AH22,Y33)</f>
        <v>0.84</v>
      </c>
      <c r="X33" s="28">
        <f t="shared" ref="X33:X39" si="7">INDEX(W22:AH22,Y33+1)</f>
        <v>0.84</v>
      </c>
      <c r="Y33" s="28">
        <f>MATCH(W31,W19:AH19,1)</f>
        <v>1</v>
      </c>
      <c r="Z33" s="93">
        <f>(X33-W33)*Z30+W33</f>
        <v>0.84</v>
      </c>
      <c r="AA33" s="92">
        <f>AC31*V33^4+AD31*V33^3+AE31*V33^2+AF31*V33+AG31</f>
        <v>0.84330086580086605</v>
      </c>
      <c r="AF33" s="92"/>
      <c r="AG33" s="92"/>
      <c r="AN33" s="126">
        <v>2.5</v>
      </c>
      <c r="AO33" s="28">
        <f t="shared" si="5"/>
        <v>0.9</v>
      </c>
      <c r="AP33" s="28">
        <f>C37</f>
        <v>5</v>
      </c>
      <c r="AR33" s="93"/>
      <c r="AS33" s="92">
        <f>(AS29-AS30)/(AS31-AS30)*(AT31-AT30)+AT30</f>
        <v>0.87833333333333341</v>
      </c>
      <c r="AX33" s="92"/>
      <c r="AZ33" s="153">
        <v>0.2</v>
      </c>
      <c r="BA33" s="28">
        <f>INDEX(BA18:BN18,MATCH(BB33,BA14:BN14,0))</f>
        <v>0.3</v>
      </c>
      <c r="BB33" s="28">
        <f>E46</f>
        <v>8</v>
      </c>
      <c r="BE33" s="93"/>
      <c r="BF33" s="92"/>
      <c r="BK33" s="92"/>
      <c r="BL33" s="92"/>
    </row>
    <row r="34" spans="1:69" s="28" customFormat="1" ht="15" x14ac:dyDescent="0.3">
      <c r="A34" s="115" t="s">
        <v>82</v>
      </c>
      <c r="B34" s="28" t="str">
        <f>[2]!xln(B35)</f>
        <v>1 × 2</v>
      </c>
      <c r="E34" s="71" t="s">
        <v>77</v>
      </c>
      <c r="F34" s="28" t="str">
        <f>[2]!xln(F35)</f>
        <v>(2 - 0.75) × 0.375</v>
      </c>
      <c r="G34" s="78"/>
      <c r="H34" s="64"/>
      <c r="I34" s="71" t="s">
        <v>78</v>
      </c>
      <c r="J34" s="28" t="str">
        <f>[2]!xln(J35)</f>
        <v>2 / 0.75</v>
      </c>
      <c r="K34" s="64"/>
      <c r="M34" s="36"/>
      <c r="N34" s="36"/>
      <c r="O34" s="36"/>
      <c r="P34" s="36"/>
      <c r="Q34" s="38"/>
      <c r="R34" s="27"/>
      <c r="S34" s="27"/>
      <c r="T34" s="27"/>
      <c r="V34" s="86">
        <v>1.4</v>
      </c>
      <c r="W34" s="28">
        <f t="shared" si="6"/>
        <v>1.36</v>
      </c>
      <c r="X34" s="28">
        <f t="shared" si="7"/>
        <v>1.36</v>
      </c>
      <c r="Y34" s="28">
        <f>MATCH(W31,W19:AH19,1)</f>
        <v>1</v>
      </c>
      <c r="Z34" s="93">
        <f>(X34-W34)*Z30+W34</f>
        <v>1.36</v>
      </c>
      <c r="AA34" s="92">
        <f>AC31*V34^4+AD31*V34^3+AE31*V34^2+AF31*V34+AG31</f>
        <v>1.3568290043290043</v>
      </c>
      <c r="AC34" s="28">
        <f>AC31*B28^4+AD31*B28^3+AE31*B28^2+AF31*B28+AG31</f>
        <v>1.2794267889710598</v>
      </c>
      <c r="AF34" s="92"/>
      <c r="AG34" s="92"/>
      <c r="AN34" s="126">
        <v>3</v>
      </c>
      <c r="AO34" s="28">
        <f t="shared" si="5"/>
        <v>0.83499999999999996</v>
      </c>
      <c r="AP34" s="28">
        <f>C37</f>
        <v>5</v>
      </c>
      <c r="AR34" s="93"/>
      <c r="AS34" s="92"/>
      <c r="AZ34" s="153">
        <v>0.3</v>
      </c>
      <c r="BA34" s="28">
        <f>INDEX(BA19:BN19,MATCH(BB34,BA14:BN14,0))</f>
        <v>0.38500000000000001</v>
      </c>
      <c r="BB34" s="28">
        <f>E46</f>
        <v>8</v>
      </c>
      <c r="BE34" s="93"/>
      <c r="BF34" s="92">
        <f>(BF30-BF31)/(BF32-BF31)*(BG32-BG31)+BG31</f>
        <v>0.38722482435597194</v>
      </c>
      <c r="BK34" s="92"/>
      <c r="BL34" s="92"/>
    </row>
    <row r="35" spans="1:69" s="28" customFormat="1" ht="13.8" x14ac:dyDescent="0.3">
      <c r="A35" s="71" t="s">
        <v>66</v>
      </c>
      <c r="B35" s="93">
        <f>G18*2</f>
        <v>2</v>
      </c>
      <c r="C35" s="28" t="s">
        <v>64</v>
      </c>
      <c r="E35" s="71" t="s">
        <v>66</v>
      </c>
      <c r="F35" s="74">
        <f>(B35-G16)*G17</f>
        <v>0.46875</v>
      </c>
      <c r="G35" s="28" t="s">
        <v>71</v>
      </c>
      <c r="H35" s="73"/>
      <c r="I35" s="71" t="s">
        <v>66</v>
      </c>
      <c r="J35" s="85">
        <f>B35/G16</f>
        <v>2.6666666666666665</v>
      </c>
      <c r="L35" s="30"/>
      <c r="M35" s="36"/>
      <c r="N35" s="36"/>
      <c r="O35" s="36"/>
      <c r="P35" s="36"/>
      <c r="Q35" s="38"/>
      <c r="R35" s="27"/>
      <c r="S35" s="27"/>
      <c r="T35" s="27"/>
      <c r="V35" s="86">
        <v>1.8</v>
      </c>
      <c r="W35" s="28">
        <f t="shared" si="6"/>
        <v>1.76</v>
      </c>
      <c r="X35" s="28">
        <f t="shared" si="7"/>
        <v>1.74</v>
      </c>
      <c r="Y35" s="28">
        <f>MATCH(W31,W19:AH19,1)</f>
        <v>1</v>
      </c>
      <c r="Z35" s="93">
        <f>(X35-W35)*Z30+W35</f>
        <v>1.76</v>
      </c>
      <c r="AA35" s="92">
        <f>AC31*V35^4+AD31*V35^3+AE31*V35^2+AF31*V35+AG31</f>
        <v>1.7608116883116882</v>
      </c>
      <c r="AF35" s="92"/>
      <c r="AG35" s="92"/>
      <c r="AN35" s="126">
        <v>3.5</v>
      </c>
      <c r="AO35" s="28">
        <f t="shared" si="5"/>
        <v>0.745</v>
      </c>
      <c r="AP35" s="28">
        <f>C37</f>
        <v>5</v>
      </c>
      <c r="AR35" s="93"/>
      <c r="AS35" s="92"/>
      <c r="AZ35" s="153">
        <v>0.4</v>
      </c>
      <c r="BA35" s="28">
        <f>INDEX(BA20:BN20,MATCH(BB35,BA14:BN14,0))</f>
        <v>0.435</v>
      </c>
      <c r="BB35" s="28">
        <f>E46</f>
        <v>8</v>
      </c>
      <c r="BE35" s="93"/>
      <c r="BF35" s="92"/>
      <c r="BK35" s="92"/>
      <c r="BL35" s="92"/>
    </row>
    <row r="36" spans="1:69" s="28" customFormat="1" ht="13.8" x14ac:dyDescent="0.3">
      <c r="A36" s="78"/>
      <c r="L36" s="30"/>
      <c r="M36" s="36"/>
      <c r="N36" s="36"/>
      <c r="O36" s="36"/>
      <c r="P36" s="36"/>
      <c r="Q36" s="38"/>
      <c r="R36" s="27"/>
      <c r="S36" s="27"/>
      <c r="T36" s="27"/>
      <c r="V36" s="86">
        <v>2.2000000000000002</v>
      </c>
      <c r="W36" s="28">
        <f t="shared" si="6"/>
        <v>2.08</v>
      </c>
      <c r="X36" s="28">
        <f t="shared" si="7"/>
        <v>2.04</v>
      </c>
      <c r="Y36" s="28">
        <f>MATCH(W31,W19:AH19,1)</f>
        <v>1</v>
      </c>
      <c r="Z36" s="93">
        <f>(X36-W36)*Z30+W36</f>
        <v>2.08</v>
      </c>
      <c r="AA36" s="92">
        <f>AC31*V36^4+AD31*V36^3+AE31*V36^2+AF31*V36+AG31</f>
        <v>2.076915584415584</v>
      </c>
      <c r="AF36" s="92"/>
      <c r="AG36" s="92"/>
      <c r="AN36" s="126">
        <v>4</v>
      </c>
      <c r="AO36" s="28">
        <f t="shared" si="5"/>
        <v>0.67</v>
      </c>
      <c r="AP36" s="28">
        <f>C37</f>
        <v>5</v>
      </c>
      <c r="AR36" s="93"/>
      <c r="AS36" s="92"/>
      <c r="AZ36" s="153">
        <v>0.5</v>
      </c>
      <c r="BA36" s="28">
        <f>INDEX(BA21:BN21,MATCH(BB36,BA14:BN14,0))</f>
        <v>0.46500000000000002</v>
      </c>
      <c r="BB36" s="28">
        <f>E46</f>
        <v>8</v>
      </c>
      <c r="BE36" s="93"/>
      <c r="BF36" s="92"/>
    </row>
    <row r="37" spans="1:69" s="28" customFormat="1" ht="15" x14ac:dyDescent="0.3">
      <c r="A37" s="78"/>
      <c r="B37" s="115" t="s">
        <v>76</v>
      </c>
      <c r="C37" s="142">
        <v>5</v>
      </c>
      <c r="D37" s="71" t="s">
        <v>113</v>
      </c>
      <c r="E37" s="74">
        <f>AS33</f>
        <v>0.87833333333333341</v>
      </c>
      <c r="F37" s="110" t="s">
        <v>119</v>
      </c>
      <c r="G37" s="72"/>
      <c r="H37" s="73"/>
      <c r="I37" s="73"/>
      <c r="L37" s="30"/>
      <c r="M37" s="36"/>
      <c r="N37" s="36"/>
      <c r="O37" s="36"/>
      <c r="P37" s="36"/>
      <c r="Q37" s="38"/>
      <c r="R37" s="27"/>
      <c r="S37" s="27"/>
      <c r="T37" s="27"/>
      <c r="V37" s="86">
        <v>2.6</v>
      </c>
      <c r="W37" s="28">
        <f t="shared" si="6"/>
        <v>2.3199999999999998</v>
      </c>
      <c r="X37" s="28">
        <f t="shared" si="7"/>
        <v>2.27</v>
      </c>
      <c r="Y37" s="28">
        <f>MATCH(W31,W19:AH19,1)</f>
        <v>1</v>
      </c>
      <c r="Z37" s="93">
        <f>(X37-W37)*Z30+W37</f>
        <v>2.3199999999999998</v>
      </c>
      <c r="AA37" s="92">
        <f>AC31*V37^4+AD31*V37^3+AE31*V37^2+AF31*V37+AG31</f>
        <v>2.3272619047619036</v>
      </c>
      <c r="AN37" s="126">
        <v>4.5</v>
      </c>
      <c r="AO37" s="28">
        <f t="shared" si="5"/>
        <v>0.61499999999999999</v>
      </c>
      <c r="AP37" s="28">
        <f>C37</f>
        <v>5</v>
      </c>
      <c r="AR37" s="93"/>
      <c r="AS37" s="92"/>
      <c r="AZ37" s="153">
        <v>0.6</v>
      </c>
      <c r="BA37" s="28">
        <f>INDEX(BA22:BN22,MATCH(BB37,BA14:BN14,0))</f>
        <v>0.48</v>
      </c>
      <c r="BB37" s="28">
        <f>E46</f>
        <v>8</v>
      </c>
      <c r="BE37" s="93"/>
      <c r="BF37" s="92"/>
    </row>
    <row r="38" spans="1:69" s="28" customFormat="1" ht="13.8" x14ac:dyDescent="0.3">
      <c r="A38" s="78"/>
      <c r="B38" s="78"/>
      <c r="C38" s="78"/>
      <c r="D38" s="78"/>
      <c r="F38" s="73" t="s">
        <v>120</v>
      </c>
      <c r="G38" s="72"/>
      <c r="H38" s="73"/>
      <c r="I38" s="75"/>
      <c r="L38" s="30"/>
      <c r="M38" s="36"/>
      <c r="N38" s="36"/>
      <c r="O38" s="36"/>
      <c r="P38" s="36"/>
      <c r="Q38" s="38"/>
      <c r="R38" s="27"/>
      <c r="S38" s="27"/>
      <c r="T38" s="27"/>
      <c r="V38" s="86">
        <v>3</v>
      </c>
      <c r="W38" s="28">
        <f t="shared" si="6"/>
        <v>2.54</v>
      </c>
      <c r="X38" s="28">
        <f t="shared" si="7"/>
        <v>2.4500000000000002</v>
      </c>
      <c r="Y38" s="28">
        <f>MATCH(W31,W19:AH19,1)</f>
        <v>1</v>
      </c>
      <c r="Z38" s="93">
        <f>(X38-W38)*Z30+W38</f>
        <v>2.54</v>
      </c>
      <c r="AA38" s="92">
        <f>AC31*V38^4+AD31*V38^3+AE31*V38^2+AF31*V38+AG31</f>
        <v>2.5344264069264071</v>
      </c>
      <c r="AM38" s="75" t="s">
        <v>59</v>
      </c>
      <c r="AN38" s="125">
        <v>4.8</v>
      </c>
      <c r="AO38" s="28">
        <f t="shared" si="5"/>
        <v>0.56999999999999995</v>
      </c>
      <c r="AP38" s="28">
        <f>C37</f>
        <v>5</v>
      </c>
      <c r="AR38" s="97"/>
      <c r="AS38" s="97"/>
      <c r="AT38" s="97"/>
      <c r="AZ38" s="153">
        <v>0.8</v>
      </c>
      <c r="BA38" s="28">
        <f>INDEX(BA23:BN23,MATCH(BB38,BA14:BN14,0))</f>
        <v>0.505</v>
      </c>
      <c r="BB38" s="28">
        <f>E46</f>
        <v>8</v>
      </c>
      <c r="BE38" s="93"/>
      <c r="BF38" s="92"/>
    </row>
    <row r="39" spans="1:69" s="28" customFormat="1" ht="15" x14ac:dyDescent="0.35">
      <c r="A39" s="78"/>
      <c r="B39" s="115" t="s">
        <v>114</v>
      </c>
      <c r="C39" s="28" t="str">
        <f>[2]!xln(C40)</f>
        <v>75000 × 0.878 × 0.469</v>
      </c>
      <c r="D39" s="26"/>
      <c r="E39" s="43"/>
      <c r="H39" s="67"/>
      <c r="I39" s="39"/>
      <c r="J39" s="42"/>
      <c r="K39" s="42"/>
      <c r="L39" s="30"/>
      <c r="M39" s="36"/>
      <c r="N39" s="36"/>
      <c r="O39" s="36"/>
      <c r="P39" s="36"/>
      <c r="Q39" s="38"/>
      <c r="R39" s="27"/>
      <c r="S39" s="27"/>
      <c r="T39" s="27"/>
      <c r="V39" s="89">
        <v>3.4</v>
      </c>
      <c r="W39" s="28">
        <f t="shared" si="6"/>
        <v>2.72</v>
      </c>
      <c r="X39" s="28">
        <f t="shared" si="7"/>
        <v>2.61</v>
      </c>
      <c r="Y39" s="28">
        <f>MATCH(W31,W19:AH19,1)</f>
        <v>1</v>
      </c>
      <c r="Z39" s="93">
        <f>(X39-W39)*Z30+W39</f>
        <v>2.72</v>
      </c>
      <c r="AA39" s="92">
        <f>AC31*V39^4+AD31*V39^3+AE31*V39^2+AF31*V39+AG31</f>
        <v>2.7214393939393933</v>
      </c>
      <c r="AN39" s="124">
        <v>5</v>
      </c>
      <c r="AO39" s="28">
        <f t="shared" si="5"/>
        <v>0.54500000000000004</v>
      </c>
      <c r="AP39" s="28">
        <f>C37</f>
        <v>5</v>
      </c>
      <c r="AR39" s="97"/>
      <c r="AS39" s="97"/>
      <c r="AT39" s="97"/>
      <c r="AZ39" s="153">
        <v>1</v>
      </c>
      <c r="BA39" s="28">
        <f>INDEX(BA24:BN24,MATCH(BB39,BA14:BN14,0))</f>
        <v>0.51600000000000001</v>
      </c>
      <c r="BB39" s="28">
        <f>E46</f>
        <v>8</v>
      </c>
      <c r="BE39" s="97"/>
      <c r="BF39" s="97"/>
      <c r="BG39" s="97"/>
    </row>
    <row r="40" spans="1:69" s="28" customFormat="1" ht="13.8" x14ac:dyDescent="0.3">
      <c r="A40" s="78"/>
      <c r="B40" s="19" t="s">
        <v>66</v>
      </c>
      <c r="C40" s="179">
        <f>G19*E37*F35</f>
        <v>30878.90625</v>
      </c>
      <c r="D40" s="114" t="s">
        <v>69</v>
      </c>
      <c r="E40" s="43"/>
      <c r="H40" s="43"/>
      <c r="I40" s="39"/>
      <c r="J40" s="66"/>
      <c r="K40" s="116"/>
      <c r="L40" s="30"/>
      <c r="M40" s="36"/>
      <c r="N40" s="36"/>
      <c r="O40" s="36"/>
      <c r="P40" s="36"/>
      <c r="Q40" s="38"/>
      <c r="R40" s="27"/>
      <c r="S40" s="27"/>
      <c r="T40" s="27"/>
      <c r="V40" s="95"/>
      <c r="W40" s="96"/>
      <c r="X40" s="96"/>
      <c r="Y40" s="97"/>
      <c r="Z40" s="97"/>
      <c r="AA40" s="97"/>
      <c r="AB40" s="97"/>
      <c r="AN40" s="95"/>
      <c r="AR40" s="97"/>
      <c r="AS40" s="97"/>
      <c r="AT40" s="97"/>
      <c r="AZ40" s="153">
        <v>1.1000000000000001</v>
      </c>
      <c r="BA40" s="28">
        <f>INDEX(BA25:BN25,MATCH(BB40,BA14:BN14,0))</f>
        <v>0.52</v>
      </c>
      <c r="BB40" s="28">
        <f>E46</f>
        <v>8</v>
      </c>
      <c r="BE40" s="97"/>
      <c r="BF40" s="97"/>
      <c r="BG40" s="97"/>
    </row>
    <row r="41" spans="1:69" s="28" customFormat="1" ht="13.8" x14ac:dyDescent="0.3">
      <c r="L41" s="30"/>
      <c r="M41" s="36"/>
      <c r="N41" s="36"/>
      <c r="O41" s="36"/>
      <c r="P41" s="36"/>
      <c r="Q41" s="38"/>
      <c r="R41" s="27"/>
      <c r="S41" s="27"/>
      <c r="T41" s="27"/>
      <c r="V41" s="95"/>
      <c r="W41" s="98"/>
      <c r="X41" s="99" t="s">
        <v>51</v>
      </c>
      <c r="Y41" s="100" t="s">
        <v>52</v>
      </c>
      <c r="Z41" s="97"/>
      <c r="AA41" s="97"/>
      <c r="AB41" s="97"/>
      <c r="AN41" s="95"/>
      <c r="AO41" s="98"/>
      <c r="AP41" s="99" t="s">
        <v>51</v>
      </c>
      <c r="AQ41" s="100" t="s">
        <v>52</v>
      </c>
      <c r="AR41" s="97"/>
      <c r="AS41" s="97"/>
      <c r="AT41" s="97"/>
      <c r="AZ41" s="153">
        <v>1.2</v>
      </c>
      <c r="BA41" s="28">
        <f>INDEX(BA26:BN26,MATCH(BB41,BA14:BN14,0))</f>
        <v>0.52300000000000002</v>
      </c>
      <c r="BB41" s="28">
        <f>E46</f>
        <v>8</v>
      </c>
      <c r="BE41" s="97"/>
      <c r="BF41" s="97"/>
      <c r="BG41" s="97"/>
    </row>
    <row r="42" spans="1:69" s="28" customFormat="1" ht="13.8" x14ac:dyDescent="0.3">
      <c r="B42" s="175" t="s">
        <v>109</v>
      </c>
      <c r="L42" s="30"/>
      <c r="M42" s="36"/>
      <c r="N42" s="36"/>
      <c r="O42" s="36"/>
      <c r="P42" s="36"/>
      <c r="Q42" s="38"/>
      <c r="R42" s="27"/>
      <c r="S42" s="27"/>
      <c r="T42" s="27"/>
      <c r="V42" s="95"/>
      <c r="W42" s="101" t="s">
        <v>53</v>
      </c>
      <c r="X42" s="102">
        <v>0.6</v>
      </c>
      <c r="Y42" s="103">
        <f>I29</f>
        <v>1.2794267889710598</v>
      </c>
      <c r="Z42" s="97"/>
      <c r="AA42" s="97"/>
      <c r="AB42" s="97"/>
      <c r="AN42" s="95"/>
      <c r="AO42" s="101" t="s">
        <v>53</v>
      </c>
      <c r="AP42" s="102">
        <v>1</v>
      </c>
      <c r="AQ42" s="103">
        <f>AS33</f>
        <v>0.87833333333333341</v>
      </c>
      <c r="AR42" s="97"/>
      <c r="AS42" s="97"/>
      <c r="AT42" s="97"/>
      <c r="AZ42" s="152">
        <v>1.3</v>
      </c>
      <c r="BA42" s="28">
        <f>INDEX(BA27:BN27,MATCH(BB42,BA14:BN14,0))</f>
        <v>0.52500000000000002</v>
      </c>
      <c r="BB42" s="28">
        <f>E46</f>
        <v>8</v>
      </c>
      <c r="BE42" s="97"/>
      <c r="BF42" s="97"/>
      <c r="BG42" s="97"/>
    </row>
    <row r="43" spans="1:69" s="28" customFormat="1" ht="15" x14ac:dyDescent="0.3">
      <c r="A43" s="71" t="s">
        <v>86</v>
      </c>
      <c r="B43" s="28" t="str">
        <f>[2]!xln(B44)</f>
        <v>6 / ((3 / 0.065) + (1 / 0.234) + (1 / 0.234) + (1 / 0.065))</v>
      </c>
      <c r="D43" s="78"/>
      <c r="G43" s="71" t="s">
        <v>70</v>
      </c>
      <c r="H43" s="28" t="str">
        <f>[2]!xln(H44)</f>
        <v>0.75 × 0.375</v>
      </c>
      <c r="I43" s="78"/>
      <c r="L43" s="30"/>
      <c r="M43" s="36"/>
      <c r="N43" s="36"/>
      <c r="O43" s="36"/>
      <c r="P43" s="36"/>
      <c r="Q43" s="38"/>
      <c r="R43" s="27"/>
      <c r="S43" s="27"/>
      <c r="T43" s="27"/>
      <c r="V43" s="95"/>
      <c r="W43" s="101"/>
      <c r="X43" s="104">
        <f>B28</f>
        <v>1.3333333333333333</v>
      </c>
      <c r="Y43" s="103">
        <f>I29</f>
        <v>1.2794267889710598</v>
      </c>
      <c r="Z43" s="97"/>
      <c r="AA43" s="97"/>
      <c r="AB43" s="97"/>
      <c r="AN43" s="95"/>
      <c r="AO43" s="101"/>
      <c r="AP43" s="104">
        <f>J35</f>
        <v>2.6666666666666665</v>
      </c>
      <c r="AQ43" s="103">
        <f>AS33</f>
        <v>0.87833333333333341</v>
      </c>
      <c r="AU43" s="109"/>
      <c r="AZ43" s="152">
        <v>1.4</v>
      </c>
      <c r="BA43" s="28">
        <f>INDEX(BA28:BN28,MATCH(BB43,BA14:BN14,0))</f>
        <v>0.53</v>
      </c>
      <c r="BB43" s="28">
        <f>E46</f>
        <v>8</v>
      </c>
      <c r="BE43" s="97"/>
      <c r="BF43" s="97"/>
      <c r="BG43" s="97"/>
    </row>
    <row r="44" spans="1:69" s="28" customFormat="1" ht="13.8" x14ac:dyDescent="0.3">
      <c r="B44" s="167">
        <f>6/((3/G21)+(1/G22)+(1/G23)+(1/G24))</f>
        <v>8.5626463700234204E-2</v>
      </c>
      <c r="C44" s="28" t="s">
        <v>71</v>
      </c>
      <c r="D44" s="78"/>
      <c r="E44" s="78"/>
      <c r="G44" s="71" t="s">
        <v>66</v>
      </c>
      <c r="H44" s="174">
        <f>G16*G17</f>
        <v>0.28125</v>
      </c>
      <c r="I44" s="28" t="s">
        <v>71</v>
      </c>
      <c r="L44" s="26"/>
      <c r="M44" s="36"/>
      <c r="N44" s="36"/>
      <c r="O44" s="36"/>
      <c r="P44" s="36"/>
      <c r="Q44" s="38"/>
      <c r="R44" s="27"/>
      <c r="S44" s="27"/>
      <c r="T44" s="27"/>
      <c r="V44" s="95"/>
      <c r="W44" s="101" t="s">
        <v>54</v>
      </c>
      <c r="X44" s="104">
        <f>B28</f>
        <v>1.3333333333333333</v>
      </c>
      <c r="Y44" s="105">
        <v>0</v>
      </c>
      <c r="Z44" s="97"/>
      <c r="AA44" s="97"/>
      <c r="AB44" s="97"/>
      <c r="AO44" s="101" t="s">
        <v>54</v>
      </c>
      <c r="AP44" s="104">
        <f>J35</f>
        <v>2.6666666666666665</v>
      </c>
      <c r="AQ44" s="103">
        <f>AS33</f>
        <v>0.87833333333333341</v>
      </c>
      <c r="AU44" s="109"/>
      <c r="AZ44" s="95"/>
      <c r="BH44" s="109"/>
    </row>
    <row r="45" spans="1:69" s="28" customFormat="1" ht="13.8" x14ac:dyDescent="0.3">
      <c r="A45" s="78"/>
      <c r="B45" s="78"/>
      <c r="C45" s="78"/>
      <c r="D45" s="78"/>
      <c r="E45" s="78"/>
      <c r="I45" s="78"/>
      <c r="J45" s="78"/>
      <c r="K45" s="78"/>
      <c r="L45" s="26"/>
      <c r="M45" s="36"/>
      <c r="N45" s="36"/>
      <c r="O45" s="36"/>
      <c r="P45" s="36"/>
      <c r="Q45" s="38"/>
      <c r="R45" s="27"/>
      <c r="S45" s="27"/>
      <c r="T45" s="27"/>
      <c r="V45" s="95"/>
      <c r="W45" s="106"/>
      <c r="X45" s="107">
        <f>B28</f>
        <v>1.3333333333333333</v>
      </c>
      <c r="Y45" s="108">
        <f>I29</f>
        <v>1.2794267889710598</v>
      </c>
      <c r="AC45" s="109"/>
      <c r="AO45" s="106"/>
      <c r="AP45" s="107">
        <f>J35</f>
        <v>2.6666666666666665</v>
      </c>
      <c r="AQ45" s="108">
        <v>0</v>
      </c>
      <c r="AU45" s="109"/>
      <c r="AY45" s="26"/>
      <c r="AZ45" s="98"/>
      <c r="BA45" s="99" t="s">
        <v>51</v>
      </c>
      <c r="BB45" s="100" t="s">
        <v>52</v>
      </c>
      <c r="BH45" s="109"/>
    </row>
    <row r="46" spans="1:69" s="28" customFormat="1" ht="15" x14ac:dyDescent="0.3">
      <c r="A46" s="71" t="s">
        <v>85</v>
      </c>
      <c r="B46" s="167">
        <f>B44/H44</f>
        <v>0.30444964871194385</v>
      </c>
      <c r="D46" s="115" t="s">
        <v>76</v>
      </c>
      <c r="E46" s="142">
        <v>8</v>
      </c>
      <c r="F46" s="71" t="s">
        <v>110</v>
      </c>
      <c r="G46" s="74">
        <f>BF34</f>
        <v>0.38722482435597194</v>
      </c>
      <c r="H46" s="110" t="s">
        <v>84</v>
      </c>
      <c r="I46" s="78"/>
      <c r="J46" s="78"/>
      <c r="K46" s="78"/>
      <c r="M46" s="36"/>
      <c r="N46" s="36"/>
      <c r="O46" s="36"/>
      <c r="P46" s="36"/>
      <c r="Q46" s="38"/>
      <c r="R46" s="27"/>
      <c r="S46" s="27"/>
      <c r="T46" s="27"/>
      <c r="AC46" s="109"/>
      <c r="AY46" s="26"/>
      <c r="AZ46" s="101" t="s">
        <v>53</v>
      </c>
      <c r="BA46" s="102">
        <v>0</v>
      </c>
      <c r="BB46" s="103">
        <f>BF34</f>
        <v>0.38722482435597194</v>
      </c>
      <c r="BH46" s="109"/>
    </row>
    <row r="47" spans="1:69" s="28" customFormat="1" ht="13.8" x14ac:dyDescent="0.3">
      <c r="A47" s="88"/>
      <c r="B47" s="88"/>
      <c r="C47" s="88"/>
      <c r="D47" s="88"/>
      <c r="E47" s="88"/>
      <c r="F47" s="26"/>
      <c r="G47" s="26"/>
      <c r="H47" s="73" t="s">
        <v>121</v>
      </c>
      <c r="M47" s="36"/>
      <c r="N47" s="36"/>
      <c r="O47" s="36"/>
      <c r="P47" s="36"/>
      <c r="Q47" s="38"/>
      <c r="R47" s="27"/>
      <c r="S47" s="27"/>
      <c r="T47" s="27"/>
      <c r="AC47" s="109"/>
      <c r="AY47" s="26"/>
      <c r="AZ47" s="101"/>
      <c r="BA47" s="104">
        <f>B46</f>
        <v>0.30444964871194385</v>
      </c>
      <c r="BB47" s="103">
        <f>BF34</f>
        <v>0.38722482435597194</v>
      </c>
      <c r="BO47" s="26"/>
      <c r="BP47" s="26"/>
      <c r="BQ47" s="26"/>
    </row>
    <row r="48" spans="1:69" s="28" customFormat="1" ht="15" x14ac:dyDescent="0.35">
      <c r="A48" s="88"/>
      <c r="B48" s="115" t="s">
        <v>111</v>
      </c>
      <c r="C48" s="28" t="str">
        <f>[2]!xln(C49)</f>
        <v>68000 × 0.387 × 0.281</v>
      </c>
      <c r="D48" s="26"/>
      <c r="E48" s="43"/>
      <c r="F48" s="39"/>
      <c r="G48" s="5"/>
      <c r="H48" s="67"/>
      <c r="I48" s="39"/>
      <c r="J48" s="42"/>
      <c r="K48" s="42"/>
      <c r="M48" s="36"/>
      <c r="N48" s="36"/>
      <c r="O48" s="36"/>
      <c r="P48" s="36"/>
      <c r="Q48" s="38"/>
      <c r="R48" s="27"/>
      <c r="S48" s="27"/>
      <c r="T48" s="27"/>
      <c r="AN48" s="120"/>
      <c r="AO48" s="120"/>
      <c r="AP48" s="119"/>
      <c r="AQ48" s="119"/>
      <c r="AR48" s="117"/>
      <c r="AS48" s="117"/>
      <c r="AT48" s="117"/>
      <c r="AU48" s="117"/>
      <c r="AV48" s="5"/>
      <c r="AW48" s="5"/>
      <c r="AX48" s="5"/>
      <c r="AY48" s="26"/>
      <c r="AZ48" s="101" t="s">
        <v>54</v>
      </c>
      <c r="BA48" s="104">
        <f>B46</f>
        <v>0.30444964871194385</v>
      </c>
      <c r="BB48" s="103">
        <f>BF34</f>
        <v>0.38722482435597194</v>
      </c>
      <c r="BO48" s="26"/>
      <c r="BP48" s="26"/>
      <c r="BQ48" s="26"/>
    </row>
    <row r="49" spans="1:69" s="28" customFormat="1" ht="13.8" x14ac:dyDescent="0.3">
      <c r="A49" s="78"/>
      <c r="B49" s="19" t="s">
        <v>66</v>
      </c>
      <c r="C49" s="179">
        <f>G20*G46*H44</f>
        <v>7405.6747658079639</v>
      </c>
      <c r="D49" s="114" t="s">
        <v>69</v>
      </c>
      <c r="E49" s="43"/>
      <c r="F49" s="39"/>
      <c r="G49" s="5"/>
      <c r="H49" s="43"/>
      <c r="I49" s="39"/>
      <c r="J49" s="66"/>
      <c r="K49" s="116"/>
      <c r="M49" s="36"/>
      <c r="N49" s="36"/>
      <c r="O49" s="36"/>
      <c r="P49" s="36"/>
      <c r="Q49" s="38"/>
      <c r="R49" s="27"/>
      <c r="S49" s="27"/>
      <c r="T49" s="27"/>
      <c r="AN49" s="122"/>
      <c r="AO49" s="122"/>
      <c r="AP49" s="118"/>
      <c r="AQ49" s="118"/>
      <c r="AR49" s="117"/>
      <c r="AS49" s="122"/>
      <c r="AT49" s="122"/>
      <c r="AU49" s="117"/>
      <c r="AV49" s="5"/>
      <c r="AW49" s="5"/>
      <c r="AX49" s="5"/>
      <c r="AY49" s="26"/>
      <c r="AZ49" s="106"/>
      <c r="BA49" s="107">
        <f>B46</f>
        <v>0.30444964871194385</v>
      </c>
      <c r="BB49" s="108">
        <v>0</v>
      </c>
      <c r="BC49" s="123"/>
      <c r="BD49" s="123"/>
      <c r="BE49" s="117"/>
      <c r="BF49" s="117"/>
      <c r="BG49" s="117"/>
      <c r="BH49" s="117"/>
      <c r="BO49" s="26"/>
      <c r="BP49" s="26"/>
      <c r="BQ49" s="26"/>
    </row>
    <row r="50" spans="1:69" s="28" customFormat="1" ht="13.8" x14ac:dyDescent="0.3">
      <c r="A50" s="26"/>
      <c r="B50" s="26"/>
      <c r="C50" s="26"/>
      <c r="D50" s="26"/>
      <c r="E50" s="26"/>
      <c r="F50" s="26"/>
      <c r="G50" s="26"/>
      <c r="H50" s="26"/>
      <c r="I50" s="26"/>
      <c r="J50" s="26"/>
      <c r="K50" s="26"/>
      <c r="M50" s="36"/>
      <c r="N50" s="36"/>
      <c r="O50" s="36"/>
      <c r="P50" s="36"/>
      <c r="Q50" s="38"/>
      <c r="R50" s="27"/>
      <c r="S50" s="27"/>
      <c r="T50" s="27"/>
      <c r="Z50" s="64"/>
      <c r="AN50" s="120"/>
      <c r="AO50" s="120"/>
      <c r="AP50" s="119"/>
      <c r="AQ50" s="119"/>
      <c r="AR50" s="117"/>
      <c r="AS50" s="122"/>
      <c r="AT50" s="121"/>
      <c r="AU50" s="117"/>
      <c r="AY50" s="26"/>
      <c r="AZ50" s="26"/>
      <c r="BA50" s="26"/>
    </row>
    <row r="51" spans="1:69" s="26" customFormat="1" ht="13.8" x14ac:dyDescent="0.3">
      <c r="B51" s="178" t="s">
        <v>122</v>
      </c>
      <c r="L51" s="28"/>
      <c r="M51" s="27"/>
      <c r="N51" s="27"/>
      <c r="O51" s="27"/>
      <c r="P51" s="27"/>
      <c r="Q51" s="27"/>
      <c r="R51" s="27"/>
      <c r="S51" s="27"/>
      <c r="T51" s="27"/>
      <c r="U51" s="30"/>
      <c r="V51" s="71"/>
      <c r="W51" s="72"/>
      <c r="X51" s="73"/>
      <c r="Y51" s="73"/>
      <c r="Z51" s="74"/>
      <c r="AA51" s="69"/>
      <c r="AB51" s="5"/>
      <c r="AC51" s="5"/>
      <c r="AD51" s="5"/>
      <c r="AE51" s="5"/>
      <c r="AF51" s="5"/>
      <c r="AG51" s="5"/>
      <c r="AH51" s="5"/>
      <c r="AI51" s="5"/>
      <c r="AQ51" s="70"/>
      <c r="AR51" s="70"/>
      <c r="BB51" s="28"/>
      <c r="BC51" s="28"/>
      <c r="BD51" s="28"/>
      <c r="BE51" s="28"/>
      <c r="BF51" s="28"/>
      <c r="BG51" s="28"/>
      <c r="BH51" s="28"/>
      <c r="BI51" s="28"/>
      <c r="BJ51" s="28"/>
      <c r="BK51" s="28"/>
      <c r="BL51" s="28"/>
      <c r="BM51" s="28"/>
      <c r="BN51" s="28"/>
      <c r="BO51" s="28"/>
      <c r="BP51" s="28"/>
      <c r="BQ51" s="28"/>
    </row>
    <row r="52" spans="1:69" s="26" customFormat="1" ht="13.8" x14ac:dyDescent="0.3">
      <c r="B52" s="26" t="s">
        <v>117</v>
      </c>
      <c r="L52" s="28"/>
      <c r="M52" s="27"/>
      <c r="N52" s="27"/>
      <c r="O52" s="27"/>
      <c r="P52" s="27"/>
      <c r="Q52" s="27"/>
      <c r="R52" s="27"/>
      <c r="S52" s="27"/>
      <c r="T52" s="27"/>
      <c r="U52" s="30"/>
      <c r="V52" s="71"/>
      <c r="W52" s="72"/>
      <c r="X52" s="73"/>
      <c r="Y52" s="75"/>
      <c r="Z52" s="28"/>
      <c r="AA52" s="5"/>
      <c r="AB52" s="5"/>
      <c r="AC52" s="5"/>
      <c r="AD52" s="5"/>
      <c r="AE52" s="5"/>
      <c r="AF52" s="5"/>
      <c r="AG52" s="5"/>
      <c r="AH52" s="5"/>
      <c r="AI52" s="5"/>
      <c r="BB52" s="28"/>
      <c r="BC52" s="28"/>
      <c r="BD52" s="28"/>
      <c r="BE52" s="28"/>
      <c r="BF52" s="28"/>
      <c r="BG52" s="28"/>
      <c r="BH52" s="28"/>
      <c r="BI52" s="28"/>
      <c r="BJ52" s="28"/>
      <c r="BK52" s="28"/>
      <c r="BL52" s="28"/>
      <c r="BM52" s="28"/>
      <c r="BN52" s="28"/>
      <c r="BO52" s="28"/>
      <c r="BP52" s="28"/>
      <c r="BQ52" s="28"/>
    </row>
    <row r="53" spans="1:69" s="26" customFormat="1" ht="15" x14ac:dyDescent="0.3">
      <c r="B53" s="71" t="s">
        <v>115</v>
      </c>
      <c r="F53" s="112" t="str">
        <f>[2]!xln(G53)&amp;" ="</f>
        <v>(3500 × 1.15) / MIN[26988,30879] =</v>
      </c>
      <c r="G53" s="177">
        <f>(G14*1.15)/MIN(E31,C40)</f>
        <v>0.14914086250161437</v>
      </c>
      <c r="L53" s="28"/>
      <c r="M53" s="27"/>
      <c r="N53" s="27"/>
      <c r="O53" s="27"/>
      <c r="P53" s="27"/>
      <c r="Q53" s="27"/>
      <c r="R53" s="27"/>
      <c r="S53" s="27"/>
      <c r="T53" s="27"/>
      <c r="U53" s="30"/>
      <c r="V53" s="39"/>
      <c r="W53" s="39"/>
      <c r="X53" s="30"/>
      <c r="Y53" s="28"/>
      <c r="Z53" s="28"/>
      <c r="AA53" s="28"/>
      <c r="AB53" s="28"/>
      <c r="AC53" s="28"/>
      <c r="AD53" s="28"/>
      <c r="AE53" s="28"/>
      <c r="AF53" s="28"/>
      <c r="AG53" s="28"/>
      <c r="AH53" s="28"/>
      <c r="AI53" s="28"/>
      <c r="BB53" s="28"/>
      <c r="BC53" s="28"/>
      <c r="BD53" s="28"/>
      <c r="BE53" s="28"/>
      <c r="BF53" s="28"/>
      <c r="BG53" s="28"/>
      <c r="BH53" s="28"/>
      <c r="BI53" s="28"/>
      <c r="BJ53" s="28"/>
      <c r="BK53" s="28"/>
      <c r="BL53" s="28"/>
      <c r="BM53" s="28"/>
      <c r="BN53" s="28"/>
      <c r="BO53" s="28"/>
      <c r="BP53" s="28"/>
      <c r="BQ53" s="28"/>
    </row>
    <row r="54" spans="1:69" s="26" customFormat="1" ht="15" x14ac:dyDescent="0.35">
      <c r="B54" s="112" t="s">
        <v>116</v>
      </c>
      <c r="F54" s="112" t="str">
        <f>[2]!xln(G54)&amp;" ="</f>
        <v>(1500 × 1.15) / 7406 =</v>
      </c>
      <c r="G54" s="177">
        <f>(G15*1.15)/C49</f>
        <v>0.23292948374729242</v>
      </c>
      <c r="L54" s="28"/>
      <c r="M54" s="27"/>
      <c r="N54" s="27"/>
      <c r="O54" s="27"/>
      <c r="P54" s="27"/>
      <c r="Q54" s="27"/>
      <c r="R54" s="27"/>
      <c r="S54" s="27"/>
      <c r="T54" s="27"/>
      <c r="U54" s="30"/>
      <c r="V54" s="39"/>
      <c r="W54" s="39"/>
      <c r="X54" s="30"/>
      <c r="Y54" s="28"/>
      <c r="Z54" s="28"/>
      <c r="AA54" s="28"/>
      <c r="AB54" s="28"/>
      <c r="AC54" s="28"/>
      <c r="AD54" s="28"/>
      <c r="AE54" s="28"/>
      <c r="AF54" s="28"/>
      <c r="AG54" s="28"/>
      <c r="AH54" s="28"/>
      <c r="AI54" s="28"/>
    </row>
    <row r="55" spans="1:69" s="26" customFormat="1" ht="13.8" x14ac:dyDescent="0.3">
      <c r="A55" s="78"/>
      <c r="J55" s="66" t="str">
        <f>"M.S. = "&amp;[2]!xln(K55)&amp;" = "</f>
        <v xml:space="preserve">M.S. = (1 / (0.149¹·⁶ + 0.233¹·⁶)⁰·⁶²⁵) - 1 = </v>
      </c>
      <c r="K55" s="116">
        <f>(1/(G53^1.6+G54^1.6)^0.625)-1</f>
        <v>2.3460639561684893</v>
      </c>
      <c r="L55" s="28"/>
      <c r="M55" s="27"/>
      <c r="N55" s="27"/>
      <c r="O55" s="27"/>
      <c r="P55" s="27"/>
      <c r="Q55" s="27"/>
      <c r="R55" s="27"/>
      <c r="S55" s="27"/>
      <c r="T55" s="27"/>
      <c r="U55" s="30"/>
      <c r="V55" s="45"/>
      <c r="W55" s="39"/>
      <c r="X55" s="30"/>
      <c r="Y55" s="28"/>
      <c r="Z55" s="28"/>
      <c r="AA55" s="28"/>
      <c r="AB55" s="28"/>
      <c r="AC55" s="28"/>
      <c r="AD55" s="28"/>
      <c r="AE55" s="28"/>
      <c r="AF55" s="28"/>
      <c r="AG55" s="28"/>
      <c r="AH55" s="28"/>
      <c r="AI55" s="28"/>
    </row>
    <row r="56" spans="1:69" s="26" customFormat="1" ht="13.8" x14ac:dyDescent="0.3">
      <c r="A56" s="5"/>
      <c r="E56" s="28"/>
      <c r="F56" s="39"/>
      <c r="L56" s="30"/>
      <c r="M56" s="27"/>
      <c r="N56" s="27"/>
      <c r="O56" s="27"/>
      <c r="P56" s="27"/>
      <c r="Q56" s="27"/>
      <c r="R56" s="27"/>
      <c r="S56" s="27"/>
      <c r="T56" s="27"/>
      <c r="U56" s="30"/>
      <c r="V56" s="45"/>
      <c r="W56" s="39"/>
      <c r="X56" s="30"/>
      <c r="Y56" s="28"/>
      <c r="Z56" s="28"/>
      <c r="AA56" s="28"/>
      <c r="AB56" s="28"/>
      <c r="AC56" s="28"/>
      <c r="AD56" s="28"/>
      <c r="AE56" s="28"/>
      <c r="AF56" s="28"/>
      <c r="AG56" s="28"/>
      <c r="AH56" s="28"/>
      <c r="AI56" s="28"/>
    </row>
    <row r="57" spans="1:69" s="26" customFormat="1" ht="13.8" x14ac:dyDescent="0.3">
      <c r="A57" s="5"/>
      <c r="B57" s="41"/>
      <c r="C57" s="44"/>
      <c r="D57" s="40"/>
      <c r="E57" s="43"/>
      <c r="F57" s="39"/>
      <c r="G57" s="5"/>
      <c r="H57" s="43"/>
      <c r="I57" s="39"/>
      <c r="J57" s="42"/>
      <c r="K57" s="42"/>
      <c r="L57" s="30"/>
      <c r="M57" s="27"/>
      <c r="N57" s="27"/>
      <c r="O57" s="27"/>
      <c r="P57" s="27"/>
      <c r="Q57" s="27"/>
      <c r="R57" s="27"/>
      <c r="S57" s="27"/>
      <c r="T57" s="27"/>
      <c r="U57" s="30"/>
      <c r="V57" s="5"/>
      <c r="W57" s="5"/>
      <c r="X57" s="30"/>
      <c r="Y57" s="28"/>
      <c r="Z57" s="28"/>
      <c r="AA57" s="28"/>
      <c r="AB57" s="28"/>
      <c r="AC57" s="28"/>
      <c r="AD57" s="28"/>
      <c r="AE57" s="28"/>
      <c r="AF57" s="28"/>
      <c r="AG57" s="28"/>
      <c r="AH57" s="28"/>
      <c r="AI57" s="28"/>
    </row>
    <row r="58" spans="1:69" s="26" customFormat="1" ht="13.8" x14ac:dyDescent="0.3">
      <c r="A58" s="47"/>
      <c r="B58" s="49"/>
      <c r="C58" s="48"/>
      <c r="D58" s="50"/>
      <c r="E58" s="50"/>
      <c r="F58" s="51" t="s">
        <v>34</v>
      </c>
      <c r="G58" s="48"/>
      <c r="H58" s="50"/>
      <c r="I58" s="50"/>
      <c r="J58" s="50"/>
      <c r="K58" s="47"/>
      <c r="L58" s="30"/>
      <c r="M58" s="27"/>
      <c r="N58" s="27"/>
      <c r="O58" s="27"/>
      <c r="P58" s="27"/>
      <c r="Q58" s="27"/>
      <c r="R58" s="27"/>
      <c r="S58" s="27"/>
      <c r="T58" s="27"/>
      <c r="U58" s="30"/>
      <c r="V58" s="30"/>
      <c r="W58" s="30"/>
      <c r="X58" s="30"/>
      <c r="Y58" s="28"/>
      <c r="Z58" s="28"/>
      <c r="AA58" s="28"/>
      <c r="AB58" s="28"/>
      <c r="AC58" s="28"/>
      <c r="AD58" s="28"/>
      <c r="AE58" s="28"/>
      <c r="AF58" s="28"/>
      <c r="AG58" s="28"/>
      <c r="AH58" s="28"/>
      <c r="AI58" s="28"/>
    </row>
    <row r="59" spans="1:69" s="26" customFormat="1" ht="13.8" x14ac:dyDescent="0.3">
      <c r="A59" s="47"/>
      <c r="B59" s="50"/>
      <c r="C59" s="50"/>
      <c r="D59" s="50"/>
      <c r="E59" s="50"/>
      <c r="F59" s="68" t="s">
        <v>125</v>
      </c>
      <c r="G59" s="50"/>
      <c r="H59" s="50"/>
      <c r="I59" s="50"/>
      <c r="J59" s="50"/>
      <c r="K59" s="47"/>
      <c r="L59" s="30"/>
      <c r="M59" s="27"/>
      <c r="N59" s="27"/>
      <c r="O59" s="27"/>
      <c r="P59" s="27"/>
      <c r="Q59" s="27"/>
      <c r="R59" s="27"/>
      <c r="S59" s="27"/>
      <c r="T59" s="27"/>
      <c r="U59" s="30"/>
      <c r="V59" s="30"/>
      <c r="W59" s="30"/>
      <c r="X59" s="30"/>
      <c r="Y59" s="28"/>
      <c r="Z59" s="28"/>
      <c r="AA59" s="28"/>
      <c r="AB59" s="28"/>
      <c r="AC59" s="28"/>
      <c r="AD59" s="28"/>
      <c r="AE59" s="28"/>
      <c r="AF59" s="28"/>
      <c r="AG59" s="28"/>
      <c r="AH59" s="28"/>
      <c r="AI59" s="28"/>
    </row>
    <row r="60" spans="1:69" s="26" customFormat="1" ht="13.8" x14ac:dyDescent="0.3">
      <c r="M60" s="27"/>
      <c r="N60" s="27"/>
      <c r="O60" s="27"/>
      <c r="P60" s="27"/>
      <c r="Q60" s="27"/>
      <c r="R60" s="27"/>
      <c r="S60" s="27"/>
      <c r="T60" s="27"/>
    </row>
    <row r="61" spans="1:69" s="26" customFormat="1" ht="13.8" x14ac:dyDescent="0.3">
      <c r="M61" s="27"/>
      <c r="N61" s="27"/>
      <c r="O61" s="27"/>
      <c r="P61" s="27"/>
      <c r="Q61" s="27"/>
      <c r="R61" s="27"/>
      <c r="S61" s="27"/>
      <c r="T61" s="27"/>
    </row>
    <row r="62" spans="1:69" s="26" customFormat="1" ht="13.8" x14ac:dyDescent="0.3">
      <c r="M62" s="27"/>
      <c r="N62" s="27"/>
      <c r="O62" s="27"/>
      <c r="P62" s="27"/>
      <c r="Q62" s="27"/>
      <c r="R62" s="27"/>
      <c r="S62" s="27"/>
      <c r="T62" s="27"/>
    </row>
    <row r="63" spans="1:69" s="26" customFormat="1" ht="13.8" x14ac:dyDescent="0.3">
      <c r="M63" s="27"/>
      <c r="N63" s="27"/>
      <c r="O63" s="27"/>
      <c r="P63" s="27"/>
      <c r="Q63" s="27"/>
      <c r="R63" s="27"/>
      <c r="S63" s="27"/>
      <c r="T63" s="27"/>
    </row>
    <row r="64" spans="1:69"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sheetData>
  <mergeCells count="2">
    <mergeCell ref="B14:D14"/>
    <mergeCell ref="B13:K13"/>
  </mergeCells>
  <dataValidations count="2">
    <dataValidation type="list" allowBlank="1" showInputMessage="1" showErrorMessage="1" sqref="C37">
      <formula1>"1,2,3,4,5,6,7,8"</formula1>
    </dataValidation>
    <dataValidation type="list" allowBlank="1" showInputMessage="1" showErrorMessage="1" sqref="E46">
      <formula1>"1a,1b,1c,2,3,4,5,6,7,8,9,10,11"</formula1>
    </dataValidation>
  </dataValidations>
  <hyperlinks>
    <hyperlink ref="F59"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horizontalDpi="300" r:id="rId4"/>
  <headerFooter alignWithMargins="0">
    <oddFooter>&amp;C&amp;"Arial,Bold"ABBOTT AEROSPACE INC. PROPRIETARY INFORMATION&amp;"Arial,Regular"
Subject to restrictions on the cover or first page</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2015-12-08T01:49:30Z</cp:lastPrinted>
  <dcterms:created xsi:type="dcterms:W3CDTF">1996-10-14T23:33:28Z</dcterms:created>
  <dcterms:modified xsi:type="dcterms:W3CDTF">2016-08-31T11:13:13Z</dcterms:modified>
  <cp:category>Engineering Spreadsheets</cp:category>
</cp:coreProperties>
</file>