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65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Y58" i="37" l="1"/>
  <c r="AJ19" i="37" s="1"/>
  <c r="J56" i="37"/>
  <c r="J55" i="37"/>
  <c r="J54" i="37"/>
  <c r="AJ50" i="37" l="1"/>
  <c r="AJ42" i="37"/>
  <c r="AJ34" i="37"/>
  <c r="AJ26" i="37"/>
  <c r="AJ18" i="37"/>
  <c r="AJ16" i="37"/>
  <c r="AJ49" i="37"/>
  <c r="AJ41" i="37"/>
  <c r="AJ33" i="37"/>
  <c r="AJ25" i="37"/>
  <c r="AJ17" i="37"/>
  <c r="AJ56" i="37"/>
  <c r="AJ48" i="37"/>
  <c r="AJ40" i="37"/>
  <c r="AJ32" i="37"/>
  <c r="AJ24" i="37"/>
  <c r="AJ55" i="37"/>
  <c r="AJ47" i="37"/>
  <c r="AJ39" i="37"/>
  <c r="AJ31" i="37"/>
  <c r="AJ23" i="37"/>
  <c r="AJ54" i="37"/>
  <c r="AJ46" i="37"/>
  <c r="AJ38" i="37"/>
  <c r="AJ30" i="37"/>
  <c r="AJ22" i="37"/>
  <c r="AJ53" i="37"/>
  <c r="AJ45" i="37"/>
  <c r="AJ37" i="37"/>
  <c r="AJ29" i="37"/>
  <c r="AJ21" i="37"/>
  <c r="AJ52" i="37"/>
  <c r="AJ44" i="37"/>
  <c r="AJ36" i="37"/>
  <c r="AJ28" i="37"/>
  <c r="AJ20" i="37"/>
  <c r="AJ51" i="37"/>
  <c r="AJ43" i="37"/>
  <c r="AJ35" i="37"/>
  <c r="AJ27" i="37"/>
  <c r="B25" i="37"/>
  <c r="B26" i="37" s="1"/>
  <c r="B23" i="37"/>
  <c r="AM15" i="37" l="1"/>
  <c r="AT33" i="37"/>
  <c r="H28" i="37"/>
  <c r="C28" i="37" s="1"/>
  <c r="B24" i="37"/>
  <c r="C27" i="37"/>
  <c r="AN23" i="37" l="1"/>
  <c r="AS34" i="37"/>
  <c r="AU34" i="37" s="1"/>
  <c r="AN17" i="37"/>
  <c r="AN25" i="37"/>
  <c r="AN33" i="37"/>
  <c r="AN41" i="37"/>
  <c r="AN49" i="37"/>
  <c r="AN16" i="37"/>
  <c r="AN20" i="37"/>
  <c r="AN44" i="37"/>
  <c r="AN31" i="37"/>
  <c r="AN40" i="37"/>
  <c r="AN18" i="37"/>
  <c r="AN26" i="37"/>
  <c r="AN34" i="37"/>
  <c r="AN42" i="37"/>
  <c r="AN50" i="37"/>
  <c r="AN51" i="37"/>
  <c r="AN28" i="37"/>
  <c r="AN52" i="37"/>
  <c r="AN47" i="37"/>
  <c r="AN24" i="37"/>
  <c r="AN56" i="37"/>
  <c r="AN19" i="37"/>
  <c r="AN27" i="37"/>
  <c r="AN35" i="37"/>
  <c r="AN43" i="37"/>
  <c r="AN36" i="37"/>
  <c r="AN39" i="37"/>
  <c r="AN48" i="37"/>
  <c r="AN21" i="37"/>
  <c r="AN29" i="37"/>
  <c r="AN37" i="37"/>
  <c r="AN45" i="37"/>
  <c r="AN53" i="37"/>
  <c r="AN22" i="37"/>
  <c r="AN30" i="37"/>
  <c r="AN38" i="37"/>
  <c r="AN46" i="37"/>
  <c r="AN54" i="37"/>
  <c r="AN55" i="37"/>
  <c r="AN32" i="37"/>
  <c r="AR46" i="37"/>
  <c r="AR44" i="37" s="1"/>
  <c r="Y59" i="37"/>
  <c r="AR45" i="37"/>
  <c r="AQ35" i="37"/>
  <c r="AP35" i="37" s="1"/>
  <c r="AO35" i="37"/>
  <c r="AM30" i="37"/>
  <c r="AM53" i="37"/>
  <c r="AM40" i="37"/>
  <c r="AM48" i="37"/>
  <c r="AM31" i="37"/>
  <c r="AM24" i="37"/>
  <c r="AM37" i="37"/>
  <c r="AM52" i="37"/>
  <c r="AM34" i="37"/>
  <c r="AM25" i="37"/>
  <c r="AM26" i="37"/>
  <c r="AM39" i="37"/>
  <c r="AM22" i="37"/>
  <c r="AM45" i="37"/>
  <c r="AM19" i="37"/>
  <c r="AM23" i="37"/>
  <c r="AM56" i="37"/>
  <c r="AM29" i="37"/>
  <c r="AM36" i="37"/>
  <c r="AM41" i="37"/>
  <c r="AM51" i="37"/>
  <c r="AM33" i="37"/>
  <c r="AM32" i="37"/>
  <c r="AM16" i="37"/>
  <c r="AM28" i="37"/>
  <c r="AM47" i="37"/>
  <c r="AM20" i="37"/>
  <c r="AM18" i="37"/>
  <c r="AM54" i="37"/>
  <c r="AM43" i="37"/>
  <c r="AM44" i="37"/>
  <c r="AM35" i="37"/>
  <c r="AM50" i="37"/>
  <c r="AM46" i="37"/>
  <c r="AM27" i="37"/>
  <c r="AM42" i="37"/>
  <c r="AM17" i="37"/>
  <c r="AM55" i="37"/>
  <c r="AM38" i="37"/>
  <c r="AM49" i="37"/>
  <c r="AM21" i="37"/>
  <c r="AR34" i="37"/>
  <c r="AT34" i="37" s="1"/>
  <c r="B12" i="37"/>
  <c r="F11" i="37"/>
  <c r="L10" i="37"/>
  <c r="F10" i="37"/>
  <c r="J9" i="37"/>
  <c r="F9" i="37"/>
  <c r="J8" i="37"/>
  <c r="F8" i="37"/>
  <c r="X7" i="37"/>
  <c r="X6" i="37"/>
  <c r="X5" i="37"/>
  <c r="X4" i="37"/>
  <c r="X3" i="37"/>
  <c r="X2" i="37"/>
  <c r="X1" i="37"/>
  <c r="G1" i="37" s="1"/>
  <c r="J10" i="37" s="1"/>
  <c r="H27" i="37"/>
  <c r="AS35" i="37" l="1"/>
  <c r="AR35" i="37"/>
  <c r="AQ36" i="37" l="1"/>
  <c r="AP36" i="37" s="1"/>
  <c r="AS36" i="37" l="1"/>
  <c r="AR36" i="37"/>
  <c r="AT36" i="37" s="1"/>
  <c r="AR38" i="37" l="1"/>
  <c r="AU36" i="37"/>
  <c r="AT38" i="37" s="1"/>
  <c r="B52" i="37" s="1"/>
  <c r="B56" i="37" s="1"/>
  <c r="B55" i="37"/>
  <c r="B54" i="37"/>
  <c r="G56" i="37" l="1"/>
  <c r="AS43" i="37"/>
  <c r="D29" i="37" s="1"/>
  <c r="AS45" i="37"/>
  <c r="AS44" i="37"/>
  <c r="G54" i="37"/>
  <c r="G55" i="37"/>
  <c r="C59" i="37" l="1"/>
  <c r="K59" i="37" s="1"/>
  <c r="C58" i="37"/>
  <c r="J59" i="37"/>
</calcChain>
</file>

<file path=xl/comments1.xml><?xml version="1.0" encoding="utf-8"?>
<comments xmlns="http://schemas.openxmlformats.org/spreadsheetml/2006/main">
  <authors>
    <author>rabbott@abbottaerospace.com</author>
  </authors>
  <commentList>
    <comment ref="B26" authorId="0" shapeId="0">
      <text>
        <r>
          <rPr>
            <b/>
            <sz val="9"/>
            <color indexed="81"/>
            <rFont val="Tahoma"/>
            <family val="2"/>
          </rPr>
          <t>rabbott@abbottaerospace.com:</t>
        </r>
        <r>
          <rPr>
            <sz val="9"/>
            <color indexed="81"/>
            <rFont val="Tahoma"/>
            <family val="2"/>
          </rPr>
          <t xml:space="preserve">
Do not delete
</t>
        </r>
      </text>
    </comment>
    <comment ref="D29" authorId="0" shapeId="0">
      <text>
        <r>
          <rPr>
            <b/>
            <sz val="9"/>
            <color indexed="81"/>
            <rFont val="Tahoma"/>
            <family val="2"/>
          </rPr>
          <t>rabbott@abbottaerospace.com:</t>
        </r>
        <r>
          <rPr>
            <sz val="9"/>
            <color indexed="81"/>
            <rFont val="Tahoma"/>
            <family val="2"/>
          </rPr>
          <t xml:space="preserve">
Do not delete</t>
        </r>
      </text>
    </comment>
  </commentList>
</comments>
</file>

<file path=xl/sharedStrings.xml><?xml version="1.0" encoding="utf-8"?>
<sst xmlns="http://schemas.openxmlformats.org/spreadsheetml/2006/main" count="151" uniqueCount="107">
  <si>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</si>
  <si>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</si>
  <si>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</si>
  <si>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</si>
  <si>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</si>
  <si>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</si>
  <si>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</si>
  <si>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</si>
  <si>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</si>
  <si>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</si>
  <si>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</si>
  <si>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</si>
  <si>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</si>
  <si>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</si>
  <si>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</si>
  <si>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</si>
  <si>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</si>
  <si>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</si>
  <si>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</si>
  <si>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</si>
  <si>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</si>
  <si>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</si>
  <si>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</si>
  <si>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</si>
  <si>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</si>
  <si>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</si>
  <si>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</si>
  <si>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</si>
  <si>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</si>
  <si>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</si>
  <si>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</si>
  <si>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</si>
  <si>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</si>
  <si>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</si>
  <si>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</si>
  <si>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</si>
  <si>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</si>
  <si>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</si>
  <si>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</si>
  <si>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</si>
  <si>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</si>
  <si>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</si>
  <si>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</si>
  <si>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</si>
  <si>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</si>
  <si>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</si>
  <si>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</si>
  <si>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x</t>
  </si>
  <si>
    <t>y</t>
  </si>
  <si>
    <t>hor line</t>
  </si>
  <si>
    <t>vert line</t>
  </si>
  <si>
    <t>D =</t>
  </si>
  <si>
    <t>in</t>
  </si>
  <si>
    <t>(NASA TM X-73305, 1975)</t>
  </si>
  <si>
    <t>=</t>
  </si>
  <si>
    <t>psi</t>
  </si>
  <si>
    <t>P =</t>
  </si>
  <si>
    <t>lb</t>
  </si>
  <si>
    <t>Applied Ultimate Load</t>
  </si>
  <si>
    <t>in²</t>
  </si>
  <si>
    <r>
      <t>P'</t>
    </r>
    <r>
      <rPr>
        <vertAlign val="subscript"/>
        <sz val="10"/>
        <rFont val="Calibri"/>
        <family val="2"/>
        <scheme val="minor"/>
      </rPr>
      <t>bru</t>
    </r>
    <r>
      <rPr>
        <sz val="10"/>
        <rFont val="Calibri"/>
        <family val="2"/>
        <scheme val="minor"/>
      </rPr>
      <t xml:space="preserve"> =</t>
    </r>
  </si>
  <si>
    <t>1.15 Fitting Factor is applied</t>
  </si>
  <si>
    <t>20/10/2015</t>
  </si>
  <si>
    <r>
      <t>A</t>
    </r>
    <r>
      <rPr>
        <vertAlign val="subscript"/>
        <sz val="10"/>
        <rFont val="Calibri"/>
        <family val="2"/>
        <scheme val="minor"/>
      </rPr>
      <t>br</t>
    </r>
    <r>
      <rPr>
        <sz val="10"/>
        <rFont val="Calibri"/>
        <family val="2"/>
        <scheme val="minor"/>
      </rPr>
      <t xml:space="preserve"> =</t>
    </r>
  </si>
  <si>
    <r>
      <t>F</t>
    </r>
    <r>
      <rPr>
        <vertAlign val="subscript"/>
        <sz val="10"/>
        <rFont val="Calibri"/>
        <family val="2"/>
        <scheme val="minor"/>
      </rPr>
      <t>tux</t>
    </r>
    <r>
      <rPr>
        <sz val="10"/>
        <rFont val="Calibri"/>
        <family val="2"/>
        <scheme val="minor"/>
      </rPr>
      <t xml:space="preserve"> =</t>
    </r>
  </si>
  <si>
    <t>n</t>
  </si>
  <si>
    <t>K</t>
  </si>
  <si>
    <t>E</t>
  </si>
  <si>
    <t>Fcy</t>
  </si>
  <si>
    <t>+x</t>
  </si>
  <si>
    <t>e =</t>
  </si>
  <si>
    <t>Edge Distance</t>
  </si>
  <si>
    <t>r =</t>
  </si>
  <si>
    <r>
      <t>P't</t>
    </r>
    <r>
      <rPr>
        <vertAlign val="subscript"/>
        <sz val="10"/>
        <rFont val="Calibri"/>
        <family val="2"/>
        <scheme val="minor"/>
      </rPr>
      <t>u</t>
    </r>
    <r>
      <rPr>
        <sz val="10"/>
        <rFont val="Calibri"/>
        <family val="2"/>
        <scheme val="minor"/>
      </rPr>
      <t xml:space="preserve"> =</t>
    </r>
  </si>
  <si>
    <r>
      <t>(P'</t>
    </r>
    <r>
      <rPr>
        <vertAlign val="subscript"/>
        <sz val="10"/>
        <rFont val="Calibri"/>
        <family val="2"/>
        <scheme val="minor"/>
      </rPr>
      <t>u</t>
    </r>
    <r>
      <rPr>
        <sz val="10"/>
        <rFont val="Calibri"/>
        <family val="2"/>
        <scheme val="minor"/>
      </rPr>
      <t xml:space="preserve"> )</t>
    </r>
    <r>
      <rPr>
        <vertAlign val="subscript"/>
        <sz val="10"/>
        <rFont val="Calibri"/>
        <family val="2"/>
        <scheme val="minor"/>
      </rPr>
      <t>min</t>
    </r>
    <r>
      <rPr>
        <sz val="10"/>
        <rFont val="Calibri"/>
        <family val="2"/>
        <scheme val="minor"/>
      </rPr>
      <t>/A</t>
    </r>
    <r>
      <rPr>
        <vertAlign val="subscript"/>
        <sz val="10"/>
        <rFont val="Calibri"/>
        <family val="2"/>
        <scheme val="minor"/>
      </rPr>
      <t>br</t>
    </r>
    <r>
      <rPr>
        <sz val="10"/>
        <rFont val="Calibri"/>
        <family val="2"/>
        <scheme val="minor"/>
      </rPr>
      <t xml:space="preserve"> F</t>
    </r>
    <r>
      <rPr>
        <vertAlign val="subscript"/>
        <sz val="10"/>
        <rFont val="Calibri"/>
        <family val="2"/>
        <scheme val="minor"/>
      </rPr>
      <t>tux</t>
    </r>
    <r>
      <rPr>
        <sz val="10"/>
        <rFont val="Calibri"/>
        <family val="2"/>
        <scheme val="minor"/>
      </rPr>
      <t xml:space="preserve"> =</t>
    </r>
  </si>
  <si>
    <t>r</t>
  </si>
  <si>
    <t>t₂ =</t>
  </si>
  <si>
    <t>t₁ =</t>
  </si>
  <si>
    <t>Lug 1 Thickness</t>
  </si>
  <si>
    <t>Lug 2 Thickness</t>
  </si>
  <si>
    <t>γ =</t>
  </si>
  <si>
    <t>b =</t>
  </si>
  <si>
    <t>g =</t>
  </si>
  <si>
    <t>Gap between lugs</t>
  </si>
  <si>
    <t>M =</t>
  </si>
  <si>
    <t>inlb</t>
  </si>
  <si>
    <t>Hole/Pin Diameter</t>
  </si>
  <si>
    <t>Lug Matl. transverse ult strength</t>
  </si>
  <si>
    <t>in⁴</t>
  </si>
  <si>
    <t>Pin bending Stress =</t>
  </si>
  <si>
    <r>
      <t>F</t>
    </r>
    <r>
      <rPr>
        <vertAlign val="subscript"/>
        <sz val="10"/>
        <rFont val="Calibri"/>
        <family val="2"/>
        <scheme val="minor"/>
      </rPr>
      <t>pin</t>
    </r>
    <r>
      <rPr>
        <sz val="10"/>
        <rFont val="Calibri"/>
        <family val="2"/>
        <scheme val="minor"/>
      </rPr>
      <t xml:space="preserve"> =</t>
    </r>
  </si>
  <si>
    <t>Ult pin plastic bending strength</t>
  </si>
  <si>
    <t>Inner lug shear bearing allowable</t>
  </si>
  <si>
    <t>Inner lug tension allowable</t>
  </si>
  <si>
    <t>LUG ANALYSIS - PIN BENDING</t>
  </si>
  <si>
    <t>AA-SM-009-004</t>
  </si>
  <si>
    <t>m =</t>
  </si>
  <si>
    <t>c =</t>
  </si>
  <si>
    <t>Pin Bending Moment</t>
  </si>
  <si>
    <t>Pin 2nd Moment of Area</t>
  </si>
  <si>
    <t>I =</t>
  </si>
  <si>
    <t>Pin bending reduction Factor</t>
  </si>
  <si>
    <t>Effective moment arm</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</si>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</sst>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vertAlign val="subscript"/>
      <sz val="10"/>
      <name val="Calibri"/>
      <family val="2"/>
      <scheme val="minor"/>
    </font>
    <font>
      <sz val="9"/>
      <color indexed="81"/>
      <name val="Tahoma"/>
      <family val="2"/>
    </font>
    <font>
      <b/>
      <sz val="9"/>
      <color indexed="81"/>
      <name val="Tahoma"/>
      <family val="2"/>
    </font>
    <font>
      <b/>
      <i/>
      <sz val="10"/>
      <color rgb="FFFF0000"/>
      <name val="Calibri"/>
      <family val="2"/>
      <scheme val="minor"/>
    </font>
    <font>
      <u/>
      <sz val="10"/>
      <color theme="10"/>
      <name val="Arial"/>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2"/>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3" fillId="0" borderId="0" applyNumberFormat="0" applyFill="0" applyBorder="0" applyAlignment="0" applyProtection="0"/>
    <xf numFmtId="0" fontId="25" fillId="0" borderId="0" applyNumberFormat="0" applyFill="0" applyBorder="0" applyAlignment="0" applyProtection="0"/>
  </cellStyleXfs>
  <cellXfs count="17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2" borderId="0" xfId="0" applyFont="1" applyFill="1" applyAlignment="1">
      <alignment horizontal="center"/>
    </xf>
    <xf numFmtId="0" fontId="5" fillId="0" borderId="3" xfId="0" applyFont="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9" xfId="0" applyFont="1" applyBorder="1" applyAlignment="1">
      <alignment horizontal="center"/>
    </xf>
    <xf numFmtId="2" fontId="3" fillId="2" borderId="10" xfId="0" applyNumberFormat="1" applyFont="1" applyFill="1" applyBorder="1" applyAlignment="1">
      <alignment horizontal="center"/>
    </xf>
    <xf numFmtId="2" fontId="3" fillId="2" borderId="11" xfId="0" applyNumberFormat="1" applyFont="1" applyFill="1" applyBorder="1" applyAlignment="1">
      <alignment horizontal="center"/>
    </xf>
    <xf numFmtId="0" fontId="3" fillId="0" borderId="0" xfId="0" applyFont="1" applyFill="1"/>
    <xf numFmtId="0" fontId="3" fillId="0" borderId="0" xfId="0" applyFont="1" applyBorder="1" applyAlignment="1" applyProtection="1">
      <alignment vertical="center"/>
      <protection locked="0"/>
    </xf>
    <xf numFmtId="0" fontId="18" fillId="0" borderId="0" xfId="0" applyFont="1"/>
    <xf numFmtId="0" fontId="3" fillId="0" borderId="0" xfId="0"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2" fillId="0" borderId="0" xfId="0" applyFont="1" applyBorder="1"/>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Fill="1" applyBorder="1" applyAlignment="1">
      <alignment horizontal="center"/>
    </xf>
    <xf numFmtId="164" fontId="3" fillId="0" borderId="0" xfId="0" applyNumberFormat="1" applyFont="1"/>
    <xf numFmtId="164" fontId="3" fillId="0" borderId="0" xfId="0" applyNumberFormat="1" applyFont="1" applyFill="1" applyBorder="1" applyAlignment="1" applyProtection="1">
      <alignment horizontal="right" vertical="center"/>
      <protection locked="0"/>
    </xf>
    <xf numFmtId="164" fontId="3" fillId="2" borderId="7" xfId="0" applyNumberFormat="1" applyFont="1" applyFill="1" applyBorder="1" applyAlignment="1">
      <alignment horizontal="center"/>
    </xf>
    <xf numFmtId="0" fontId="2" fillId="2" borderId="2" xfId="0" applyFont="1" applyFill="1" applyBorder="1" applyAlignment="1">
      <alignment horizontal="center"/>
    </xf>
    <xf numFmtId="0" fontId="3" fillId="0" borderId="0" xfId="2" quotePrefix="1" applyFont="1"/>
    <xf numFmtId="0" fontId="3" fillId="2" borderId="3" xfId="0" applyFont="1" applyFill="1" applyBorder="1" applyAlignment="1">
      <alignment horizontal="center"/>
    </xf>
    <xf numFmtId="0" fontId="3" fillId="0" borderId="4" xfId="0" applyFont="1" applyBorder="1" applyAlignment="1">
      <alignment horizontal="center"/>
    </xf>
    <xf numFmtId="0" fontId="3" fillId="2" borderId="4" xfId="0" applyFont="1" applyFill="1" applyBorder="1" applyAlignment="1">
      <alignment horizontal="center"/>
    </xf>
    <xf numFmtId="0" fontId="3" fillId="2" borderId="9" xfId="0" applyFont="1" applyFill="1" applyBorder="1" applyAlignment="1">
      <alignment horizontal="center"/>
    </xf>
    <xf numFmtId="164" fontId="3" fillId="2" borderId="0" xfId="0" applyNumberFormat="1" applyFont="1" applyFill="1" applyBorder="1" applyAlignment="1">
      <alignment horizontal="center"/>
    </xf>
    <xf numFmtId="0" fontId="3" fillId="0" borderId="0" xfId="1" applyFont="1" applyBorder="1" applyAlignment="1">
      <alignment horizontal="center"/>
    </xf>
    <xf numFmtId="164" fontId="3" fillId="2" borderId="3" xfId="0" applyNumberFormat="1" applyFont="1" applyFill="1" applyBorder="1" applyAlignment="1">
      <alignment horizontal="center"/>
    </xf>
    <xf numFmtId="164" fontId="3" fillId="2" borderId="8"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5" xfId="0" applyNumberFormat="1" applyFont="1" applyFill="1" applyBorder="1" applyAlignment="1">
      <alignment horizontal="center"/>
    </xf>
    <xf numFmtId="0" fontId="3" fillId="0" borderId="5" xfId="2" applyFont="1" applyBorder="1"/>
    <xf numFmtId="164" fontId="3" fillId="2" borderId="9" xfId="0" applyNumberFormat="1" applyFont="1" applyFill="1" applyBorder="1" applyAlignment="1">
      <alignment horizontal="center"/>
    </xf>
    <xf numFmtId="164" fontId="3" fillId="2" borderId="10" xfId="0" applyNumberFormat="1" applyFont="1" applyFill="1" applyBorder="1" applyAlignment="1">
      <alignment horizontal="center"/>
    </xf>
    <xf numFmtId="0" fontId="3" fillId="0" borderId="10" xfId="1" applyFont="1" applyBorder="1"/>
    <xf numFmtId="0" fontId="3" fillId="0" borderId="10" xfId="0" applyFont="1" applyBorder="1" applyAlignment="1">
      <alignment horizontal="center"/>
    </xf>
    <xf numFmtId="0" fontId="3" fillId="0" borderId="10" xfId="1" applyFont="1" applyBorder="1" applyAlignment="1">
      <alignment horizontal="center"/>
    </xf>
    <xf numFmtId="0" fontId="3" fillId="0" borderId="10" xfId="0" applyFont="1" applyBorder="1"/>
    <xf numFmtId="0" fontId="3" fillId="0" borderId="11" xfId="0" applyFont="1" applyBorder="1"/>
    <xf numFmtId="164" fontId="3" fillId="0" borderId="0" xfId="0" applyNumberFormat="1" applyFont="1" applyBorder="1" applyAlignment="1">
      <alignment horizontal="center"/>
    </xf>
    <xf numFmtId="164" fontId="3" fillId="0" borderId="5" xfId="0" applyNumberFormat="1" applyFont="1" applyBorder="1" applyAlignment="1">
      <alignment horizontal="center"/>
    </xf>
    <xf numFmtId="164" fontId="3" fillId="0" borderId="0" xfId="0" applyNumberFormat="1" applyFont="1" applyProtection="1">
      <protection locked="0"/>
    </xf>
    <xf numFmtId="164" fontId="3" fillId="0" borderId="0" xfId="0" applyNumberFormat="1" applyFont="1" applyAlignment="1">
      <alignment horizontal="center"/>
    </xf>
    <xf numFmtId="0" fontId="3" fillId="0" borderId="0" xfId="1" applyFont="1" applyAlignment="1">
      <alignment horizontal="right"/>
    </xf>
    <xf numFmtId="164" fontId="3" fillId="0" borderId="0" xfId="1" applyNumberFormat="1" applyFont="1"/>
    <xf numFmtId="0" fontId="3" fillId="0" borderId="0" xfId="1" applyFont="1" applyAlignment="1">
      <alignment horizontal="right" vertical="center"/>
    </xf>
    <xf numFmtId="0" fontId="5" fillId="0" borderId="0" xfId="0" applyFont="1" applyAlignment="1">
      <alignment horizontal="right"/>
    </xf>
    <xf numFmtId="0" fontId="5" fillId="0" borderId="0" xfId="0" applyFont="1"/>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1" fontId="3"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protection locked="0"/>
    </xf>
    <xf numFmtId="165" fontId="3" fillId="0" borderId="0" xfId="0" applyNumberFormat="1" applyFont="1" applyAlignment="1" applyProtection="1">
      <alignment horizontal="right" vertical="center"/>
      <protection locked="0"/>
    </xf>
    <xf numFmtId="165" fontId="3" fillId="0" borderId="0" xfId="0" applyNumberFormat="1" applyFont="1"/>
    <xf numFmtId="165" fontId="18" fillId="0" borderId="0" xfId="0" applyNumberFormat="1" applyFont="1"/>
    <xf numFmtId="1" fontId="3" fillId="0" borderId="0" xfId="0" applyNumberFormat="1" applyFont="1"/>
    <xf numFmtId="164" fontId="17" fillId="0" borderId="0" xfId="0" applyNumberFormat="1" applyFont="1" applyAlignment="1" applyProtection="1">
      <alignment horizontal="right" vertical="center"/>
      <protection locked="0"/>
    </xf>
    <xf numFmtId="1" fontId="3" fillId="0" borderId="0" xfId="1" applyNumberFormat="1" applyFont="1"/>
    <xf numFmtId="166" fontId="3" fillId="0" borderId="0" xfId="2" applyNumberFormat="1" applyFont="1" applyAlignment="1">
      <alignment horizontal="center"/>
    </xf>
    <xf numFmtId="167" fontId="3" fillId="0" borderId="0" xfId="0" applyNumberFormat="1" applyFont="1" applyAlignment="1" applyProtection="1">
      <alignment horizontal="right" vertical="center"/>
      <protection locked="0"/>
    </xf>
    <xf numFmtId="0" fontId="3" fillId="0" borderId="3" xfId="0" applyFont="1" applyFill="1" applyBorder="1" applyAlignment="1">
      <alignment horizontal="center"/>
    </xf>
    <xf numFmtId="0" fontId="3" fillId="0" borderId="7" xfId="0" applyFont="1" applyBorder="1"/>
    <xf numFmtId="0" fontId="3" fillId="0" borderId="9" xfId="0" applyFont="1" applyFill="1" applyBorder="1" applyAlignment="1">
      <alignment horizontal="center"/>
    </xf>
    <xf numFmtId="0" fontId="22" fillId="0" borderId="0" xfId="0" applyFont="1"/>
    <xf numFmtId="0" fontId="3" fillId="0" borderId="3" xfId="0" applyFont="1" applyBorder="1"/>
    <xf numFmtId="0" fontId="3" fillId="0" borderId="7" xfId="1" applyFont="1" applyBorder="1"/>
    <xf numFmtId="0" fontId="3" fillId="0" borderId="9" xfId="0" applyFont="1" applyBorder="1"/>
    <xf numFmtId="0" fontId="3" fillId="0" borderId="11" xfId="1" applyFont="1" applyBorder="1"/>
    <xf numFmtId="164" fontId="3" fillId="2" borderId="11" xfId="0" applyNumberFormat="1" applyFont="1" applyFill="1" applyBorder="1" applyAlignment="1">
      <alignment horizont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4" fillId="0" borderId="0" xfId="7" applyFont="1"/>
    <xf numFmtId="0" fontId="24" fillId="0" borderId="0" xfId="8" applyFont="1" applyBorder="1" applyAlignment="1" applyProtection="1">
      <alignment horizontal="center"/>
    </xf>
    <xf numFmtId="0" fontId="25"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4" fillId="0" borderId="0" xfId="1" applyFont="1" applyBorder="1" applyAlignment="1">
      <alignment horizontal="center"/>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0423816477471"/>
          <c:y val="3.175032529545431E-2"/>
          <c:w val="0.87654282090293256"/>
          <c:h val="0.83841151015776505"/>
        </c:manualLayout>
      </c:layout>
      <c:scatterChart>
        <c:scatterStyle val="lineMarker"/>
        <c:varyColors val="0"/>
        <c:ser>
          <c:idx val="0"/>
          <c:order val="0"/>
          <c:tx>
            <c:strRef>
              <c:f>Analysis!$W$14</c:f>
              <c:strCache>
                <c:ptCount val="1"/>
                <c:pt idx="0">
                  <c:v>0.02</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Analysis!$W$16:$W$56</c:f>
              <c:numCache>
                <c:formatCode>0.000</c:formatCode>
                <c:ptCount val="41"/>
                <c:pt idx="0">
                  <c:v>0.84</c:v>
                </c:pt>
                <c:pt idx="1">
                  <c:v>0.91500000000000004</c:v>
                </c:pt>
                <c:pt idx="2">
                  <c:v>0.95499999999999996</c:v>
                </c:pt>
                <c:pt idx="3">
                  <c:v>0.98</c:v>
                </c:pt>
                <c:pt idx="4">
                  <c:v>0.995</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numCache>
            </c:numRef>
          </c:yVal>
          <c:smooth val="1"/>
          <c:extLst>
            <c:ext xmlns:c16="http://schemas.microsoft.com/office/drawing/2014/chart" uri="{C3380CC4-5D6E-409C-BE32-E72D297353CC}">
              <c16:uniqueId val="{00000000-FEA5-45B6-94C5-802C78D488B9}"/>
            </c:ext>
          </c:extLst>
        </c:ser>
        <c:ser>
          <c:idx val="1"/>
          <c:order val="1"/>
          <c:tx>
            <c:strRef>
              <c:f>Analysis!$X$14</c:f>
              <c:strCache>
                <c:ptCount val="1"/>
                <c:pt idx="0">
                  <c:v>0.04</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Analysis!$X$16:$X$56</c:f>
              <c:numCache>
                <c:formatCode>0.000</c:formatCode>
                <c:ptCount val="41"/>
                <c:pt idx="0">
                  <c:v>0.5</c:v>
                </c:pt>
                <c:pt idx="1">
                  <c:v>0.77</c:v>
                </c:pt>
                <c:pt idx="2">
                  <c:v>0.85</c:v>
                </c:pt>
                <c:pt idx="3">
                  <c:v>0.89</c:v>
                </c:pt>
                <c:pt idx="4">
                  <c:v>0.92500000000000004</c:v>
                </c:pt>
                <c:pt idx="5">
                  <c:v>0.94499999999999995</c:v>
                </c:pt>
                <c:pt idx="6">
                  <c:v>0.95499999999999996</c:v>
                </c:pt>
                <c:pt idx="7">
                  <c:v>0.96</c:v>
                </c:pt>
                <c:pt idx="8">
                  <c:v>0.96499999999999997</c:v>
                </c:pt>
                <c:pt idx="9">
                  <c:v>0.97</c:v>
                </c:pt>
                <c:pt idx="10">
                  <c:v>0.97499999999999998</c:v>
                </c:pt>
                <c:pt idx="11">
                  <c:v>0.97599999999999998</c:v>
                </c:pt>
                <c:pt idx="12">
                  <c:v>0.97699999999999998</c:v>
                </c:pt>
                <c:pt idx="13">
                  <c:v>0.97799999999999998</c:v>
                </c:pt>
                <c:pt idx="14">
                  <c:v>0.97899999999999998</c:v>
                </c:pt>
                <c:pt idx="15">
                  <c:v>0.98</c:v>
                </c:pt>
                <c:pt idx="16">
                  <c:v>0.98</c:v>
                </c:pt>
                <c:pt idx="17">
                  <c:v>0.98</c:v>
                </c:pt>
                <c:pt idx="18">
                  <c:v>0.98</c:v>
                </c:pt>
                <c:pt idx="19">
                  <c:v>0.98</c:v>
                </c:pt>
                <c:pt idx="20">
                  <c:v>0.98099999999999998</c:v>
                </c:pt>
                <c:pt idx="21">
                  <c:v>0.98199999999999998</c:v>
                </c:pt>
                <c:pt idx="22">
                  <c:v>0.98299999999999998</c:v>
                </c:pt>
                <c:pt idx="23">
                  <c:v>0.98399999999999999</c:v>
                </c:pt>
                <c:pt idx="24">
                  <c:v>0.98499999999999999</c:v>
                </c:pt>
                <c:pt idx="25">
                  <c:v>0.98599999999999999</c:v>
                </c:pt>
                <c:pt idx="26">
                  <c:v>0.98699999999999999</c:v>
                </c:pt>
                <c:pt idx="27">
                  <c:v>0.98799999999999999</c:v>
                </c:pt>
                <c:pt idx="28">
                  <c:v>0.98899999999999999</c:v>
                </c:pt>
                <c:pt idx="29">
                  <c:v>0.99</c:v>
                </c:pt>
                <c:pt idx="30">
                  <c:v>0.99099999999999999</c:v>
                </c:pt>
                <c:pt idx="31">
                  <c:v>0.99199999999999999</c:v>
                </c:pt>
                <c:pt idx="32">
                  <c:v>0.99299999999999999</c:v>
                </c:pt>
                <c:pt idx="33">
                  <c:v>0.99399999999999999</c:v>
                </c:pt>
                <c:pt idx="34">
                  <c:v>0.995</c:v>
                </c:pt>
                <c:pt idx="35">
                  <c:v>0.996</c:v>
                </c:pt>
                <c:pt idx="36">
                  <c:v>0.997</c:v>
                </c:pt>
                <c:pt idx="37">
                  <c:v>0.998</c:v>
                </c:pt>
                <c:pt idx="38">
                  <c:v>0.999</c:v>
                </c:pt>
                <c:pt idx="39">
                  <c:v>1</c:v>
                </c:pt>
                <c:pt idx="40">
                  <c:v>1</c:v>
                </c:pt>
              </c:numCache>
            </c:numRef>
          </c:yVal>
          <c:smooth val="1"/>
          <c:extLst>
            <c:ext xmlns:c16="http://schemas.microsoft.com/office/drawing/2014/chart" uri="{C3380CC4-5D6E-409C-BE32-E72D297353CC}">
              <c16:uniqueId val="{00000001-FEA5-45B6-94C5-802C78D488B9}"/>
            </c:ext>
          </c:extLst>
        </c:ser>
        <c:ser>
          <c:idx val="2"/>
          <c:order val="2"/>
          <c:tx>
            <c:strRef>
              <c:f>Analysis!$Y$14</c:f>
              <c:strCache>
                <c:ptCount val="1"/>
                <c:pt idx="0">
                  <c:v>0.06</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Analysis!$Y$16:$Y$56</c:f>
              <c:numCache>
                <c:formatCode>0.000</c:formatCode>
                <c:ptCount val="41"/>
                <c:pt idx="0">
                  <c:v>-0.5</c:v>
                </c:pt>
                <c:pt idx="1">
                  <c:v>0.5</c:v>
                </c:pt>
                <c:pt idx="2">
                  <c:v>0.70499999999999996</c:v>
                </c:pt>
                <c:pt idx="3">
                  <c:v>0.78</c:v>
                </c:pt>
                <c:pt idx="4">
                  <c:v>0.82499999999999996</c:v>
                </c:pt>
                <c:pt idx="5">
                  <c:v>0.85499999999999998</c:v>
                </c:pt>
                <c:pt idx="6">
                  <c:v>0.88</c:v>
                </c:pt>
                <c:pt idx="7">
                  <c:v>0.89500000000000002</c:v>
                </c:pt>
                <c:pt idx="8">
                  <c:v>0.91</c:v>
                </c:pt>
                <c:pt idx="9">
                  <c:v>0.92</c:v>
                </c:pt>
                <c:pt idx="10">
                  <c:v>0.92700000000000005</c:v>
                </c:pt>
                <c:pt idx="11">
                  <c:v>0.93500000000000005</c:v>
                </c:pt>
                <c:pt idx="12">
                  <c:v>0.94</c:v>
                </c:pt>
                <c:pt idx="13">
                  <c:v>0.94499999999999995</c:v>
                </c:pt>
                <c:pt idx="14">
                  <c:v>0.95</c:v>
                </c:pt>
                <c:pt idx="15">
                  <c:v>0.95199999999999996</c:v>
                </c:pt>
                <c:pt idx="16">
                  <c:v>0.95499999999999996</c:v>
                </c:pt>
                <c:pt idx="17">
                  <c:v>0.96</c:v>
                </c:pt>
                <c:pt idx="18">
                  <c:v>0.96199999999999997</c:v>
                </c:pt>
                <c:pt idx="19">
                  <c:v>0.96499999999999997</c:v>
                </c:pt>
                <c:pt idx="20">
                  <c:v>0.96699999999999997</c:v>
                </c:pt>
                <c:pt idx="21" formatCode="General">
                  <c:v>0.96799999999999997</c:v>
                </c:pt>
                <c:pt idx="22" formatCode="General">
                  <c:v>0.96899999999999997</c:v>
                </c:pt>
                <c:pt idx="23" formatCode="General">
                  <c:v>0.97</c:v>
                </c:pt>
                <c:pt idx="24" formatCode="General">
                  <c:v>0.97099999999999997</c:v>
                </c:pt>
                <c:pt idx="25" formatCode="General">
                  <c:v>0.97199999999999998</c:v>
                </c:pt>
                <c:pt idx="26" formatCode="General">
                  <c:v>0.97299999999999998</c:v>
                </c:pt>
                <c:pt idx="27" formatCode="General">
                  <c:v>0.97399999999999998</c:v>
                </c:pt>
                <c:pt idx="28" formatCode="General">
                  <c:v>0.97499999999999998</c:v>
                </c:pt>
                <c:pt idx="29" formatCode="General">
                  <c:v>0.97599999999999998</c:v>
                </c:pt>
                <c:pt idx="30" formatCode="General">
                  <c:v>0.97699999999999998</c:v>
                </c:pt>
                <c:pt idx="31" formatCode="General">
                  <c:v>0.97799999999999998</c:v>
                </c:pt>
                <c:pt idx="32" formatCode="General">
                  <c:v>0.97899999999999998</c:v>
                </c:pt>
                <c:pt idx="33" formatCode="General">
                  <c:v>0.98</c:v>
                </c:pt>
                <c:pt idx="34">
                  <c:v>0.98</c:v>
                </c:pt>
                <c:pt idx="35">
                  <c:v>0.98</c:v>
                </c:pt>
                <c:pt idx="36">
                  <c:v>0.98</c:v>
                </c:pt>
                <c:pt idx="37">
                  <c:v>0.98</c:v>
                </c:pt>
                <c:pt idx="38">
                  <c:v>0.98</c:v>
                </c:pt>
                <c:pt idx="39">
                  <c:v>0.98</c:v>
                </c:pt>
              </c:numCache>
            </c:numRef>
          </c:yVal>
          <c:smooth val="1"/>
          <c:extLst>
            <c:ext xmlns:c16="http://schemas.microsoft.com/office/drawing/2014/chart" uri="{C3380CC4-5D6E-409C-BE32-E72D297353CC}">
              <c16:uniqueId val="{00000002-FEA5-45B6-94C5-802C78D488B9}"/>
            </c:ext>
          </c:extLst>
        </c:ser>
        <c:ser>
          <c:idx val="3"/>
          <c:order val="3"/>
          <c:tx>
            <c:strRef>
              <c:f>Analysis!$Z$14</c:f>
              <c:strCache>
                <c:ptCount val="1"/>
                <c:pt idx="0">
                  <c:v>0.08</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Analysis!$Z$16:$Z$56</c:f>
              <c:numCache>
                <c:formatCode>0.000</c:formatCode>
                <c:ptCount val="41"/>
                <c:pt idx="1">
                  <c:v>0.03</c:v>
                </c:pt>
                <c:pt idx="2">
                  <c:v>0.45</c:v>
                </c:pt>
                <c:pt idx="3">
                  <c:v>0.62</c:v>
                </c:pt>
                <c:pt idx="4">
                  <c:v>0.71</c:v>
                </c:pt>
                <c:pt idx="5">
                  <c:v>0.76500000000000001</c:v>
                </c:pt>
                <c:pt idx="6">
                  <c:v>0.80500000000000005</c:v>
                </c:pt>
                <c:pt idx="7">
                  <c:v>0.83499999999999996</c:v>
                </c:pt>
                <c:pt idx="8">
                  <c:v>0.85</c:v>
                </c:pt>
                <c:pt idx="9">
                  <c:v>0.86499999999999999</c:v>
                </c:pt>
                <c:pt idx="10">
                  <c:v>0.88</c:v>
                </c:pt>
                <c:pt idx="11">
                  <c:v>0.89</c:v>
                </c:pt>
                <c:pt idx="12">
                  <c:v>0.9</c:v>
                </c:pt>
                <c:pt idx="13">
                  <c:v>0.91</c:v>
                </c:pt>
                <c:pt idx="14">
                  <c:v>0.91500000000000004</c:v>
                </c:pt>
                <c:pt idx="15">
                  <c:v>0.92300000000000004</c:v>
                </c:pt>
                <c:pt idx="16">
                  <c:v>0.93</c:v>
                </c:pt>
                <c:pt idx="17">
                  <c:v>0.93300000000000005</c:v>
                </c:pt>
                <c:pt idx="18">
                  <c:v>0.93500000000000005</c:v>
                </c:pt>
                <c:pt idx="19">
                  <c:v>0.93700000000000006</c:v>
                </c:pt>
                <c:pt idx="20">
                  <c:v>0.93899999999999995</c:v>
                </c:pt>
                <c:pt idx="21">
                  <c:v>0.94099999999999995</c:v>
                </c:pt>
                <c:pt idx="22">
                  <c:v>0.94299999999999995</c:v>
                </c:pt>
                <c:pt idx="23">
                  <c:v>0.94499999999999995</c:v>
                </c:pt>
                <c:pt idx="24">
                  <c:v>0.94699999999999995</c:v>
                </c:pt>
                <c:pt idx="25">
                  <c:v>0.94899999999999995</c:v>
                </c:pt>
                <c:pt idx="26">
                  <c:v>0.95099999999999996</c:v>
                </c:pt>
                <c:pt idx="27">
                  <c:v>0.95299999999999996</c:v>
                </c:pt>
                <c:pt idx="28">
                  <c:v>0.95499999999999996</c:v>
                </c:pt>
                <c:pt idx="29">
                  <c:v>0.95699999999999996</c:v>
                </c:pt>
                <c:pt idx="30">
                  <c:v>0.95899999999999996</c:v>
                </c:pt>
                <c:pt idx="31">
                  <c:v>0.96099999999999997</c:v>
                </c:pt>
                <c:pt idx="32">
                  <c:v>0.96299999999999997</c:v>
                </c:pt>
                <c:pt idx="33">
                  <c:v>0.96499999999999997</c:v>
                </c:pt>
                <c:pt idx="34">
                  <c:v>0.96699999999999997</c:v>
                </c:pt>
                <c:pt idx="35">
                  <c:v>0.96899999999999997</c:v>
                </c:pt>
                <c:pt idx="36">
                  <c:v>0.97099999999999997</c:v>
                </c:pt>
                <c:pt idx="37">
                  <c:v>0.97299999999999998</c:v>
                </c:pt>
                <c:pt idx="38">
                  <c:v>0.97499999999999998</c:v>
                </c:pt>
                <c:pt idx="39">
                  <c:v>0.97699999999999998</c:v>
                </c:pt>
              </c:numCache>
            </c:numRef>
          </c:yVal>
          <c:smooth val="1"/>
          <c:extLst>
            <c:ext xmlns:c16="http://schemas.microsoft.com/office/drawing/2014/chart" uri="{C3380CC4-5D6E-409C-BE32-E72D297353CC}">
              <c16:uniqueId val="{00000003-FEA5-45B6-94C5-802C78D488B9}"/>
            </c:ext>
          </c:extLst>
        </c:ser>
        <c:ser>
          <c:idx val="4"/>
          <c:order val="4"/>
          <c:tx>
            <c:strRef>
              <c:f>Analysis!$AA$14</c:f>
              <c:strCache>
                <c:ptCount val="1"/>
                <c:pt idx="0">
                  <c:v>0.1</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Analysis!$AA$16:$AA$56</c:f>
              <c:numCache>
                <c:formatCode>0.000</c:formatCode>
                <c:ptCount val="41"/>
                <c:pt idx="2">
                  <c:v>0.05</c:v>
                </c:pt>
                <c:pt idx="3">
                  <c:v>0.41</c:v>
                </c:pt>
                <c:pt idx="4">
                  <c:v>0.56000000000000005</c:v>
                </c:pt>
                <c:pt idx="5">
                  <c:v>0.65</c:v>
                </c:pt>
                <c:pt idx="6">
                  <c:v>0.70499999999999996</c:v>
                </c:pt>
                <c:pt idx="7">
                  <c:v>0.745</c:v>
                </c:pt>
                <c:pt idx="8">
                  <c:v>0.77500000000000002</c:v>
                </c:pt>
                <c:pt idx="9">
                  <c:v>0.8</c:v>
                </c:pt>
                <c:pt idx="10">
                  <c:v>0.82</c:v>
                </c:pt>
                <c:pt idx="11">
                  <c:v>0.83499999999999996</c:v>
                </c:pt>
                <c:pt idx="12">
                  <c:v>0.84699999999999998</c:v>
                </c:pt>
                <c:pt idx="13">
                  <c:v>0.85499999999999998</c:v>
                </c:pt>
                <c:pt idx="14">
                  <c:v>0.86299999999999999</c:v>
                </c:pt>
                <c:pt idx="15">
                  <c:v>0.872</c:v>
                </c:pt>
                <c:pt idx="16">
                  <c:v>0.88</c:v>
                </c:pt>
                <c:pt idx="17">
                  <c:v>0.88800000000000001</c:v>
                </c:pt>
                <c:pt idx="18">
                  <c:v>0.89300000000000002</c:v>
                </c:pt>
                <c:pt idx="19">
                  <c:v>0.9</c:v>
                </c:pt>
                <c:pt idx="20">
                  <c:v>0.90500000000000003</c:v>
                </c:pt>
                <c:pt idx="21" formatCode="General">
                  <c:v>0.90800000000000003</c:v>
                </c:pt>
                <c:pt idx="22" formatCode="General">
                  <c:v>0.91200000000000003</c:v>
                </c:pt>
                <c:pt idx="23" formatCode="General">
                  <c:v>0.91500000000000004</c:v>
                </c:pt>
                <c:pt idx="24" formatCode="General">
                  <c:v>0.91800000000000004</c:v>
                </c:pt>
                <c:pt idx="25" formatCode="General">
                  <c:v>0.92100000000000004</c:v>
                </c:pt>
                <c:pt idx="26" formatCode="General">
                  <c:v>0.92400000000000004</c:v>
                </c:pt>
                <c:pt idx="27" formatCode="General">
                  <c:v>0.92600000000000005</c:v>
                </c:pt>
                <c:pt idx="28" formatCode="General">
                  <c:v>0.92800000000000005</c:v>
                </c:pt>
                <c:pt idx="29" formatCode="General">
                  <c:v>0.93</c:v>
                </c:pt>
                <c:pt idx="30" formatCode="General">
                  <c:v>0.93200000000000005</c:v>
                </c:pt>
                <c:pt idx="31" formatCode="General">
                  <c:v>0.93400000000000005</c:v>
                </c:pt>
                <c:pt idx="32" formatCode="General">
                  <c:v>0.93600000000000005</c:v>
                </c:pt>
                <c:pt idx="33" formatCode="General">
                  <c:v>0.93799999999999994</c:v>
                </c:pt>
                <c:pt idx="34" formatCode="General">
                  <c:v>0.94</c:v>
                </c:pt>
                <c:pt idx="35" formatCode="General">
                  <c:v>0.94199999999999995</c:v>
                </c:pt>
                <c:pt idx="36" formatCode="General">
                  <c:v>0.94399999999999995</c:v>
                </c:pt>
                <c:pt idx="37" formatCode="General">
                  <c:v>0.94599999999999995</c:v>
                </c:pt>
                <c:pt idx="38" formatCode="General">
                  <c:v>0.94799999999999995</c:v>
                </c:pt>
              </c:numCache>
            </c:numRef>
          </c:yVal>
          <c:smooth val="1"/>
          <c:extLst>
            <c:ext xmlns:c16="http://schemas.microsoft.com/office/drawing/2014/chart" uri="{C3380CC4-5D6E-409C-BE32-E72D297353CC}">
              <c16:uniqueId val="{00000004-FEA5-45B6-94C5-802C78D488B9}"/>
            </c:ext>
          </c:extLst>
        </c:ser>
        <c:ser>
          <c:idx val="5"/>
          <c:order val="5"/>
          <c:tx>
            <c:v>hor line</c:v>
          </c:tx>
          <c:spPr>
            <a:ln w="12700">
              <a:solidFill>
                <a:srgbClr val="FF0000"/>
              </a:solidFill>
              <a:prstDash val="solid"/>
            </a:ln>
          </c:spPr>
          <c:marker>
            <c:symbol val="none"/>
          </c:marker>
          <c:xVal>
            <c:numRef>
              <c:f>Analysis!$AR$43:$AR$44</c:f>
              <c:numCache>
                <c:formatCode>0.00</c:formatCode>
                <c:ptCount val="2"/>
                <c:pt idx="0" formatCode="General">
                  <c:v>0</c:v>
                </c:pt>
                <c:pt idx="1">
                  <c:v>0.87834870443566093</c:v>
                </c:pt>
              </c:numCache>
            </c:numRef>
          </c:xVal>
          <c:yVal>
            <c:numRef>
              <c:f>Analysis!$AS$43:$AS$44</c:f>
              <c:numCache>
                <c:formatCode>0.00</c:formatCode>
                <c:ptCount val="2"/>
                <c:pt idx="0">
                  <c:v>0.64699929732103634</c:v>
                </c:pt>
                <c:pt idx="1">
                  <c:v>0.64699929732103634</c:v>
                </c:pt>
              </c:numCache>
            </c:numRef>
          </c:yVal>
          <c:smooth val="0"/>
          <c:extLst>
            <c:ext xmlns:c16="http://schemas.microsoft.com/office/drawing/2014/chart" uri="{C3380CC4-5D6E-409C-BE32-E72D297353CC}">
              <c16:uniqueId val="{00000005-FEA5-45B6-94C5-802C78D488B9}"/>
            </c:ext>
          </c:extLst>
        </c:ser>
        <c:ser>
          <c:idx val="6"/>
          <c:order val="6"/>
          <c:tx>
            <c:v>vert line</c:v>
          </c:tx>
          <c:spPr>
            <a:ln w="12700">
              <a:solidFill>
                <a:srgbClr val="FF0000"/>
              </a:solidFill>
              <a:prstDash val="solid"/>
            </a:ln>
          </c:spPr>
          <c:marker>
            <c:symbol val="none"/>
          </c:marker>
          <c:xVal>
            <c:numRef>
              <c:f>Analysis!$AR$45:$AR$46</c:f>
              <c:numCache>
                <c:formatCode>0.00</c:formatCode>
                <c:ptCount val="2"/>
                <c:pt idx="0">
                  <c:v>0.87834870443566093</c:v>
                </c:pt>
                <c:pt idx="1">
                  <c:v>0.87834870443566093</c:v>
                </c:pt>
              </c:numCache>
            </c:numRef>
          </c:xVal>
          <c:yVal>
            <c:numRef>
              <c:f>Analysis!$AS$45:$AS$46</c:f>
              <c:numCache>
                <c:formatCode>0.00</c:formatCode>
                <c:ptCount val="2"/>
                <c:pt idx="0">
                  <c:v>0.64699929732103634</c:v>
                </c:pt>
                <c:pt idx="1">
                  <c:v>0</c:v>
                </c:pt>
              </c:numCache>
            </c:numRef>
          </c:yVal>
          <c:smooth val="0"/>
          <c:extLst>
            <c:ext xmlns:c16="http://schemas.microsoft.com/office/drawing/2014/chart" uri="{C3380CC4-5D6E-409C-BE32-E72D297353CC}">
              <c16:uniqueId val="{00000006-FEA5-45B6-94C5-802C78D488B9}"/>
            </c:ext>
          </c:extLst>
        </c:ser>
        <c:ser>
          <c:idx val="8"/>
          <c:order val="7"/>
          <c:tx>
            <c:strRef>
              <c:f>Analysis!$AB$14</c:f>
              <c:strCache>
                <c:ptCount val="1"/>
                <c:pt idx="0">
                  <c:v>0.15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Analysis!$AB$16:$AB$56</c:f>
              <c:numCache>
                <c:formatCode>0.000</c:formatCode>
                <c:ptCount val="41"/>
                <c:pt idx="3">
                  <c:v>0.08</c:v>
                </c:pt>
                <c:pt idx="4">
                  <c:v>0.35</c:v>
                </c:pt>
                <c:pt idx="5">
                  <c:v>0.47499999999999998</c:v>
                </c:pt>
                <c:pt idx="6">
                  <c:v>0.56499999999999995</c:v>
                </c:pt>
                <c:pt idx="7">
                  <c:v>0.62</c:v>
                </c:pt>
                <c:pt idx="8">
                  <c:v>0.66500000000000004</c:v>
                </c:pt>
                <c:pt idx="9">
                  <c:v>0.7</c:v>
                </c:pt>
                <c:pt idx="10">
                  <c:v>0.73</c:v>
                </c:pt>
                <c:pt idx="11">
                  <c:v>0.755</c:v>
                </c:pt>
                <c:pt idx="12">
                  <c:v>0.77200000000000002</c:v>
                </c:pt>
                <c:pt idx="13">
                  <c:v>0.79</c:v>
                </c:pt>
                <c:pt idx="14">
                  <c:v>0.80500000000000005</c:v>
                </c:pt>
                <c:pt idx="15">
                  <c:v>0.81499999999999995</c:v>
                </c:pt>
                <c:pt idx="16">
                  <c:v>0.82599999999999996</c:v>
                </c:pt>
                <c:pt idx="17">
                  <c:v>0.83699999999999997</c:v>
                </c:pt>
                <c:pt idx="18">
                  <c:v>0.84699999999999998</c:v>
                </c:pt>
                <c:pt idx="19">
                  <c:v>0.85499999999999998</c:v>
                </c:pt>
                <c:pt idx="20">
                  <c:v>0.86199999999999999</c:v>
                </c:pt>
                <c:pt idx="21">
                  <c:v>0.86899999999999999</c:v>
                </c:pt>
                <c:pt idx="22">
                  <c:v>0.875</c:v>
                </c:pt>
                <c:pt idx="23">
                  <c:v>0.88200000000000001</c:v>
                </c:pt>
                <c:pt idx="24">
                  <c:v>0.88700000000000001</c:v>
                </c:pt>
                <c:pt idx="25">
                  <c:v>0.89200000000000002</c:v>
                </c:pt>
                <c:pt idx="26">
                  <c:v>0.89600000000000002</c:v>
                </c:pt>
                <c:pt idx="27">
                  <c:v>0.9</c:v>
                </c:pt>
                <c:pt idx="28">
                  <c:v>0.90300000000000002</c:v>
                </c:pt>
                <c:pt idx="29">
                  <c:v>0.90700000000000003</c:v>
                </c:pt>
                <c:pt idx="30">
                  <c:v>0.91</c:v>
                </c:pt>
                <c:pt idx="31">
                  <c:v>0.91300000000000003</c:v>
                </c:pt>
                <c:pt idx="32">
                  <c:v>0.91600000000000004</c:v>
                </c:pt>
                <c:pt idx="33">
                  <c:v>0.91900000000000004</c:v>
                </c:pt>
                <c:pt idx="34">
                  <c:v>0.92100000000000004</c:v>
                </c:pt>
                <c:pt idx="35">
                  <c:v>0.92200000000000004</c:v>
                </c:pt>
                <c:pt idx="36">
                  <c:v>0.92300000000000004</c:v>
                </c:pt>
                <c:pt idx="37">
                  <c:v>0.92400000000000004</c:v>
                </c:pt>
              </c:numCache>
            </c:numRef>
          </c:yVal>
          <c:smooth val="1"/>
          <c:extLst>
            <c:ext xmlns:c16="http://schemas.microsoft.com/office/drawing/2014/chart" uri="{C3380CC4-5D6E-409C-BE32-E72D297353CC}">
              <c16:uniqueId val="{00000007-FEA5-45B6-94C5-802C78D488B9}"/>
            </c:ext>
          </c:extLst>
        </c:ser>
        <c:ser>
          <c:idx val="9"/>
          <c:order val="8"/>
          <c:tx>
            <c:strRef>
              <c:f>Analysis!$AC$14</c:f>
              <c:strCache>
                <c:ptCount val="1"/>
                <c:pt idx="0">
                  <c:v>0.2</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Analysis!$AC$16:$AC$56</c:f>
              <c:numCache>
                <c:formatCode>0.000</c:formatCode>
                <c:ptCount val="41"/>
                <c:pt idx="4">
                  <c:v>0.1</c:v>
                </c:pt>
                <c:pt idx="5">
                  <c:v>0.32</c:v>
                </c:pt>
                <c:pt idx="6">
                  <c:v>0.43</c:v>
                </c:pt>
                <c:pt idx="7">
                  <c:v>0.5</c:v>
                </c:pt>
                <c:pt idx="8">
                  <c:v>0.56000000000000005</c:v>
                </c:pt>
                <c:pt idx="9">
                  <c:v>0.60099999999999998</c:v>
                </c:pt>
                <c:pt idx="10">
                  <c:v>0.64200000000000002</c:v>
                </c:pt>
                <c:pt idx="11">
                  <c:v>0.67200000000000004</c:v>
                </c:pt>
                <c:pt idx="12">
                  <c:v>0.7</c:v>
                </c:pt>
                <c:pt idx="13">
                  <c:v>0.72499999999999998</c:v>
                </c:pt>
                <c:pt idx="14">
                  <c:v>0.745</c:v>
                </c:pt>
                <c:pt idx="15">
                  <c:v>0.76</c:v>
                </c:pt>
                <c:pt idx="16">
                  <c:v>0.77500000000000002</c:v>
                </c:pt>
                <c:pt idx="17">
                  <c:v>0.78500000000000003</c:v>
                </c:pt>
                <c:pt idx="18">
                  <c:v>0.8</c:v>
                </c:pt>
                <c:pt idx="19">
                  <c:v>0.81</c:v>
                </c:pt>
                <c:pt idx="20">
                  <c:v>0.82</c:v>
                </c:pt>
                <c:pt idx="21" formatCode="General">
                  <c:v>0.82599999999999996</c:v>
                </c:pt>
                <c:pt idx="22">
                  <c:v>0.83199999999999996</c:v>
                </c:pt>
                <c:pt idx="23" formatCode="General">
                  <c:v>0.83799999999999997</c:v>
                </c:pt>
                <c:pt idx="24">
                  <c:v>0.84399999999999997</c:v>
                </c:pt>
                <c:pt idx="25" formatCode="General">
                  <c:v>0.85</c:v>
                </c:pt>
                <c:pt idx="26">
                  <c:v>0.85599999999999998</c:v>
                </c:pt>
                <c:pt idx="27" formatCode="General">
                  <c:v>0.86199999999999999</c:v>
                </c:pt>
                <c:pt idx="28">
                  <c:v>0.86599999999999999</c:v>
                </c:pt>
                <c:pt idx="29" formatCode="General">
                  <c:v>0.87</c:v>
                </c:pt>
                <c:pt idx="30" formatCode="General">
                  <c:v>0.872</c:v>
                </c:pt>
                <c:pt idx="31" formatCode="General">
                  <c:v>0.875</c:v>
                </c:pt>
                <c:pt idx="32" formatCode="General">
                  <c:v>0.879</c:v>
                </c:pt>
                <c:pt idx="33" formatCode="General">
                  <c:v>0.88300000000000001</c:v>
                </c:pt>
                <c:pt idx="34" formatCode="General">
                  <c:v>0.88700000000000001</c:v>
                </c:pt>
                <c:pt idx="35" formatCode="General">
                  <c:v>0.89100000000000001</c:v>
                </c:pt>
                <c:pt idx="36" formatCode="General">
                  <c:v>0.89500000000000002</c:v>
                </c:pt>
              </c:numCache>
            </c:numRef>
          </c:yVal>
          <c:smooth val="1"/>
          <c:extLst>
            <c:ext xmlns:c16="http://schemas.microsoft.com/office/drawing/2014/chart" uri="{C3380CC4-5D6E-409C-BE32-E72D297353CC}">
              <c16:uniqueId val="{00000008-FEA5-45B6-94C5-802C78D488B9}"/>
            </c:ext>
          </c:extLst>
        </c:ser>
        <c:ser>
          <c:idx val="10"/>
          <c:order val="9"/>
          <c:tx>
            <c:strRef>
              <c:f>Analysis!$AD$14</c:f>
              <c:strCache>
                <c:ptCount val="1"/>
                <c:pt idx="0">
                  <c:v>0.25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Analysis!$AD$16:$AD$56</c:f>
              <c:numCache>
                <c:formatCode>0.000</c:formatCode>
                <c:ptCount val="41"/>
                <c:pt idx="5">
                  <c:v>0.13500000000000001</c:v>
                </c:pt>
                <c:pt idx="6">
                  <c:v>0.26</c:v>
                </c:pt>
                <c:pt idx="7">
                  <c:v>0.36</c:v>
                </c:pt>
                <c:pt idx="8">
                  <c:v>0.44</c:v>
                </c:pt>
                <c:pt idx="9">
                  <c:v>0.5</c:v>
                </c:pt>
                <c:pt idx="10">
                  <c:v>0.55000000000000004</c:v>
                </c:pt>
                <c:pt idx="11">
                  <c:v>0.57999999999999996</c:v>
                </c:pt>
                <c:pt idx="12">
                  <c:v>0.61499999999999999</c:v>
                </c:pt>
                <c:pt idx="13">
                  <c:v>0.64500000000000002</c:v>
                </c:pt>
                <c:pt idx="14">
                  <c:v>0.67</c:v>
                </c:pt>
                <c:pt idx="15">
                  <c:v>0.69</c:v>
                </c:pt>
                <c:pt idx="16">
                  <c:v>0.71199999999999997</c:v>
                </c:pt>
                <c:pt idx="17">
                  <c:v>0.73</c:v>
                </c:pt>
                <c:pt idx="18">
                  <c:v>0.748</c:v>
                </c:pt>
                <c:pt idx="19">
                  <c:v>0.76</c:v>
                </c:pt>
                <c:pt idx="20">
                  <c:v>0.77</c:v>
                </c:pt>
                <c:pt idx="21" formatCode="General">
                  <c:v>0.78</c:v>
                </c:pt>
                <c:pt idx="22" formatCode="General">
                  <c:v>0.79</c:v>
                </c:pt>
                <c:pt idx="23" formatCode="General">
                  <c:v>0.8</c:v>
                </c:pt>
                <c:pt idx="24" formatCode="General">
                  <c:v>0.81</c:v>
                </c:pt>
                <c:pt idx="25" formatCode="General">
                  <c:v>0.81699999999999995</c:v>
                </c:pt>
                <c:pt idx="26" formatCode="General">
                  <c:v>0.82499999999999996</c:v>
                </c:pt>
                <c:pt idx="27" formatCode="General">
                  <c:v>0.83</c:v>
                </c:pt>
                <c:pt idx="28" formatCode="General">
                  <c:v>0.83499999999999996</c:v>
                </c:pt>
                <c:pt idx="29" formatCode="General">
                  <c:v>0.84</c:v>
                </c:pt>
                <c:pt idx="30" formatCode="General">
                  <c:v>0.84399999999999997</c:v>
                </c:pt>
                <c:pt idx="31" formatCode="General">
                  <c:v>0.84799999999999998</c:v>
                </c:pt>
                <c:pt idx="32" formatCode="General">
                  <c:v>0.85199999999999998</c:v>
                </c:pt>
                <c:pt idx="33" formatCode="General">
                  <c:v>0.85599999999999998</c:v>
                </c:pt>
                <c:pt idx="34" formatCode="General">
                  <c:v>0.86</c:v>
                </c:pt>
              </c:numCache>
            </c:numRef>
          </c:yVal>
          <c:smooth val="1"/>
          <c:extLst>
            <c:ext xmlns:c16="http://schemas.microsoft.com/office/drawing/2014/chart" uri="{C3380CC4-5D6E-409C-BE32-E72D297353CC}">
              <c16:uniqueId val="{00000009-FEA5-45B6-94C5-802C78D488B9}"/>
            </c:ext>
          </c:extLst>
        </c:ser>
        <c:ser>
          <c:idx val="11"/>
          <c:order val="10"/>
          <c:tx>
            <c:strRef>
              <c:f>Analysis!$AE$14</c:f>
              <c:strCache>
                <c:ptCount val="1"/>
                <c:pt idx="0">
                  <c:v>0.3</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Analysis!$AE$16:$AE$56</c:f>
              <c:numCache>
                <c:formatCode>0.000</c:formatCode>
                <c:ptCount val="41"/>
                <c:pt idx="7">
                  <c:v>0.17</c:v>
                </c:pt>
                <c:pt idx="8">
                  <c:v>0.33</c:v>
                </c:pt>
                <c:pt idx="9">
                  <c:v>0.41</c:v>
                </c:pt>
                <c:pt idx="10">
                  <c:v>0.46500000000000002</c:v>
                </c:pt>
                <c:pt idx="11">
                  <c:v>0.50700000000000001</c:v>
                </c:pt>
                <c:pt idx="12">
                  <c:v>0.54500000000000004</c:v>
                </c:pt>
                <c:pt idx="13">
                  <c:v>0.57999999999999996</c:v>
                </c:pt>
                <c:pt idx="14">
                  <c:v>0.61</c:v>
                </c:pt>
                <c:pt idx="15">
                  <c:v>0.63500000000000001</c:v>
                </c:pt>
                <c:pt idx="16">
                  <c:v>0.66</c:v>
                </c:pt>
                <c:pt idx="17">
                  <c:v>0.68</c:v>
                </c:pt>
                <c:pt idx="18">
                  <c:v>0.69699999999999995</c:v>
                </c:pt>
                <c:pt idx="19">
                  <c:v>0.71199999999999997</c:v>
                </c:pt>
                <c:pt idx="20">
                  <c:v>0.72499999999999998</c:v>
                </c:pt>
                <c:pt idx="21" formatCode="General">
                  <c:v>0.73799999999999999</c:v>
                </c:pt>
                <c:pt idx="22" formatCode="General">
                  <c:v>0.75</c:v>
                </c:pt>
                <c:pt idx="23" formatCode="General">
                  <c:v>0.76</c:v>
                </c:pt>
                <c:pt idx="24" formatCode="General">
                  <c:v>0.77</c:v>
                </c:pt>
                <c:pt idx="25" formatCode="General">
                  <c:v>0.77800000000000002</c:v>
                </c:pt>
                <c:pt idx="26" formatCode="General">
                  <c:v>0.79</c:v>
                </c:pt>
                <c:pt idx="27" formatCode="General">
                  <c:v>0.8</c:v>
                </c:pt>
                <c:pt idx="28" formatCode="General">
                  <c:v>0.80500000000000005</c:v>
                </c:pt>
                <c:pt idx="29" formatCode="General">
                  <c:v>0.81</c:v>
                </c:pt>
                <c:pt idx="30" formatCode="General">
                  <c:v>0.81699999999999995</c:v>
                </c:pt>
                <c:pt idx="31" formatCode="General">
                  <c:v>0.82399999999999995</c:v>
                </c:pt>
                <c:pt idx="32" formatCode="General">
                  <c:v>0.82899999999999996</c:v>
                </c:pt>
                <c:pt idx="33" formatCode="General">
                  <c:v>0.83199999999999996</c:v>
                </c:pt>
              </c:numCache>
            </c:numRef>
          </c:yVal>
          <c:smooth val="1"/>
          <c:extLst>
            <c:ext xmlns:c16="http://schemas.microsoft.com/office/drawing/2014/chart" uri="{C3380CC4-5D6E-409C-BE32-E72D297353CC}">
              <c16:uniqueId val="{0000000A-FEA5-45B6-94C5-802C78D488B9}"/>
            </c:ext>
          </c:extLst>
        </c:ser>
        <c:ser>
          <c:idx val="12"/>
          <c:order val="11"/>
          <c:tx>
            <c:strRef>
              <c:f>Analysis!$AF$14</c:f>
              <c:strCache>
                <c:ptCount val="1"/>
                <c:pt idx="0">
                  <c:v>0.35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Analysis!$AF$16:$AF$56</c:f>
              <c:numCache>
                <c:formatCode>0.000</c:formatCode>
                <c:ptCount val="41"/>
                <c:pt idx="8">
                  <c:v>0.21</c:v>
                </c:pt>
                <c:pt idx="9">
                  <c:v>0.3</c:v>
                </c:pt>
                <c:pt idx="10">
                  <c:v>0.38</c:v>
                </c:pt>
                <c:pt idx="11">
                  <c:v>0.43</c:v>
                </c:pt>
                <c:pt idx="12">
                  <c:v>0.47799999999999998</c:v>
                </c:pt>
                <c:pt idx="13">
                  <c:v>0.51500000000000001</c:v>
                </c:pt>
                <c:pt idx="14">
                  <c:v>0.54500000000000004</c:v>
                </c:pt>
                <c:pt idx="15">
                  <c:v>0.57499999999999996</c:v>
                </c:pt>
                <c:pt idx="16">
                  <c:v>0.6</c:v>
                </c:pt>
                <c:pt idx="17">
                  <c:v>0.625</c:v>
                </c:pt>
                <c:pt idx="18">
                  <c:v>0.64500000000000002</c:v>
                </c:pt>
                <c:pt idx="19">
                  <c:v>0.66500000000000004</c:v>
                </c:pt>
                <c:pt idx="20">
                  <c:v>0.68</c:v>
                </c:pt>
                <c:pt idx="21">
                  <c:v>0.69499999999999995</c:v>
                </c:pt>
                <c:pt idx="22">
                  <c:v>0.70499999999999996</c:v>
                </c:pt>
                <c:pt idx="23">
                  <c:v>0.71899999999999997</c:v>
                </c:pt>
                <c:pt idx="24">
                  <c:v>0.73</c:v>
                </c:pt>
                <c:pt idx="25">
                  <c:v>0.74</c:v>
                </c:pt>
                <c:pt idx="26">
                  <c:v>0.752</c:v>
                </c:pt>
                <c:pt idx="27">
                  <c:v>0.76300000000000001</c:v>
                </c:pt>
                <c:pt idx="28">
                  <c:v>0.77</c:v>
                </c:pt>
                <c:pt idx="29">
                  <c:v>0.77700000000000002</c:v>
                </c:pt>
                <c:pt idx="30">
                  <c:v>0.78300000000000003</c:v>
                </c:pt>
                <c:pt idx="31">
                  <c:v>0.79</c:v>
                </c:pt>
                <c:pt idx="32">
                  <c:v>0.79500000000000004</c:v>
                </c:pt>
              </c:numCache>
            </c:numRef>
          </c:yVal>
          <c:smooth val="1"/>
          <c:extLst>
            <c:ext xmlns:c16="http://schemas.microsoft.com/office/drawing/2014/chart" uri="{C3380CC4-5D6E-409C-BE32-E72D297353CC}">
              <c16:uniqueId val="{0000000B-FEA5-45B6-94C5-802C78D488B9}"/>
            </c:ext>
          </c:extLst>
        </c:ser>
        <c:ser>
          <c:idx val="13"/>
          <c:order val="12"/>
          <c:tx>
            <c:strRef>
              <c:f>Analysis!$AG$14</c:f>
              <c:strCache>
                <c:ptCount val="1"/>
                <c:pt idx="0">
                  <c:v>0.4</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Analysis!$AG$16:$AG$56</c:f>
              <c:numCache>
                <c:formatCode>0.000</c:formatCode>
                <c:ptCount val="41"/>
                <c:pt idx="10">
                  <c:v>0.25</c:v>
                </c:pt>
                <c:pt idx="11">
                  <c:v>0.35</c:v>
                </c:pt>
                <c:pt idx="12">
                  <c:v>0.40500000000000003</c:v>
                </c:pt>
                <c:pt idx="13">
                  <c:v>0.45</c:v>
                </c:pt>
                <c:pt idx="14">
                  <c:v>0.48499999999999999</c:v>
                </c:pt>
                <c:pt idx="15">
                  <c:v>0.51500000000000001</c:v>
                </c:pt>
                <c:pt idx="16">
                  <c:v>0.54200000000000004</c:v>
                </c:pt>
                <c:pt idx="17">
                  <c:v>0.56999999999999995</c:v>
                </c:pt>
                <c:pt idx="18">
                  <c:v>0.59</c:v>
                </c:pt>
                <c:pt idx="19">
                  <c:v>0.61499999999999999</c:v>
                </c:pt>
                <c:pt idx="20">
                  <c:v>0.63200000000000001</c:v>
                </c:pt>
                <c:pt idx="21">
                  <c:v>0.65</c:v>
                </c:pt>
                <c:pt idx="22">
                  <c:v>0.66500000000000004</c:v>
                </c:pt>
                <c:pt idx="23">
                  <c:v>0.68</c:v>
                </c:pt>
                <c:pt idx="24">
                  <c:v>0.69</c:v>
                </c:pt>
                <c:pt idx="25">
                  <c:v>0.7</c:v>
                </c:pt>
                <c:pt idx="26">
                  <c:v>0.71199999999999997</c:v>
                </c:pt>
                <c:pt idx="27">
                  <c:v>0.72199999999999998</c:v>
                </c:pt>
                <c:pt idx="28">
                  <c:v>0.73</c:v>
                </c:pt>
                <c:pt idx="29">
                  <c:v>0.74</c:v>
                </c:pt>
                <c:pt idx="30">
                  <c:v>0.75</c:v>
                </c:pt>
              </c:numCache>
            </c:numRef>
          </c:yVal>
          <c:smooth val="1"/>
          <c:extLst>
            <c:ext xmlns:c16="http://schemas.microsoft.com/office/drawing/2014/chart" uri="{C3380CC4-5D6E-409C-BE32-E72D297353CC}">
              <c16:uniqueId val="{0000000C-FEA5-45B6-94C5-802C78D488B9}"/>
            </c:ext>
          </c:extLst>
        </c:ser>
        <c:ser>
          <c:idx val="14"/>
          <c:order val="13"/>
          <c:tx>
            <c:strRef>
              <c:f>Analysis!$AH$14</c:f>
              <c:strCache>
                <c:ptCount val="1"/>
                <c:pt idx="0">
                  <c:v>0.45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Analysis!$AH$16:$AH$56</c:f>
              <c:numCache>
                <c:formatCode>0.000</c:formatCode>
                <c:ptCount val="41"/>
                <c:pt idx="11">
                  <c:v>0.27500000000000002</c:v>
                </c:pt>
                <c:pt idx="12">
                  <c:v>0.35</c:v>
                </c:pt>
                <c:pt idx="13">
                  <c:v>0.4</c:v>
                </c:pt>
                <c:pt idx="14">
                  <c:v>0.44</c:v>
                </c:pt>
                <c:pt idx="15">
                  <c:v>0.47199999999999998</c:v>
                </c:pt>
                <c:pt idx="16">
                  <c:v>0.5</c:v>
                </c:pt>
                <c:pt idx="17">
                  <c:v>0.52800000000000002</c:v>
                </c:pt>
                <c:pt idx="18">
                  <c:v>0.55500000000000005</c:v>
                </c:pt>
                <c:pt idx="19">
                  <c:v>0.57499999999999996</c:v>
                </c:pt>
                <c:pt idx="20">
                  <c:v>0.6</c:v>
                </c:pt>
                <c:pt idx="21">
                  <c:v>0.61499999999999999</c:v>
                </c:pt>
                <c:pt idx="22">
                  <c:v>0.63200000000000001</c:v>
                </c:pt>
                <c:pt idx="23">
                  <c:v>0.64400000000000002</c:v>
                </c:pt>
                <c:pt idx="24">
                  <c:v>0.65700000000000003</c:v>
                </c:pt>
                <c:pt idx="25">
                  <c:v>0.67</c:v>
                </c:pt>
                <c:pt idx="26">
                  <c:v>0.68300000000000005</c:v>
                </c:pt>
                <c:pt idx="27">
                  <c:v>0.69499999999999995</c:v>
                </c:pt>
                <c:pt idx="28">
                  <c:v>0.70499999999999996</c:v>
                </c:pt>
              </c:numCache>
            </c:numRef>
          </c:yVal>
          <c:smooth val="1"/>
          <c:extLst>
            <c:ext xmlns:c16="http://schemas.microsoft.com/office/drawing/2014/chart" uri="{C3380CC4-5D6E-409C-BE32-E72D297353CC}">
              <c16:uniqueId val="{0000000D-FEA5-45B6-94C5-802C78D488B9}"/>
            </c:ext>
          </c:extLst>
        </c:ser>
        <c:ser>
          <c:idx val="7"/>
          <c:order val="14"/>
          <c:spPr>
            <a:ln w="12700">
              <a:solidFill>
                <a:schemeClr val="bg1">
                  <a:lumMod val="50000"/>
                </a:schemeClr>
              </a:solidFill>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Analysis!$AI$16:$AI$56</c:f>
              <c:numCache>
                <c:formatCode>0.000</c:formatCode>
                <c:ptCount val="41"/>
                <c:pt idx="14">
                  <c:v>0.36</c:v>
                </c:pt>
                <c:pt idx="15">
                  <c:v>0.39500000000000002</c:v>
                </c:pt>
                <c:pt idx="16">
                  <c:v>0.43</c:v>
                </c:pt>
                <c:pt idx="17">
                  <c:v>0.46</c:v>
                </c:pt>
                <c:pt idx="18">
                  <c:v>0.49</c:v>
                </c:pt>
                <c:pt idx="19">
                  <c:v>0.51500000000000001</c:v>
                </c:pt>
                <c:pt idx="20">
                  <c:v>0.54</c:v>
                </c:pt>
                <c:pt idx="21">
                  <c:v>0.56000000000000005</c:v>
                </c:pt>
                <c:pt idx="22">
                  <c:v>0.57999999999999996</c:v>
                </c:pt>
                <c:pt idx="23">
                  <c:v>0.6</c:v>
                </c:pt>
                <c:pt idx="24">
                  <c:v>0.61699999999999999</c:v>
                </c:pt>
                <c:pt idx="25">
                  <c:v>0.63</c:v>
                </c:pt>
                <c:pt idx="26">
                  <c:v>0.64500000000000002</c:v>
                </c:pt>
              </c:numCache>
            </c:numRef>
          </c:yVal>
          <c:smooth val="0"/>
          <c:extLst>
            <c:ext xmlns:c16="http://schemas.microsoft.com/office/drawing/2014/chart" uri="{C3380CC4-5D6E-409C-BE32-E72D297353CC}">
              <c16:uniqueId val="{0000000E-FEA5-45B6-94C5-802C78D488B9}"/>
            </c:ext>
          </c:extLst>
        </c:ser>
        <c:ser>
          <c:idx val="15"/>
          <c:order val="15"/>
          <c:marker>
            <c:symbol val="none"/>
          </c:marker>
          <c:dPt>
            <c:idx val="1"/>
            <c:bubble3D val="0"/>
            <c:spPr>
              <a:ln>
                <a:solidFill>
                  <a:schemeClr val="bg1">
                    <a:lumMod val="50000"/>
                  </a:schemeClr>
                </a:solidFill>
              </a:ln>
            </c:spPr>
            <c:extLst>
              <c:ext xmlns:c16="http://schemas.microsoft.com/office/drawing/2014/chart" uri="{C3380CC4-5D6E-409C-BE32-E72D297353CC}">
                <c16:uniqueId val="{00000010-FEA5-45B6-94C5-802C78D488B9}"/>
              </c:ext>
            </c:extLst>
          </c:dPt>
          <c:xVal>
            <c:numRef>
              <c:f>Analysis!$V$58:$V$59</c:f>
              <c:numCache>
                <c:formatCode>General</c:formatCode>
                <c:ptCount val="2"/>
                <c:pt idx="0">
                  <c:v>0</c:v>
                </c:pt>
                <c:pt idx="1">
                  <c:v>2</c:v>
                </c:pt>
              </c:numCache>
            </c:numRef>
          </c:xVal>
          <c:yVal>
            <c:numRef>
              <c:f>Analysis!$W$58:$W$59</c:f>
              <c:numCache>
                <c:formatCode>General</c:formatCode>
                <c:ptCount val="2"/>
                <c:pt idx="0">
                  <c:v>0</c:v>
                </c:pt>
                <c:pt idx="1">
                  <c:v>1</c:v>
                </c:pt>
              </c:numCache>
            </c:numRef>
          </c:yVal>
          <c:smooth val="0"/>
          <c:extLst>
            <c:ext xmlns:c16="http://schemas.microsoft.com/office/drawing/2014/chart" uri="{C3380CC4-5D6E-409C-BE32-E72D297353CC}">
              <c16:uniqueId val="{00000011-FEA5-45B6-94C5-802C78D488B9}"/>
            </c:ext>
          </c:extLst>
        </c:ser>
        <c:dLbls>
          <c:showLegendKey val="0"/>
          <c:showVal val="0"/>
          <c:showCatName val="0"/>
          <c:showSerName val="0"/>
          <c:showPercent val="0"/>
          <c:showBubbleSize val="0"/>
        </c:dLbls>
        <c:axId val="548434800"/>
        <c:axId val="548431272"/>
      </c:scatterChart>
      <c:valAx>
        <c:axId val="548434800"/>
        <c:scaling>
          <c:orientation val="minMax"/>
          <c:max val="2"/>
          <c:min val="0"/>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8431272"/>
        <c:crosses val="autoZero"/>
        <c:crossBetween val="midCat"/>
        <c:majorUnit val="0.1"/>
      </c:valAx>
      <c:valAx>
        <c:axId val="548431272"/>
        <c:scaling>
          <c:orientation val="minMax"/>
          <c:max val="1.1000000000000001"/>
          <c:min val="0"/>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l-GR" sz="1000" b="1" i="0" u="none" strike="noStrike" baseline="0">
                    <a:solidFill>
                      <a:srgbClr val="000000"/>
                    </a:solidFill>
                    <a:latin typeface="Arial"/>
                    <a:cs typeface="Arial"/>
                  </a:rPr>
                  <a:t>γ</a:t>
                </a:r>
                <a:endParaRPr lang="en-CA" sz="1000" b="1" i="0" u="none" strike="noStrike" baseline="-25000">
                  <a:solidFill>
                    <a:srgbClr val="000000"/>
                  </a:solidFill>
                  <a:latin typeface="Arial"/>
                  <a:cs typeface="Arial"/>
                </a:endParaRPr>
              </a:p>
            </c:rich>
          </c:tx>
          <c:layout>
            <c:manualLayout>
              <c:xMode val="edge"/>
              <c:yMode val="edge"/>
              <c:x val="1.8929072265550597E-2"/>
              <c:y val="0.43114822122672258"/>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8434800"/>
        <c:crosses val="autoZero"/>
        <c:crossBetween val="midCat"/>
        <c:majorUnit val="0.1"/>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image" Target="../media/image4.emf"/><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28</xdr:row>
      <xdr:rowOff>112859</xdr:rowOff>
    </xdr:from>
    <xdr:to>
      <xdr:col>10</xdr:col>
      <xdr:colOff>430627</xdr:colOff>
      <xdr:row>51</xdr:row>
      <xdr:rowOff>136071</xdr:rowOff>
    </xdr:to>
    <xdr:graphicFrame macro="">
      <xdr:nvGraphicFramePr>
        <xdr:cNvPr id="19" name="Chart 6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503070</xdr:colOff>
      <xdr:row>31</xdr:row>
      <xdr:rowOff>3466</xdr:rowOff>
    </xdr:from>
    <xdr:to>
      <xdr:col>2</xdr:col>
      <xdr:colOff>81341</xdr:colOff>
      <xdr:row>32</xdr:row>
      <xdr:rowOff>33618</xdr:rowOff>
    </xdr:to>
    <xdr:sp macro="" textlink="">
      <xdr:nvSpPr>
        <xdr:cNvPr id="31" name="Oval 30"/>
        <xdr:cNvSpPr/>
      </xdr:nvSpPr>
      <xdr:spPr bwMode="auto">
        <a:xfrm>
          <a:off x="1113984" y="5232363"/>
          <a:ext cx="195754" cy="194376"/>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.02</a:t>
          </a:r>
        </a:p>
      </xdr:txBody>
    </xdr:sp>
    <xdr:clientData/>
  </xdr:twoCellAnchor>
  <xdr:twoCellAnchor editAs="oneCell">
    <xdr:from>
      <xdr:col>6</xdr:col>
      <xdr:colOff>450079</xdr:colOff>
      <xdr:row>38</xdr:row>
      <xdr:rowOff>21982</xdr:rowOff>
    </xdr:from>
    <xdr:to>
      <xdr:col>9</xdr:col>
      <xdr:colOff>439616</xdr:colOff>
      <xdr:row>47</xdr:row>
      <xdr:rowOff>43960</xdr:rowOff>
    </xdr:to>
    <xdr:pic>
      <xdr:nvPicPr>
        <xdr:cNvPr id="24" name="Picture 2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9989" t="40335" r="465" b="23766"/>
        <a:stretch/>
      </xdr:blipFill>
      <xdr:spPr bwMode="auto">
        <a:xfrm>
          <a:off x="4142848" y="6301155"/>
          <a:ext cx="1813941" cy="1472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222924</xdr:colOff>
      <xdr:row>31</xdr:row>
      <xdr:rowOff>134073</xdr:rowOff>
    </xdr:from>
    <xdr:to>
      <xdr:col>2</xdr:col>
      <xdr:colOff>417850</xdr:colOff>
      <xdr:row>33</xdr:row>
      <xdr:rowOff>0</xdr:rowOff>
    </xdr:to>
    <xdr:sp macro="" textlink="">
      <xdr:nvSpPr>
        <xdr:cNvPr id="25" name="Oval 24"/>
        <xdr:cNvSpPr/>
      </xdr:nvSpPr>
      <xdr:spPr bwMode="auto">
        <a:xfrm>
          <a:off x="1451321" y="5362970"/>
          <a:ext cx="194926"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.04</a:t>
          </a:r>
        </a:p>
      </xdr:txBody>
    </xdr:sp>
    <xdr:clientData/>
  </xdr:twoCellAnchor>
  <xdr:twoCellAnchor>
    <xdr:from>
      <xdr:col>2</xdr:col>
      <xdr:colOff>66041</xdr:colOff>
      <xdr:row>33</xdr:row>
      <xdr:rowOff>145279</xdr:rowOff>
    </xdr:from>
    <xdr:to>
      <xdr:col>2</xdr:col>
      <xdr:colOff>260967</xdr:colOff>
      <xdr:row>35</xdr:row>
      <xdr:rowOff>11206</xdr:rowOff>
    </xdr:to>
    <xdr:sp macro="" textlink="">
      <xdr:nvSpPr>
        <xdr:cNvPr id="28" name="Oval 27"/>
        <xdr:cNvSpPr/>
      </xdr:nvSpPr>
      <xdr:spPr bwMode="auto">
        <a:xfrm>
          <a:off x="1294438" y="5702624"/>
          <a:ext cx="194926"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.06</a:t>
          </a:r>
        </a:p>
      </xdr:txBody>
    </xdr:sp>
    <xdr:clientData/>
  </xdr:twoCellAnchor>
  <xdr:twoCellAnchor>
    <xdr:from>
      <xdr:col>2</xdr:col>
      <xdr:colOff>458247</xdr:colOff>
      <xdr:row>33</xdr:row>
      <xdr:rowOff>134073</xdr:rowOff>
    </xdr:from>
    <xdr:to>
      <xdr:col>3</xdr:col>
      <xdr:colOff>14882</xdr:colOff>
      <xdr:row>35</xdr:row>
      <xdr:rowOff>0</xdr:rowOff>
    </xdr:to>
    <xdr:sp macro="" textlink="">
      <xdr:nvSpPr>
        <xdr:cNvPr id="30" name="Oval 29"/>
        <xdr:cNvSpPr/>
      </xdr:nvSpPr>
      <xdr:spPr bwMode="auto">
        <a:xfrm>
          <a:off x="1686644" y="5691418"/>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.08</a:t>
          </a:r>
        </a:p>
      </xdr:txBody>
    </xdr:sp>
    <xdr:clientData/>
  </xdr:twoCellAnchor>
  <xdr:twoCellAnchor>
    <xdr:from>
      <xdr:col>2</xdr:col>
      <xdr:colOff>412265</xdr:colOff>
      <xdr:row>35</xdr:row>
      <xdr:rowOff>94660</xdr:rowOff>
    </xdr:from>
    <xdr:to>
      <xdr:col>2</xdr:col>
      <xdr:colOff>606089</xdr:colOff>
      <xdr:row>36</xdr:row>
      <xdr:rowOff>124811</xdr:rowOff>
    </xdr:to>
    <xdr:sp macro="" textlink="">
      <xdr:nvSpPr>
        <xdr:cNvPr id="33" name="Oval 32"/>
        <xdr:cNvSpPr/>
      </xdr:nvSpPr>
      <xdr:spPr bwMode="auto">
        <a:xfrm>
          <a:off x="1640662" y="5980453"/>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.10</a:t>
          </a:r>
        </a:p>
      </xdr:txBody>
    </xdr:sp>
    <xdr:clientData/>
  </xdr:twoCellAnchor>
  <xdr:twoCellAnchor>
    <xdr:from>
      <xdr:col>3</xdr:col>
      <xdr:colOff>96955</xdr:colOff>
      <xdr:row>36</xdr:row>
      <xdr:rowOff>22402</xdr:rowOff>
    </xdr:from>
    <xdr:to>
      <xdr:col>3</xdr:col>
      <xdr:colOff>290779</xdr:colOff>
      <xdr:row>37</xdr:row>
      <xdr:rowOff>52553</xdr:rowOff>
    </xdr:to>
    <xdr:sp macro="" textlink="">
      <xdr:nvSpPr>
        <xdr:cNvPr id="39" name="Oval 38"/>
        <xdr:cNvSpPr/>
      </xdr:nvSpPr>
      <xdr:spPr bwMode="auto">
        <a:xfrm>
          <a:off x="1962541" y="6072419"/>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.15</a:t>
          </a:r>
        </a:p>
      </xdr:txBody>
    </xdr:sp>
    <xdr:clientData/>
  </xdr:twoCellAnchor>
  <xdr:twoCellAnchor>
    <xdr:from>
      <xdr:col>3</xdr:col>
      <xdr:colOff>123231</xdr:colOff>
      <xdr:row>37</xdr:row>
      <xdr:rowOff>107799</xdr:rowOff>
    </xdr:from>
    <xdr:to>
      <xdr:col>3</xdr:col>
      <xdr:colOff>317055</xdr:colOff>
      <xdr:row>38</xdr:row>
      <xdr:rowOff>137949</xdr:rowOff>
    </xdr:to>
    <xdr:sp macro="" textlink="">
      <xdr:nvSpPr>
        <xdr:cNvPr id="41" name="Oval 40"/>
        <xdr:cNvSpPr/>
      </xdr:nvSpPr>
      <xdr:spPr bwMode="auto">
        <a:xfrm>
          <a:off x="1988817" y="6322040"/>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.20</a:t>
          </a:r>
        </a:p>
      </xdr:txBody>
    </xdr:sp>
    <xdr:clientData/>
  </xdr:twoCellAnchor>
  <xdr:twoCellAnchor>
    <xdr:from>
      <xdr:col>3</xdr:col>
      <xdr:colOff>425403</xdr:colOff>
      <xdr:row>37</xdr:row>
      <xdr:rowOff>160350</xdr:rowOff>
    </xdr:from>
    <xdr:to>
      <xdr:col>4</xdr:col>
      <xdr:colOff>8313</xdr:colOff>
      <xdr:row>39</xdr:row>
      <xdr:rowOff>26276</xdr:rowOff>
    </xdr:to>
    <xdr:sp macro="" textlink="">
      <xdr:nvSpPr>
        <xdr:cNvPr id="42" name="Oval 41"/>
        <xdr:cNvSpPr/>
      </xdr:nvSpPr>
      <xdr:spPr bwMode="auto">
        <a:xfrm>
          <a:off x="2290989" y="6374591"/>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.25</a:t>
          </a:r>
        </a:p>
      </xdr:txBody>
    </xdr:sp>
    <xdr:clientData/>
  </xdr:twoCellAnchor>
  <xdr:twoCellAnchor>
    <xdr:from>
      <xdr:col>3</xdr:col>
      <xdr:colOff>418834</xdr:colOff>
      <xdr:row>39</xdr:row>
      <xdr:rowOff>61815</xdr:rowOff>
    </xdr:from>
    <xdr:to>
      <xdr:col>4</xdr:col>
      <xdr:colOff>1744</xdr:colOff>
      <xdr:row>40</xdr:row>
      <xdr:rowOff>91966</xdr:rowOff>
    </xdr:to>
    <xdr:sp macro="" textlink="">
      <xdr:nvSpPr>
        <xdr:cNvPr id="43" name="Oval 42"/>
        <xdr:cNvSpPr/>
      </xdr:nvSpPr>
      <xdr:spPr bwMode="auto">
        <a:xfrm>
          <a:off x="2284420" y="660450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.30</a:t>
          </a:r>
        </a:p>
      </xdr:txBody>
    </xdr:sp>
    <xdr:clientData/>
  </xdr:twoCellAnchor>
  <xdr:twoCellAnchor>
    <xdr:from>
      <xdr:col>4</xdr:col>
      <xdr:colOff>77248</xdr:colOff>
      <xdr:row>39</xdr:row>
      <xdr:rowOff>42109</xdr:rowOff>
    </xdr:from>
    <xdr:to>
      <xdr:col>4</xdr:col>
      <xdr:colOff>271072</xdr:colOff>
      <xdr:row>40</xdr:row>
      <xdr:rowOff>72260</xdr:rowOff>
    </xdr:to>
    <xdr:sp macro="" textlink="">
      <xdr:nvSpPr>
        <xdr:cNvPr id="44" name="Oval 43"/>
        <xdr:cNvSpPr/>
      </xdr:nvSpPr>
      <xdr:spPr bwMode="auto">
        <a:xfrm>
          <a:off x="2553748" y="6584799"/>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.35</a:t>
          </a:r>
        </a:p>
      </xdr:txBody>
    </xdr:sp>
    <xdr:clientData/>
  </xdr:twoCellAnchor>
  <xdr:twoCellAnchor>
    <xdr:from>
      <xdr:col>3</xdr:col>
      <xdr:colOff>556782</xdr:colOff>
      <xdr:row>40</xdr:row>
      <xdr:rowOff>160351</xdr:rowOff>
    </xdr:from>
    <xdr:to>
      <xdr:col>4</xdr:col>
      <xdr:colOff>139692</xdr:colOff>
      <xdr:row>42</xdr:row>
      <xdr:rowOff>26278</xdr:rowOff>
    </xdr:to>
    <xdr:sp macro="" textlink="">
      <xdr:nvSpPr>
        <xdr:cNvPr id="45" name="Oval 44"/>
        <xdr:cNvSpPr/>
      </xdr:nvSpPr>
      <xdr:spPr bwMode="auto">
        <a:xfrm>
          <a:off x="2422368" y="686726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.40</a:t>
          </a:r>
        </a:p>
      </xdr:txBody>
    </xdr:sp>
    <xdr:clientData/>
  </xdr:twoCellAnchor>
  <xdr:twoCellAnchor>
    <xdr:from>
      <xdr:col>4</xdr:col>
      <xdr:colOff>254610</xdr:colOff>
      <xdr:row>40</xdr:row>
      <xdr:rowOff>94661</xdr:rowOff>
    </xdr:from>
    <xdr:to>
      <xdr:col>4</xdr:col>
      <xdr:colOff>448434</xdr:colOff>
      <xdr:row>41</xdr:row>
      <xdr:rowOff>124812</xdr:rowOff>
    </xdr:to>
    <xdr:sp macro="" textlink="">
      <xdr:nvSpPr>
        <xdr:cNvPr id="46" name="Oval 45"/>
        <xdr:cNvSpPr/>
      </xdr:nvSpPr>
      <xdr:spPr bwMode="auto">
        <a:xfrm>
          <a:off x="2731110" y="680157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.45</a:t>
          </a:r>
        </a:p>
      </xdr:txBody>
    </xdr:sp>
    <xdr:clientData/>
  </xdr:twoCellAnchor>
  <xdr:twoCellAnchor>
    <xdr:from>
      <xdr:col>4</xdr:col>
      <xdr:colOff>576489</xdr:colOff>
      <xdr:row>40</xdr:row>
      <xdr:rowOff>15833</xdr:rowOff>
    </xdr:from>
    <xdr:to>
      <xdr:col>5</xdr:col>
      <xdr:colOff>159399</xdr:colOff>
      <xdr:row>41</xdr:row>
      <xdr:rowOff>45984</xdr:rowOff>
    </xdr:to>
    <xdr:sp macro="" textlink="">
      <xdr:nvSpPr>
        <xdr:cNvPr id="47" name="Oval 46"/>
        <xdr:cNvSpPr/>
      </xdr:nvSpPr>
      <xdr:spPr bwMode="auto">
        <a:xfrm>
          <a:off x="3052989" y="6722747"/>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.50</a:t>
          </a:r>
        </a:p>
      </xdr:txBody>
    </xdr:sp>
    <xdr:clientData/>
  </xdr:twoCellAnchor>
  <xdr:twoCellAnchor>
    <xdr:from>
      <xdr:col>5</xdr:col>
      <xdr:colOff>431972</xdr:colOff>
      <xdr:row>39</xdr:row>
      <xdr:rowOff>120936</xdr:rowOff>
    </xdr:from>
    <xdr:to>
      <xdr:col>6</xdr:col>
      <xdr:colOff>14882</xdr:colOff>
      <xdr:row>40</xdr:row>
      <xdr:rowOff>151087</xdr:rowOff>
    </xdr:to>
    <xdr:sp macro="" textlink="">
      <xdr:nvSpPr>
        <xdr:cNvPr id="48" name="Oval 47"/>
        <xdr:cNvSpPr/>
      </xdr:nvSpPr>
      <xdr:spPr bwMode="auto">
        <a:xfrm>
          <a:off x="3519386" y="6663626"/>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.55</a:t>
          </a:r>
        </a:p>
      </xdr:txBody>
    </xdr:sp>
    <xdr:clientData/>
  </xdr:twoCellAnchor>
  <xdr:oneCellAnchor>
    <xdr:from>
      <xdr:col>1</xdr:col>
      <xdr:colOff>238125</xdr:colOff>
      <xdr:row>30</xdr:row>
      <xdr:rowOff>123825</xdr:rowOff>
    </xdr:from>
    <xdr:ext cx="322204" cy="248851"/>
    <xdr:sp macro="" textlink="">
      <xdr:nvSpPr>
        <xdr:cNvPr id="3" name="TextBox 2"/>
        <xdr:cNvSpPr txBox="1"/>
      </xdr:nvSpPr>
      <xdr:spPr>
        <a:xfrm>
          <a:off x="847725" y="5124450"/>
          <a:ext cx="3222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r =</a:t>
          </a:r>
        </a:p>
      </xdr:txBody>
    </xdr:sp>
    <xdr:clientData/>
  </xdr:oneCellAnchor>
  <xdr:twoCellAnchor>
    <xdr:from>
      <xdr:col>5</xdr:col>
      <xdr:colOff>112997</xdr:colOff>
      <xdr:row>47</xdr:row>
      <xdr:rowOff>70993</xdr:rowOff>
    </xdr:from>
    <xdr:to>
      <xdr:col>6</xdr:col>
      <xdr:colOff>436848</xdr:colOff>
      <xdr:row>48</xdr:row>
      <xdr:rowOff>60107</xdr:rowOff>
    </xdr:to>
    <xdr:pic>
      <xdr:nvPicPr>
        <xdr:cNvPr id="49" name="Picture 4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0693" y="7997450"/>
          <a:ext cx="936764" cy="154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212911</xdr:colOff>
      <xdr:row>13</xdr:row>
      <xdr:rowOff>134470</xdr:rowOff>
    </xdr:from>
    <xdr:to>
      <xdr:col>5</xdr:col>
      <xdr:colOff>100852</xdr:colOff>
      <xdr:row>21</xdr:row>
      <xdr:rowOff>44824</xdr:rowOff>
    </xdr:to>
    <xdr:pic>
      <xdr:nvPicPr>
        <xdr:cNvPr id="22" name="Picture 2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381"/>
        <a:stretch/>
      </xdr:blipFill>
      <xdr:spPr bwMode="auto">
        <a:xfrm>
          <a:off x="212911" y="2252382"/>
          <a:ext cx="2958353" cy="1210236"/>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95880"/>
          <a:ext cx="2571829" cy="642297"/>
          <a:chOff x="40822" y="1267641"/>
          <a:chExt cx="2570933" cy="630195"/>
        </a:xfrm>
      </xdr:grpSpPr>
      <xdr:pic>
        <xdr:nvPicPr>
          <xdr:cNvPr id="23" name="Picture 22">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6" name="Picture 25"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33"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23</v>
      </c>
      <c r="C4" s="4"/>
      <c r="D4" s="1"/>
      <c r="E4" s="1"/>
      <c r="F4" s="2" t="s">
        <v>24</v>
      </c>
      <c r="G4" s="3" t="s">
        <v>25</v>
      </c>
      <c r="H4" s="1"/>
      <c r="I4" s="1"/>
      <c r="J4" s="1"/>
      <c r="K4" s="1"/>
      <c r="M4" s="49"/>
      <c r="N4" s="49"/>
      <c r="O4" s="49"/>
      <c r="P4" s="49"/>
      <c r="Q4" s="53"/>
      <c r="R4" s="54"/>
      <c r="S4" s="54"/>
      <c r="T4" s="50"/>
      <c r="U4" s="50"/>
      <c r="V4" s="50"/>
      <c r="W4" s="51"/>
      <c r="X4" s="52"/>
      <c r="Y4" s="50"/>
    </row>
    <row r="5" spans="1:25" s="5" customFormat="1" ht="13.8" x14ac:dyDescent="0.3">
      <c r="A5" s="1"/>
      <c r="B5" s="2" t="s">
        <v>26</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30</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72" t="s">
        <v>37</v>
      </c>
      <c r="C16" s="172"/>
      <c r="D16" s="172"/>
      <c r="E16" s="172"/>
      <c r="F16" s="172"/>
      <c r="G16" s="172"/>
      <c r="H16" s="172"/>
      <c r="I16" s="172"/>
      <c r="J16" s="172"/>
      <c r="M16" s="53"/>
      <c r="N16" s="53"/>
      <c r="O16" s="53"/>
      <c r="P16" s="53"/>
      <c r="Q16" s="53"/>
      <c r="R16" s="54"/>
      <c r="S16" s="54"/>
      <c r="T16" s="50"/>
      <c r="U16" s="50"/>
      <c r="V16" s="50"/>
      <c r="W16" s="50"/>
      <c r="X16" s="50"/>
      <c r="Y16" s="50"/>
    </row>
    <row r="17" spans="1:25" s="5" customFormat="1" ht="13.8" x14ac:dyDescent="0.3">
      <c r="B17" s="172"/>
      <c r="C17" s="172"/>
      <c r="D17" s="172"/>
      <c r="E17" s="172"/>
      <c r="F17" s="172"/>
      <c r="G17" s="172"/>
      <c r="H17" s="172"/>
      <c r="I17" s="172"/>
      <c r="J17" s="172"/>
      <c r="M17" s="53"/>
      <c r="N17" s="53"/>
      <c r="O17" s="53"/>
      <c r="P17" s="53"/>
      <c r="Q17" s="53"/>
      <c r="R17" s="54"/>
      <c r="S17" s="54"/>
      <c r="T17" s="50"/>
      <c r="U17" s="50"/>
      <c r="V17" s="50"/>
      <c r="W17" s="50"/>
      <c r="X17" s="50"/>
      <c r="Y17" s="50"/>
    </row>
    <row r="18" spans="1:25" s="5" customFormat="1" ht="13.8" x14ac:dyDescent="0.3">
      <c r="B18" s="172"/>
      <c r="C18" s="172"/>
      <c r="D18" s="172"/>
      <c r="E18" s="172"/>
      <c r="F18" s="172"/>
      <c r="G18" s="172"/>
      <c r="H18" s="172"/>
      <c r="I18" s="172"/>
      <c r="J18" s="172"/>
      <c r="M18" s="53"/>
      <c r="N18" s="53"/>
      <c r="O18" s="53"/>
      <c r="P18" s="53"/>
      <c r="Q18" s="53"/>
      <c r="R18" s="54"/>
      <c r="S18" s="54"/>
      <c r="T18" s="50"/>
      <c r="U18" s="50"/>
      <c r="V18" s="50"/>
      <c r="W18" s="50"/>
      <c r="X18" s="50"/>
      <c r="Y18" s="50"/>
    </row>
    <row r="19" spans="1:25" s="5" customFormat="1" ht="13.8" x14ac:dyDescent="0.3">
      <c r="B19" s="172"/>
      <c r="C19" s="172"/>
      <c r="D19" s="172"/>
      <c r="E19" s="172"/>
      <c r="F19" s="172"/>
      <c r="G19" s="172"/>
      <c r="H19" s="172"/>
      <c r="I19" s="172"/>
      <c r="J19" s="172"/>
      <c r="M19" s="53"/>
      <c r="N19" s="53"/>
      <c r="O19" s="53"/>
      <c r="P19" s="53"/>
      <c r="Q19" s="53"/>
      <c r="R19" s="54"/>
      <c r="S19" s="54"/>
      <c r="T19" s="50"/>
      <c r="U19" s="50"/>
      <c r="V19" s="50"/>
      <c r="W19" s="50"/>
      <c r="X19" s="50"/>
      <c r="Y19" s="50"/>
    </row>
    <row r="20" spans="1:25" s="5" customFormat="1" ht="12.75" customHeight="1" x14ac:dyDescent="0.3">
      <c r="A20" s="23"/>
      <c r="B20" s="24" t="s">
        <v>35</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72" t="s">
        <v>38</v>
      </c>
      <c r="C22" s="172"/>
      <c r="D22" s="172"/>
      <c r="E22" s="172"/>
      <c r="F22" s="172"/>
      <c r="G22" s="172"/>
      <c r="H22" s="172"/>
      <c r="I22" s="172"/>
      <c r="J22" s="172"/>
      <c r="K22" s="23"/>
      <c r="M22" s="53"/>
      <c r="N22" s="53"/>
      <c r="O22" s="53"/>
      <c r="P22" s="53"/>
      <c r="Q22" s="53"/>
      <c r="R22" s="54"/>
      <c r="S22" s="54"/>
      <c r="T22" s="50"/>
      <c r="U22" s="50"/>
      <c r="V22" s="50"/>
      <c r="W22" s="50"/>
      <c r="X22" s="50"/>
      <c r="Y22" s="50"/>
    </row>
    <row r="23" spans="1:25" s="5" customFormat="1" ht="13.8" x14ac:dyDescent="0.3">
      <c r="A23" s="23"/>
      <c r="B23" s="172"/>
      <c r="C23" s="172"/>
      <c r="D23" s="172"/>
      <c r="E23" s="172"/>
      <c r="F23" s="172"/>
      <c r="G23" s="172"/>
      <c r="H23" s="172"/>
      <c r="I23" s="172"/>
      <c r="J23" s="172"/>
      <c r="K23" s="23"/>
      <c r="M23" s="53"/>
      <c r="N23" s="53"/>
      <c r="O23" s="53"/>
      <c r="P23" s="53"/>
      <c r="Q23" s="53"/>
      <c r="R23" s="54"/>
      <c r="S23" s="57"/>
      <c r="T23" s="50"/>
      <c r="U23" s="50"/>
      <c r="V23" s="50"/>
      <c r="W23" s="50"/>
      <c r="X23" s="50"/>
      <c r="Y23" s="50"/>
    </row>
    <row r="24" spans="1:25" s="5" customFormat="1" ht="13.8" x14ac:dyDescent="0.3">
      <c r="A24" s="23"/>
      <c r="B24" s="172"/>
      <c r="C24" s="172"/>
      <c r="D24" s="172"/>
      <c r="E24" s="172"/>
      <c r="F24" s="172"/>
      <c r="G24" s="172"/>
      <c r="H24" s="172"/>
      <c r="I24" s="172"/>
      <c r="J24" s="172"/>
      <c r="K24" s="23"/>
      <c r="M24" s="53"/>
      <c r="N24" s="53"/>
      <c r="O24" s="53"/>
      <c r="P24" s="53"/>
      <c r="Q24" s="53"/>
      <c r="R24" s="54"/>
      <c r="S24" s="57"/>
      <c r="T24" s="50"/>
      <c r="U24" s="50"/>
      <c r="V24" s="50"/>
      <c r="W24" s="50"/>
      <c r="X24" s="50"/>
      <c r="Y24" s="50"/>
    </row>
    <row r="25" spans="1:25" s="5" customFormat="1" ht="12.75" customHeight="1" x14ac:dyDescent="0.3">
      <c r="A25" s="23"/>
      <c r="B25" s="167"/>
      <c r="C25" s="167"/>
      <c r="D25" s="167"/>
      <c r="E25" s="167"/>
      <c r="F25" s="170" t="s">
        <v>104</v>
      </c>
      <c r="G25" s="167"/>
      <c r="H25" s="167"/>
      <c r="I25" s="167"/>
      <c r="J25" s="167"/>
      <c r="K25" s="23"/>
      <c r="M25" s="53"/>
      <c r="N25" s="53"/>
      <c r="O25" s="53"/>
      <c r="P25" s="53"/>
      <c r="Q25" s="53"/>
      <c r="R25" s="54"/>
      <c r="S25" s="54"/>
      <c r="T25" s="50"/>
      <c r="U25" s="50"/>
      <c r="V25" s="50"/>
      <c r="W25" s="50"/>
      <c r="X25" s="50"/>
      <c r="Y25" s="50"/>
    </row>
    <row r="26" spans="1:25" s="5" customFormat="1" ht="13.8" x14ac:dyDescent="0.3">
      <c r="A26" s="23"/>
      <c r="B26" s="172" t="s">
        <v>39</v>
      </c>
      <c r="C26" s="172"/>
      <c r="D26" s="172"/>
      <c r="E26" s="172"/>
      <c r="F26" s="172"/>
      <c r="G26" s="172"/>
      <c r="H26" s="172"/>
      <c r="I26" s="172"/>
      <c r="J26" s="172"/>
      <c r="K26" s="23"/>
      <c r="M26" s="53"/>
      <c r="N26" s="53"/>
      <c r="O26" s="53"/>
      <c r="P26" s="53"/>
      <c r="Q26" s="53"/>
      <c r="R26" s="54"/>
      <c r="S26" s="54"/>
      <c r="T26" s="50"/>
      <c r="U26" s="50"/>
      <c r="V26" s="50"/>
      <c r="W26" s="50"/>
      <c r="X26" s="50"/>
      <c r="Y26" s="50"/>
    </row>
    <row r="27" spans="1:25" s="5" customFormat="1" ht="13.8" x14ac:dyDescent="0.3">
      <c r="A27" s="23"/>
      <c r="B27" s="172"/>
      <c r="C27" s="172"/>
      <c r="D27" s="172"/>
      <c r="E27" s="172"/>
      <c r="F27" s="172"/>
      <c r="G27" s="172"/>
      <c r="H27" s="172"/>
      <c r="I27" s="172"/>
      <c r="J27" s="172"/>
      <c r="K27" s="23"/>
      <c r="M27" s="53"/>
      <c r="N27" s="53"/>
      <c r="O27" s="53"/>
      <c r="P27" s="53"/>
      <c r="Q27" s="53"/>
      <c r="R27" s="54"/>
      <c r="S27" s="54"/>
      <c r="T27" s="50"/>
      <c r="U27" s="50"/>
      <c r="V27" s="50"/>
      <c r="W27" s="50"/>
      <c r="X27" s="50"/>
      <c r="Y27" s="50"/>
    </row>
    <row r="28" spans="1:25" s="5" customFormat="1" ht="13.8" x14ac:dyDescent="0.3">
      <c r="A28" s="23"/>
      <c r="B28" s="167"/>
      <c r="C28" s="167"/>
      <c r="D28" s="167"/>
      <c r="E28" s="167"/>
      <c r="F28" s="167"/>
      <c r="G28" s="167"/>
      <c r="H28" s="167"/>
      <c r="I28" s="167"/>
      <c r="J28" s="167"/>
      <c r="K28" s="23"/>
      <c r="M28" s="53"/>
      <c r="N28" s="53"/>
      <c r="O28" s="53"/>
      <c r="P28" s="53"/>
      <c r="Q28" s="53"/>
      <c r="R28" s="54"/>
      <c r="S28" s="54"/>
      <c r="T28" s="50"/>
      <c r="U28" s="50"/>
      <c r="V28" s="50"/>
      <c r="W28" s="50"/>
      <c r="X28" s="50"/>
      <c r="Y28" s="50"/>
    </row>
    <row r="29" spans="1:25" s="5" customFormat="1" ht="13.8" x14ac:dyDescent="0.3">
      <c r="A29" s="23"/>
      <c r="B29" s="172" t="s">
        <v>40</v>
      </c>
      <c r="C29" s="172"/>
      <c r="D29" s="172"/>
      <c r="E29" s="172"/>
      <c r="F29" s="172"/>
      <c r="G29" s="172"/>
      <c r="H29" s="172"/>
      <c r="I29" s="172"/>
      <c r="J29" s="172"/>
      <c r="K29" s="23"/>
      <c r="M29" s="53"/>
      <c r="N29" s="53"/>
      <c r="O29" s="53"/>
      <c r="P29" s="53"/>
      <c r="Q29" s="53"/>
      <c r="R29" s="54"/>
      <c r="S29" s="54"/>
      <c r="T29" s="50"/>
      <c r="U29" s="50"/>
      <c r="V29" s="50"/>
      <c r="W29" s="50"/>
      <c r="X29" s="50"/>
      <c r="Y29" s="50"/>
    </row>
    <row r="30" spans="1:25" s="5" customFormat="1" ht="13.8" x14ac:dyDescent="0.3">
      <c r="A30" s="23"/>
      <c r="B30" s="172"/>
      <c r="C30" s="172"/>
      <c r="D30" s="172"/>
      <c r="E30" s="172"/>
      <c r="F30" s="172"/>
      <c r="G30" s="172"/>
      <c r="H30" s="172"/>
      <c r="I30" s="172"/>
      <c r="J30" s="172"/>
      <c r="K30" s="23"/>
      <c r="M30" s="53"/>
      <c r="N30" s="53"/>
      <c r="O30" s="53"/>
      <c r="P30" s="53"/>
      <c r="Q30" s="53"/>
      <c r="R30" s="54"/>
      <c r="S30" s="54"/>
      <c r="T30" s="50"/>
      <c r="U30" s="50"/>
      <c r="V30" s="50"/>
      <c r="W30" s="50"/>
      <c r="X30" s="50"/>
      <c r="Y30" s="50"/>
    </row>
    <row r="31" spans="1:25" s="5" customFormat="1" ht="12.75" customHeight="1" x14ac:dyDescent="0.3">
      <c r="A31" s="23"/>
      <c r="B31" s="172"/>
      <c r="C31" s="172"/>
      <c r="D31" s="172"/>
      <c r="E31" s="172"/>
      <c r="F31" s="172"/>
      <c r="G31" s="172"/>
      <c r="H31" s="172"/>
      <c r="I31" s="172"/>
      <c r="J31" s="172"/>
      <c r="K31" s="23"/>
      <c r="M31" s="53"/>
      <c r="N31" s="53"/>
      <c r="O31" s="53"/>
      <c r="P31" s="53"/>
      <c r="Q31" s="53"/>
      <c r="R31" s="54"/>
      <c r="S31" s="54"/>
      <c r="T31" s="50"/>
      <c r="U31" s="50"/>
      <c r="V31" s="50"/>
      <c r="W31" s="50"/>
      <c r="X31" s="50"/>
      <c r="Y31" s="50"/>
    </row>
    <row r="32" spans="1:25" s="5" customFormat="1" ht="13.8" x14ac:dyDescent="0.3">
      <c r="A32" s="23"/>
      <c r="B32" s="172"/>
      <c r="C32" s="172"/>
      <c r="D32" s="172"/>
      <c r="E32" s="172"/>
      <c r="F32" s="172"/>
      <c r="G32" s="172"/>
      <c r="H32" s="172"/>
      <c r="I32" s="172"/>
      <c r="J32" s="172"/>
      <c r="K32" s="23"/>
      <c r="M32" s="53"/>
      <c r="N32" s="53"/>
      <c r="O32" s="53"/>
      <c r="P32" s="53"/>
      <c r="Q32" s="53"/>
      <c r="R32" s="54"/>
      <c r="S32" s="54"/>
      <c r="T32" s="50"/>
      <c r="U32" s="50"/>
      <c r="V32" s="50"/>
      <c r="W32" s="50"/>
      <c r="X32" s="50"/>
      <c r="Y32" s="50"/>
    </row>
    <row r="33" spans="1:25" s="5" customFormat="1" ht="12.75" customHeight="1" x14ac:dyDescent="0.3">
      <c r="A33" s="23"/>
      <c r="B33" s="172"/>
      <c r="C33" s="172"/>
      <c r="D33" s="172"/>
      <c r="E33" s="172"/>
      <c r="F33" s="172"/>
      <c r="G33" s="172"/>
      <c r="H33" s="172"/>
      <c r="I33" s="172"/>
      <c r="J33" s="172"/>
      <c r="K33" s="23"/>
      <c r="M33" s="53"/>
      <c r="N33" s="53"/>
      <c r="O33" s="53"/>
      <c r="P33" s="53"/>
      <c r="Q33" s="53"/>
      <c r="R33" s="54"/>
      <c r="S33" s="54"/>
      <c r="T33" s="50"/>
      <c r="U33" s="50"/>
      <c r="V33" s="50"/>
      <c r="W33" s="50"/>
      <c r="X33" s="50"/>
      <c r="Y33" s="50"/>
    </row>
    <row r="34" spans="1:25" s="5" customFormat="1" ht="13.8" x14ac:dyDescent="0.3">
      <c r="A34" s="23"/>
      <c r="B34" s="167"/>
      <c r="C34" s="167"/>
      <c r="D34" s="174" t="s">
        <v>31</v>
      </c>
      <c r="E34" s="174"/>
      <c r="F34" s="174"/>
      <c r="G34" s="174"/>
      <c r="H34" s="174"/>
      <c r="I34" s="167"/>
      <c r="J34" s="167"/>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32</v>
      </c>
      <c r="C36" s="23"/>
      <c r="D36" s="23"/>
      <c r="E36" s="23"/>
      <c r="F36" s="168"/>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68"/>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72" t="s">
        <v>41</v>
      </c>
      <c r="C38" s="172"/>
      <c r="D38" s="172"/>
      <c r="E38" s="172"/>
      <c r="F38" s="172"/>
      <c r="G38" s="172"/>
      <c r="H38" s="172"/>
      <c r="I38" s="172"/>
      <c r="J38" s="172"/>
      <c r="K38" s="23"/>
      <c r="M38" s="53"/>
      <c r="N38" s="53"/>
      <c r="O38" s="53"/>
      <c r="P38" s="53"/>
      <c r="Q38" s="53"/>
      <c r="R38" s="54"/>
      <c r="S38" s="54"/>
      <c r="T38" s="50"/>
      <c r="U38" s="50"/>
      <c r="V38" s="50"/>
      <c r="W38" s="50"/>
      <c r="X38" s="50"/>
      <c r="Y38" s="50"/>
    </row>
    <row r="39" spans="1:25" s="5" customFormat="1" ht="13.8" x14ac:dyDescent="0.3">
      <c r="A39" s="23"/>
      <c r="B39" s="172"/>
      <c r="C39" s="172"/>
      <c r="D39" s="172"/>
      <c r="E39" s="172"/>
      <c r="F39" s="172"/>
      <c r="G39" s="172"/>
      <c r="H39" s="172"/>
      <c r="I39" s="172"/>
      <c r="J39" s="172"/>
      <c r="K39" s="23"/>
      <c r="M39" s="53"/>
      <c r="N39" s="53"/>
      <c r="O39" s="53"/>
      <c r="P39" s="53"/>
      <c r="Q39" s="53"/>
      <c r="R39" s="54"/>
      <c r="S39" s="54"/>
      <c r="T39" s="50"/>
      <c r="U39" s="50"/>
      <c r="V39" s="50"/>
      <c r="W39" s="50"/>
      <c r="X39" s="50"/>
      <c r="Y39" s="50"/>
    </row>
    <row r="40" spans="1:25" s="5" customFormat="1" ht="13.8" x14ac:dyDescent="0.3">
      <c r="A40" s="23"/>
      <c r="B40" s="167"/>
      <c r="C40" s="167"/>
      <c r="D40" s="167"/>
      <c r="E40" s="167"/>
      <c r="F40" s="167"/>
      <c r="G40" s="167"/>
      <c r="H40" s="167"/>
      <c r="I40" s="167"/>
      <c r="J40" s="167"/>
      <c r="K40" s="23"/>
      <c r="M40" s="53"/>
      <c r="N40" s="53"/>
      <c r="O40" s="53"/>
      <c r="P40" s="53"/>
      <c r="Q40" s="53"/>
      <c r="R40" s="54"/>
      <c r="S40" s="54"/>
      <c r="T40" s="50"/>
      <c r="U40" s="50"/>
      <c r="V40" s="50"/>
      <c r="W40" s="50"/>
      <c r="X40" s="50"/>
      <c r="Y40" s="50"/>
    </row>
    <row r="41" spans="1:25" s="5" customFormat="1" ht="13.8" x14ac:dyDescent="0.3">
      <c r="A41" s="23"/>
      <c r="B41" s="172" t="s">
        <v>42</v>
      </c>
      <c r="C41" s="172"/>
      <c r="D41" s="172"/>
      <c r="E41" s="172"/>
      <c r="F41" s="172"/>
      <c r="G41" s="172"/>
      <c r="H41" s="172"/>
      <c r="I41" s="172"/>
      <c r="J41" s="172"/>
      <c r="K41" s="23"/>
      <c r="M41" s="53"/>
      <c r="N41" s="53"/>
      <c r="O41" s="53"/>
      <c r="P41" s="53"/>
      <c r="Q41" s="53"/>
      <c r="R41" s="54"/>
      <c r="S41" s="54"/>
      <c r="T41" s="50"/>
      <c r="U41" s="50"/>
      <c r="V41" s="50"/>
      <c r="W41" s="50"/>
      <c r="X41" s="50"/>
      <c r="Y41" s="50"/>
    </row>
    <row r="42" spans="1:25" s="5" customFormat="1" ht="13.8" x14ac:dyDescent="0.3">
      <c r="A42" s="23"/>
      <c r="B42" s="172"/>
      <c r="C42" s="172"/>
      <c r="D42" s="172"/>
      <c r="E42" s="172"/>
      <c r="F42" s="172"/>
      <c r="G42" s="172"/>
      <c r="H42" s="172"/>
      <c r="I42" s="172"/>
      <c r="J42" s="172"/>
      <c r="K42" s="23"/>
      <c r="M42" s="53"/>
      <c r="N42" s="53"/>
      <c r="O42" s="53"/>
      <c r="P42" s="53"/>
      <c r="Q42" s="53"/>
      <c r="R42" s="54"/>
      <c r="S42" s="54"/>
      <c r="T42" s="50"/>
      <c r="U42" s="50"/>
      <c r="V42" s="50"/>
      <c r="W42" s="50"/>
      <c r="X42" s="50"/>
      <c r="Y42" s="50"/>
    </row>
    <row r="43" spans="1:25" s="5" customFormat="1" ht="13.8" x14ac:dyDescent="0.3">
      <c r="A43" s="23"/>
      <c r="B43" s="172"/>
      <c r="C43" s="172"/>
      <c r="D43" s="172"/>
      <c r="E43" s="172"/>
      <c r="F43" s="172"/>
      <c r="G43" s="172"/>
      <c r="H43" s="172"/>
      <c r="I43" s="172"/>
      <c r="J43" s="172"/>
      <c r="K43" s="23"/>
      <c r="M43" s="53"/>
      <c r="N43" s="53"/>
      <c r="O43" s="53"/>
      <c r="P43" s="53"/>
      <c r="Q43" s="53"/>
      <c r="R43" s="54"/>
      <c r="S43" s="54"/>
      <c r="T43" s="50"/>
      <c r="U43" s="50"/>
      <c r="V43" s="50"/>
      <c r="W43" s="50"/>
      <c r="X43" s="50"/>
      <c r="Y43" s="50"/>
    </row>
    <row r="44" spans="1:25" s="5" customFormat="1" ht="13.8" x14ac:dyDescent="0.3">
      <c r="A44" s="23"/>
      <c r="B44" s="167"/>
      <c r="C44" s="167"/>
      <c r="D44" s="167"/>
      <c r="E44" s="167"/>
      <c r="F44" s="167"/>
      <c r="G44" s="167"/>
      <c r="H44" s="167"/>
      <c r="I44" s="167"/>
      <c r="J44" s="167"/>
      <c r="K44" s="23"/>
      <c r="M44" s="53"/>
      <c r="N44" s="53"/>
      <c r="O44" s="53"/>
      <c r="P44" s="53"/>
      <c r="Q44" s="53"/>
      <c r="R44" s="54"/>
      <c r="S44" s="54"/>
      <c r="T44" s="50"/>
      <c r="U44" s="50"/>
      <c r="V44" s="50"/>
      <c r="W44" s="50"/>
      <c r="X44" s="50"/>
      <c r="Y44" s="50"/>
    </row>
    <row r="45" spans="1:25" s="5" customFormat="1" ht="12.75" customHeight="1" x14ac:dyDescent="0.3">
      <c r="A45" s="23"/>
      <c r="B45" s="172" t="s">
        <v>36</v>
      </c>
      <c r="C45" s="172"/>
      <c r="D45" s="172"/>
      <c r="E45" s="172"/>
      <c r="F45" s="172"/>
      <c r="G45" s="172"/>
      <c r="H45" s="172"/>
      <c r="I45" s="172"/>
      <c r="J45" s="172"/>
      <c r="K45" s="23"/>
      <c r="M45" s="53"/>
      <c r="N45" s="53"/>
      <c r="O45" s="53"/>
      <c r="P45" s="53"/>
      <c r="Q45" s="53"/>
      <c r="R45" s="54"/>
      <c r="S45" s="54"/>
      <c r="T45" s="50"/>
      <c r="U45" s="50"/>
      <c r="V45" s="50"/>
      <c r="W45" s="50"/>
      <c r="X45" s="50"/>
      <c r="Y45" s="50"/>
    </row>
    <row r="46" spans="1:25" s="5" customFormat="1" ht="13.8" x14ac:dyDescent="0.3">
      <c r="A46" s="23"/>
      <c r="B46" s="172"/>
      <c r="C46" s="172"/>
      <c r="D46" s="172"/>
      <c r="E46" s="172"/>
      <c r="F46" s="172"/>
      <c r="G46" s="172"/>
      <c r="H46" s="172"/>
      <c r="I46" s="172"/>
      <c r="J46" s="172"/>
      <c r="K46" s="23"/>
      <c r="M46" s="53"/>
      <c r="N46" s="53"/>
      <c r="O46" s="53"/>
      <c r="P46" s="53"/>
      <c r="Q46" s="53"/>
      <c r="R46" s="54"/>
      <c r="S46" s="54"/>
      <c r="T46" s="50"/>
      <c r="U46" s="50"/>
      <c r="V46" s="50"/>
      <c r="W46" s="50"/>
      <c r="X46" s="50"/>
      <c r="Y46" s="50"/>
    </row>
    <row r="47" spans="1:25" s="5" customFormat="1" ht="13.8" x14ac:dyDescent="0.3">
      <c r="A47" s="23"/>
      <c r="B47" s="172"/>
      <c r="C47" s="172"/>
      <c r="D47" s="172"/>
      <c r="E47" s="172"/>
      <c r="F47" s="172"/>
      <c r="G47" s="172"/>
      <c r="H47" s="172"/>
      <c r="I47" s="172"/>
      <c r="J47" s="172"/>
      <c r="K47" s="23"/>
      <c r="M47" s="53"/>
      <c r="N47" s="53"/>
      <c r="O47" s="53"/>
      <c r="P47" s="53"/>
      <c r="Q47" s="53"/>
      <c r="R47" s="54"/>
      <c r="S47" s="54"/>
      <c r="T47" s="50"/>
      <c r="U47" s="50"/>
      <c r="V47" s="50"/>
      <c r="W47" s="50"/>
      <c r="X47" s="50"/>
      <c r="Y47" s="50"/>
    </row>
    <row r="48" spans="1:25" s="5" customFormat="1" ht="12.75" customHeight="1" x14ac:dyDescent="0.3">
      <c r="A48" s="23"/>
      <c r="B48" s="172"/>
      <c r="C48" s="172"/>
      <c r="D48" s="172"/>
      <c r="E48" s="172"/>
      <c r="F48" s="172"/>
      <c r="G48" s="172"/>
      <c r="H48" s="172"/>
      <c r="I48" s="172"/>
      <c r="J48" s="172"/>
      <c r="K48" s="23"/>
      <c r="M48" s="53"/>
      <c r="N48" s="53"/>
      <c r="O48" s="53"/>
      <c r="P48" s="53"/>
      <c r="Q48" s="53"/>
      <c r="R48" s="54"/>
      <c r="S48" s="54"/>
      <c r="T48" s="50"/>
      <c r="U48" s="50"/>
      <c r="V48" s="50"/>
      <c r="W48" s="50"/>
      <c r="X48" s="50"/>
      <c r="Y48" s="50"/>
    </row>
    <row r="49" spans="1:25" s="5" customFormat="1" ht="13.8" x14ac:dyDescent="0.3">
      <c r="A49" s="23"/>
      <c r="B49" s="23" t="s">
        <v>43</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70" t="s">
        <v>105</v>
      </c>
      <c r="G50" s="168"/>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44</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73" t="s">
        <v>45</v>
      </c>
      <c r="C54" s="173"/>
      <c r="D54" s="173"/>
      <c r="E54" s="173"/>
      <c r="F54" s="173"/>
      <c r="G54" s="173"/>
      <c r="H54" s="173"/>
      <c r="I54" s="173"/>
      <c r="J54" s="173"/>
      <c r="K54" s="23"/>
      <c r="M54" s="53"/>
      <c r="N54" s="53"/>
      <c r="O54" s="53"/>
      <c r="P54" s="53"/>
      <c r="Q54" s="53"/>
      <c r="R54" s="54"/>
      <c r="S54" s="54"/>
      <c r="T54" s="50"/>
      <c r="U54" s="50"/>
      <c r="V54" s="50"/>
      <c r="W54" s="50"/>
      <c r="X54" s="50"/>
      <c r="Y54" s="50"/>
    </row>
    <row r="55" spans="1:25" s="5" customFormat="1" ht="13.8" x14ac:dyDescent="0.3">
      <c r="A55" s="23"/>
      <c r="B55" s="173"/>
      <c r="C55" s="173"/>
      <c r="D55" s="173"/>
      <c r="E55" s="173"/>
      <c r="F55" s="173"/>
      <c r="G55" s="173"/>
      <c r="H55" s="173"/>
      <c r="I55" s="173"/>
      <c r="J55" s="173"/>
      <c r="K55" s="23"/>
      <c r="M55" s="53"/>
      <c r="N55" s="53"/>
      <c r="O55" s="53"/>
      <c r="P55" s="53"/>
      <c r="Q55" s="53"/>
      <c r="R55" s="54"/>
      <c r="S55" s="54"/>
      <c r="T55" s="50"/>
      <c r="U55" s="50"/>
      <c r="V55" s="50"/>
      <c r="W55" s="50"/>
      <c r="X55" s="50"/>
      <c r="Y55" s="50"/>
    </row>
    <row r="56" spans="1:25" s="5" customFormat="1" ht="13.8" x14ac:dyDescent="0.3">
      <c r="A56" s="23"/>
      <c r="B56" s="173"/>
      <c r="C56" s="173"/>
      <c r="D56" s="173"/>
      <c r="E56" s="173"/>
      <c r="F56" s="173"/>
      <c r="G56" s="173"/>
      <c r="H56" s="173"/>
      <c r="I56" s="173"/>
      <c r="J56" s="173"/>
      <c r="K56" s="23"/>
      <c r="M56" s="53"/>
      <c r="N56" s="53"/>
      <c r="O56"/>
      <c r="P56" s="53"/>
      <c r="Q56" s="53"/>
      <c r="R56" s="54"/>
      <c r="S56" s="54"/>
      <c r="T56" s="50"/>
      <c r="U56" s="50"/>
      <c r="V56" s="50"/>
      <c r="W56" s="50"/>
      <c r="X56" s="50"/>
      <c r="Y56" s="50"/>
    </row>
    <row r="57" spans="1:25" s="5" customFormat="1" ht="13.8" x14ac:dyDescent="0.3">
      <c r="A57" s="23"/>
      <c r="B57" s="23"/>
      <c r="C57" s="23"/>
      <c r="D57" s="23"/>
      <c r="F57" s="168"/>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71"/>
      <c r="P59" s="53"/>
      <c r="Q59" s="53"/>
      <c r="R59" s="54"/>
      <c r="S59" s="54"/>
      <c r="T59" s="50"/>
      <c r="U59" s="50"/>
      <c r="V59" s="50"/>
      <c r="W59" s="50"/>
      <c r="X59" s="50"/>
      <c r="Y59" s="50"/>
    </row>
    <row r="60" spans="1:25" s="5" customFormat="1" ht="13.8" x14ac:dyDescent="0.3">
      <c r="A60" s="23"/>
      <c r="B60" s="23" t="s">
        <v>46</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70" t="s">
        <v>106</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7760"/>
  <sheetViews>
    <sheetView tabSelected="1" view="pageBreakPreview" zoomScale="85" zoomScaleNormal="100" zoomScaleSheetLayoutView="85" workbookViewId="0">
      <selection activeCell="A8" sqref="A8:D11"/>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5" s="5" customFormat="1" ht="13.8" x14ac:dyDescent="0.3">
      <c r="A2" s="1"/>
      <c r="B2" s="2" t="s">
        <v>2</v>
      </c>
      <c r="C2" s="3" t="s">
        <v>10</v>
      </c>
      <c r="D2" s="1"/>
      <c r="E2" s="1"/>
      <c r="F2" s="2" t="s">
        <v>5</v>
      </c>
      <c r="G2" s="3" t="s">
        <v>95</v>
      </c>
      <c r="H2" s="1"/>
      <c r="I2" s="1"/>
      <c r="J2" s="1"/>
      <c r="K2" s="1"/>
      <c r="M2" s="9" t="s">
        <v>19</v>
      </c>
      <c r="N2" s="9" t="s">
        <v>19</v>
      </c>
      <c r="O2" s="9" t="s">
        <v>13</v>
      </c>
      <c r="P2" s="9" t="s">
        <v>13</v>
      </c>
      <c r="Q2" s="9" t="s">
        <v>13</v>
      </c>
      <c r="R2" s="9" t="s">
        <v>19</v>
      </c>
      <c r="S2" s="33" t="s">
        <v>19</v>
      </c>
      <c r="T2" s="34"/>
      <c r="W2" s="7" t="s">
        <v>20</v>
      </c>
      <c r="X2" s="8">
        <f>SUM(N:N)</f>
        <v>0</v>
      </c>
    </row>
    <row r="3" spans="1:45" s="5" customFormat="1" ht="13.8" x14ac:dyDescent="0.3">
      <c r="A3" s="1"/>
      <c r="B3" s="2" t="s">
        <v>3</v>
      </c>
      <c r="C3" s="10" t="s">
        <v>62</v>
      </c>
      <c r="D3" s="1"/>
      <c r="E3" s="1"/>
      <c r="F3" s="2" t="s">
        <v>4</v>
      </c>
      <c r="G3" s="3" t="s">
        <v>21</v>
      </c>
      <c r="H3" s="1"/>
      <c r="I3" s="1"/>
      <c r="J3" s="1"/>
      <c r="K3" s="1"/>
      <c r="M3" s="9"/>
      <c r="N3" s="9"/>
      <c r="O3" s="9"/>
      <c r="P3" s="9"/>
      <c r="Q3" s="9"/>
      <c r="R3" s="9"/>
      <c r="S3" s="33"/>
      <c r="T3" s="34"/>
      <c r="W3" s="7" t="s">
        <v>22</v>
      </c>
      <c r="X3" s="8">
        <f>SUM(O:O)</f>
        <v>0</v>
      </c>
    </row>
    <row r="4" spans="1:45" s="5" customFormat="1" ht="13.8" x14ac:dyDescent="0.3">
      <c r="A4" s="1"/>
      <c r="B4" s="2" t="s">
        <v>23</v>
      </c>
      <c r="C4" s="4"/>
      <c r="D4" s="1"/>
      <c r="E4" s="1"/>
      <c r="F4" s="2" t="s">
        <v>24</v>
      </c>
      <c r="G4" s="3" t="s">
        <v>94</v>
      </c>
      <c r="H4" s="1"/>
      <c r="I4" s="1"/>
      <c r="J4" s="1"/>
      <c r="K4" s="1"/>
      <c r="M4" s="9"/>
      <c r="N4" s="9"/>
      <c r="O4" s="9"/>
      <c r="P4" s="9"/>
      <c r="Q4" s="11"/>
      <c r="R4" s="12"/>
      <c r="S4" s="35"/>
      <c r="T4" s="34"/>
      <c r="W4" s="7" t="s">
        <v>22</v>
      </c>
      <c r="X4" s="8">
        <f>SUM(P:P)</f>
        <v>0</v>
      </c>
    </row>
    <row r="5" spans="1:45" s="5" customFormat="1" ht="13.8" x14ac:dyDescent="0.3">
      <c r="A5" s="1"/>
      <c r="B5" s="2" t="s">
        <v>26</v>
      </c>
      <c r="C5" s="4" t="s">
        <v>33</v>
      </c>
      <c r="D5" s="1"/>
      <c r="E5" s="2"/>
      <c r="F5" s="1"/>
      <c r="G5" s="1"/>
      <c r="H5" s="1"/>
      <c r="I5" s="1"/>
      <c r="J5" s="1"/>
      <c r="K5" s="1"/>
      <c r="M5" s="9"/>
      <c r="N5" s="9"/>
      <c r="O5" s="9"/>
      <c r="P5" s="9"/>
      <c r="Q5" s="11"/>
      <c r="R5" s="12"/>
      <c r="S5" s="35"/>
      <c r="T5" s="34"/>
      <c r="W5" s="7" t="s">
        <v>22</v>
      </c>
      <c r="X5" s="8">
        <f>SUM(Q:Q)</f>
        <v>0</v>
      </c>
    </row>
    <row r="6" spans="1:45" s="5" customFormat="1" ht="13.8" x14ac:dyDescent="0.3">
      <c r="A6" s="1"/>
      <c r="B6" s="1" t="s">
        <v>7</v>
      </c>
      <c r="C6" s="13"/>
      <c r="D6" s="1"/>
      <c r="E6" s="1"/>
      <c r="F6" s="1"/>
      <c r="G6" s="1"/>
      <c r="H6" s="1"/>
      <c r="I6" s="1"/>
      <c r="J6" s="1"/>
      <c r="K6" s="1"/>
      <c r="M6" s="9"/>
      <c r="N6" s="9"/>
      <c r="O6" s="9"/>
      <c r="P6" s="9"/>
      <c r="Q6" s="11"/>
      <c r="R6" s="12"/>
      <c r="S6" s="35"/>
      <c r="T6" s="34"/>
      <c r="W6" s="7" t="s">
        <v>27</v>
      </c>
      <c r="X6" s="8">
        <f>SUM(R:R)</f>
        <v>0</v>
      </c>
    </row>
    <row r="7" spans="1:45" s="5" customFormat="1" ht="13.8" x14ac:dyDescent="0.3">
      <c r="A7" s="1"/>
      <c r="B7" s="1"/>
      <c r="C7" s="1"/>
      <c r="D7" s="1"/>
      <c r="E7" s="1"/>
      <c r="F7" s="1"/>
      <c r="G7" s="1"/>
      <c r="H7" s="1"/>
      <c r="I7" s="1"/>
      <c r="J7" s="1"/>
      <c r="K7" s="1"/>
      <c r="M7" s="9"/>
      <c r="N7" s="9"/>
      <c r="O7" s="9"/>
      <c r="P7" s="9"/>
      <c r="Q7" s="11"/>
      <c r="R7" s="12"/>
      <c r="S7" s="35"/>
      <c r="T7" s="34"/>
      <c r="W7" s="7" t="s">
        <v>28</v>
      </c>
      <c r="X7" s="8">
        <f>SUM(S:S)</f>
        <v>0</v>
      </c>
    </row>
    <row r="8" spans="1:45" s="5" customFormat="1" ht="13.8" x14ac:dyDescent="0.3">
      <c r="A8" s="14"/>
      <c r="E8" s="7" t="s">
        <v>1</v>
      </c>
      <c r="F8" s="8" t="str">
        <f>$C$1</f>
        <v>R. Abbott</v>
      </c>
      <c r="H8" s="15"/>
      <c r="I8" s="7" t="s">
        <v>8</v>
      </c>
      <c r="J8" s="16" t="str">
        <f>$G$2</f>
        <v>AA-SM-009-004</v>
      </c>
      <c r="K8" s="17"/>
      <c r="L8" s="18"/>
      <c r="M8" s="9"/>
      <c r="N8" s="9"/>
      <c r="O8" s="9"/>
      <c r="P8" s="9"/>
      <c r="Q8" s="11"/>
      <c r="R8" s="12"/>
      <c r="S8" s="35"/>
      <c r="T8" s="34"/>
    </row>
    <row r="9" spans="1:45" s="5" customFormat="1" ht="13.8" x14ac:dyDescent="0.3">
      <c r="E9" s="7" t="s">
        <v>2</v>
      </c>
      <c r="F9" s="15" t="str">
        <f>$C$2</f>
        <v xml:space="preserve"> </v>
      </c>
      <c r="H9" s="15"/>
      <c r="I9" s="7" t="s">
        <v>9</v>
      </c>
      <c r="J9" s="17" t="str">
        <f>$G$3</f>
        <v>IR</v>
      </c>
      <c r="K9" s="17"/>
      <c r="L9" s="18"/>
      <c r="M9" s="9">
        <v>1</v>
      </c>
      <c r="N9" s="9"/>
      <c r="O9" s="9"/>
      <c r="P9" s="9"/>
      <c r="Q9" s="11"/>
      <c r="R9" s="12"/>
      <c r="S9" s="35"/>
      <c r="T9" s="34"/>
      <c r="V9" s="118" t="s">
        <v>69</v>
      </c>
    </row>
    <row r="10" spans="1:45"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c r="V10" s="5" t="s">
        <v>68</v>
      </c>
    </row>
    <row r="11" spans="1:45" s="5" customFormat="1" ht="13.8" x14ac:dyDescent="0.3">
      <c r="A11" s="26"/>
      <c r="B11" s="26"/>
      <c r="C11" s="26"/>
      <c r="D11" s="26"/>
      <c r="E11" s="7" t="s">
        <v>29</v>
      </c>
      <c r="F11" s="15" t="str">
        <f>$C$5</f>
        <v>STANDARD SPREADSHEET METHOD</v>
      </c>
      <c r="I11" s="19"/>
      <c r="J11" s="8"/>
      <c r="M11" s="9"/>
      <c r="N11" s="9"/>
      <c r="O11" s="9"/>
      <c r="P11" s="9"/>
      <c r="Q11" s="9"/>
      <c r="R11" s="9"/>
      <c r="S11" s="33"/>
      <c r="T11" s="34"/>
      <c r="V11" s="5" t="s">
        <v>67</v>
      </c>
    </row>
    <row r="12" spans="1:45" s="28" customFormat="1" x14ac:dyDescent="0.3">
      <c r="A12" s="58"/>
      <c r="B12" s="21" t="str">
        <f>$G$4</f>
        <v>LUG ANALYSIS - PIN BENDING</v>
      </c>
      <c r="C12" s="59"/>
      <c r="D12" s="59"/>
      <c r="E12" s="60"/>
      <c r="F12" s="59"/>
      <c r="G12" s="59"/>
      <c r="H12" s="59"/>
      <c r="I12" s="59"/>
      <c r="J12" s="59"/>
      <c r="K12" s="59"/>
      <c r="L12" s="30"/>
      <c r="M12" s="36"/>
      <c r="N12" s="37"/>
      <c r="O12" s="37"/>
      <c r="P12" s="37"/>
      <c r="Q12" s="37"/>
      <c r="R12" s="36"/>
      <c r="S12" s="36"/>
      <c r="T12" s="38"/>
      <c r="V12" s="5" t="s">
        <v>65</v>
      </c>
    </row>
    <row r="13" spans="1:45" s="26" customFormat="1" ht="13.8" x14ac:dyDescent="0.3">
      <c r="A13" s="61"/>
      <c r="B13" s="169" t="s">
        <v>53</v>
      </c>
      <c r="C13" s="61"/>
      <c r="D13" s="61"/>
      <c r="E13" s="61"/>
      <c r="F13" s="61"/>
      <c r="G13" s="61"/>
      <c r="H13" s="61"/>
      <c r="I13" s="61"/>
      <c r="J13" s="61"/>
      <c r="K13" s="61"/>
      <c r="L13" s="29"/>
      <c r="M13" s="27"/>
      <c r="N13" s="27"/>
      <c r="O13" s="27"/>
      <c r="P13" s="27"/>
      <c r="Q13" s="27"/>
      <c r="R13" s="27"/>
      <c r="S13" s="27"/>
      <c r="T13" s="27"/>
      <c r="V13" s="26" t="s">
        <v>66</v>
      </c>
    </row>
    <row r="14" spans="1:45" s="26" customFormat="1" ht="13.8" x14ac:dyDescent="0.3">
      <c r="A14" s="61"/>
      <c r="B14" s="62"/>
      <c r="C14" s="61"/>
      <c r="D14" s="63"/>
      <c r="E14" s="61"/>
      <c r="F14" s="63" t="s">
        <v>56</v>
      </c>
      <c r="G14" s="98">
        <v>1500</v>
      </c>
      <c r="H14" s="61" t="s">
        <v>57</v>
      </c>
      <c r="I14" s="61" t="s">
        <v>58</v>
      </c>
      <c r="J14" s="61"/>
      <c r="K14" s="61"/>
      <c r="M14" s="27"/>
      <c r="N14" s="27"/>
      <c r="O14" s="27"/>
      <c r="P14" s="27"/>
      <c r="Q14" s="27"/>
      <c r="R14" s="27"/>
      <c r="S14" s="27"/>
      <c r="T14" s="27"/>
      <c r="V14" s="75" t="s">
        <v>75</v>
      </c>
      <c r="W14" s="76">
        <v>0.02</v>
      </c>
      <c r="X14" s="76">
        <v>0.04</v>
      </c>
      <c r="Y14" s="76">
        <v>0.06</v>
      </c>
      <c r="Z14" s="76">
        <v>0.08</v>
      </c>
      <c r="AA14" s="76">
        <v>0.1</v>
      </c>
      <c r="AB14" s="76">
        <v>0.15</v>
      </c>
      <c r="AC14" s="76">
        <v>0.2</v>
      </c>
      <c r="AD14" s="76">
        <v>0.25</v>
      </c>
      <c r="AE14" s="76">
        <v>0.3</v>
      </c>
      <c r="AF14" s="76">
        <v>0.35</v>
      </c>
      <c r="AG14" s="76">
        <v>0.4</v>
      </c>
      <c r="AH14" s="76">
        <v>0.45</v>
      </c>
      <c r="AI14" s="76">
        <v>0.5</v>
      </c>
      <c r="AJ14" s="76">
        <v>0.55000000000000004</v>
      </c>
      <c r="AK14" s="112"/>
      <c r="AL14" s="112"/>
      <c r="AM14" s="66"/>
      <c r="AN14" s="66"/>
    </row>
    <row r="15" spans="1:45" s="26" customFormat="1" ht="13.8" x14ac:dyDescent="0.3">
      <c r="A15" s="61"/>
      <c r="B15" s="62"/>
      <c r="C15" s="61"/>
      <c r="D15" s="63"/>
      <c r="F15" s="67" t="s">
        <v>51</v>
      </c>
      <c r="G15" s="68">
        <v>0.33</v>
      </c>
      <c r="H15" s="69" t="s">
        <v>52</v>
      </c>
      <c r="I15" s="69" t="s">
        <v>86</v>
      </c>
      <c r="J15" s="70"/>
      <c r="K15" s="28"/>
      <c r="M15" s="27"/>
      <c r="N15" s="27"/>
      <c r="O15" s="27"/>
      <c r="P15" s="27"/>
      <c r="Q15" s="27"/>
      <c r="R15" s="27"/>
      <c r="S15" s="27"/>
      <c r="T15" s="27"/>
      <c r="V15" s="117"/>
      <c r="W15" s="117"/>
      <c r="X15" s="117"/>
      <c r="Y15" s="117"/>
      <c r="Z15" s="117"/>
      <c r="AA15" s="117"/>
      <c r="AB15" s="117"/>
      <c r="AC15" s="117"/>
      <c r="AD15" s="117"/>
      <c r="AE15" s="117"/>
      <c r="AF15" s="117"/>
      <c r="AG15" s="117"/>
      <c r="AH15" s="117"/>
      <c r="AI15" s="117"/>
      <c r="AJ15" s="101"/>
      <c r="AK15" s="112"/>
      <c r="AL15" s="101"/>
      <c r="AM15" s="44">
        <f>MATCH(B25,W14:AI14,1)</f>
        <v>9</v>
      </c>
      <c r="AN15" s="28"/>
    </row>
    <row r="16" spans="1:45" s="28" customFormat="1" ht="13.8" x14ac:dyDescent="0.3">
      <c r="F16" s="67" t="s">
        <v>77</v>
      </c>
      <c r="G16" s="68">
        <v>0.25</v>
      </c>
      <c r="H16" s="69" t="s">
        <v>52</v>
      </c>
      <c r="I16" s="71" t="s">
        <v>78</v>
      </c>
      <c r="M16" s="36"/>
      <c r="N16" s="36"/>
      <c r="O16" s="36"/>
      <c r="P16" s="36"/>
      <c r="Q16" s="38"/>
      <c r="R16" s="27"/>
      <c r="S16" s="27"/>
      <c r="T16" s="27"/>
      <c r="V16" s="119">
        <v>0</v>
      </c>
      <c r="W16" s="125">
        <v>0.84</v>
      </c>
      <c r="X16" s="126">
        <v>0.5</v>
      </c>
      <c r="Y16" s="126">
        <v>-0.5</v>
      </c>
      <c r="Z16" s="126"/>
      <c r="AA16" s="126"/>
      <c r="AB16" s="126"/>
      <c r="AC16" s="126"/>
      <c r="AD16" s="126"/>
      <c r="AE16" s="126"/>
      <c r="AF16" s="126"/>
      <c r="AG16" s="126"/>
      <c r="AH16" s="126"/>
      <c r="AI16" s="126"/>
      <c r="AJ16" s="116">
        <f>$Y$58*V16</f>
        <v>0</v>
      </c>
      <c r="AK16" s="116">
        <v>0</v>
      </c>
      <c r="AL16" s="119">
        <v>0</v>
      </c>
      <c r="AM16" s="44">
        <f t="shared" ref="AM16:AM56" si="0">INDEX(W16:AI16,$AM$15)</f>
        <v>0</v>
      </c>
      <c r="AN16" s="28">
        <f>INDEX(W16:AJ16,$AM$15+1)</f>
        <v>0</v>
      </c>
      <c r="AR16" s="30"/>
      <c r="AS16" s="30"/>
    </row>
    <row r="17" spans="1:59" s="28" customFormat="1" ht="13.8" x14ac:dyDescent="0.3">
      <c r="F17" s="67" t="s">
        <v>76</v>
      </c>
      <c r="G17" s="68">
        <v>0.25</v>
      </c>
      <c r="H17" s="69" t="s">
        <v>52</v>
      </c>
      <c r="I17" s="71" t="s">
        <v>79</v>
      </c>
      <c r="M17" s="36"/>
      <c r="N17" s="36"/>
      <c r="O17" s="36"/>
      <c r="P17" s="36"/>
      <c r="Q17" s="38"/>
      <c r="R17" s="27"/>
      <c r="S17" s="27"/>
      <c r="T17" s="27"/>
      <c r="V17" s="120">
        <v>0.05</v>
      </c>
      <c r="W17" s="127">
        <v>0.91500000000000004</v>
      </c>
      <c r="X17" s="123">
        <v>0.77</v>
      </c>
      <c r="Y17" s="123">
        <v>0.5</v>
      </c>
      <c r="Z17" s="123">
        <v>0.03</v>
      </c>
      <c r="AA17" s="123"/>
      <c r="AB17" s="123"/>
      <c r="AC17" s="123"/>
      <c r="AD17" s="123"/>
      <c r="AE17" s="123"/>
      <c r="AF17" s="123"/>
      <c r="AG17" s="123"/>
      <c r="AH17" s="123"/>
      <c r="AI17" s="123"/>
      <c r="AJ17" s="128">
        <f t="shared" ref="AJ17:AJ56" si="1">$Y$58*V17</f>
        <v>2.5000000000000001E-2</v>
      </c>
      <c r="AK17" s="128"/>
      <c r="AL17" s="120">
        <v>0.05</v>
      </c>
      <c r="AM17" s="44">
        <f t="shared" si="0"/>
        <v>0</v>
      </c>
      <c r="AN17" s="28">
        <f t="shared" ref="AN17:AN56" si="2">INDEX(W17:AJ17,$AM$15+1)</f>
        <v>0</v>
      </c>
      <c r="AR17" s="30"/>
      <c r="AS17" s="30"/>
    </row>
    <row r="18" spans="1:59" s="28" customFormat="1" ht="13.8" x14ac:dyDescent="0.3">
      <c r="A18" s="72"/>
      <c r="B18" s="73"/>
      <c r="C18" s="74"/>
      <c r="D18" s="74"/>
      <c r="F18" s="99" t="s">
        <v>82</v>
      </c>
      <c r="G18" s="98">
        <v>0.08</v>
      </c>
      <c r="H18" s="28" t="s">
        <v>52</v>
      </c>
      <c r="I18" s="28" t="s">
        <v>83</v>
      </c>
      <c r="M18" s="36"/>
      <c r="N18" s="36"/>
      <c r="O18" s="36"/>
      <c r="P18" s="36"/>
      <c r="Q18" s="38"/>
      <c r="R18" s="27"/>
      <c r="S18" s="27"/>
      <c r="T18" s="27"/>
      <c r="V18" s="121">
        <v>0.1</v>
      </c>
      <c r="W18" s="127">
        <v>0.95499999999999996</v>
      </c>
      <c r="X18" s="123">
        <v>0.85</v>
      </c>
      <c r="Y18" s="123">
        <v>0.70499999999999996</v>
      </c>
      <c r="Z18" s="123">
        <v>0.45</v>
      </c>
      <c r="AA18" s="123">
        <v>0.05</v>
      </c>
      <c r="AB18" s="123"/>
      <c r="AC18" s="123"/>
      <c r="AD18" s="123"/>
      <c r="AE18" s="123"/>
      <c r="AF18" s="123"/>
      <c r="AG18" s="123"/>
      <c r="AH18" s="123"/>
      <c r="AI18" s="123"/>
      <c r="AJ18" s="128">
        <f t="shared" si="1"/>
        <v>0.05</v>
      </c>
      <c r="AK18" s="128"/>
      <c r="AL18" s="121">
        <v>0.1</v>
      </c>
      <c r="AM18" s="44">
        <f t="shared" si="0"/>
        <v>0</v>
      </c>
      <c r="AN18" s="28">
        <f t="shared" si="2"/>
        <v>0</v>
      </c>
      <c r="AR18" s="30"/>
      <c r="AS18" s="30"/>
    </row>
    <row r="19" spans="1:59" s="28" customFormat="1" ht="13.8" x14ac:dyDescent="0.3">
      <c r="A19" s="74"/>
      <c r="B19" s="74"/>
      <c r="C19" s="74"/>
      <c r="D19" s="74"/>
      <c r="E19" s="74"/>
      <c r="F19" s="99" t="s">
        <v>70</v>
      </c>
      <c r="G19" s="98">
        <v>0.25</v>
      </c>
      <c r="H19" s="69" t="s">
        <v>52</v>
      </c>
      <c r="I19" s="28" t="s">
        <v>71</v>
      </c>
      <c r="M19" s="36"/>
      <c r="N19" s="36"/>
      <c r="O19" s="36"/>
      <c r="P19" s="36"/>
      <c r="Q19" s="38"/>
      <c r="R19" s="27"/>
      <c r="S19" s="27"/>
      <c r="T19" s="27"/>
      <c r="V19" s="120">
        <v>0.15</v>
      </c>
      <c r="W19" s="127">
        <v>0.98</v>
      </c>
      <c r="X19" s="123">
        <v>0.89</v>
      </c>
      <c r="Y19" s="123">
        <v>0.78</v>
      </c>
      <c r="Z19" s="123">
        <v>0.62</v>
      </c>
      <c r="AA19" s="123">
        <v>0.41</v>
      </c>
      <c r="AB19" s="123">
        <v>0.08</v>
      </c>
      <c r="AC19" s="123"/>
      <c r="AD19" s="123"/>
      <c r="AE19" s="123"/>
      <c r="AF19" s="123"/>
      <c r="AG19" s="123"/>
      <c r="AH19" s="123"/>
      <c r="AI19" s="123"/>
      <c r="AJ19" s="128">
        <f t="shared" si="1"/>
        <v>7.4999999999999997E-2</v>
      </c>
      <c r="AK19" s="128"/>
      <c r="AL19" s="120">
        <v>0.15</v>
      </c>
      <c r="AM19" s="44">
        <f t="shared" si="0"/>
        <v>0</v>
      </c>
      <c r="AN19" s="28">
        <f t="shared" si="2"/>
        <v>0</v>
      </c>
      <c r="AR19" s="77"/>
      <c r="AS19" s="77"/>
    </row>
    <row r="20" spans="1:59" s="28" customFormat="1" ht="15" x14ac:dyDescent="0.35">
      <c r="A20" s="74"/>
      <c r="B20" s="74"/>
      <c r="C20" s="74"/>
      <c r="D20" s="74"/>
      <c r="E20" s="74"/>
      <c r="F20" s="81" t="s">
        <v>60</v>
      </c>
      <c r="G20" s="98">
        <v>5000</v>
      </c>
      <c r="H20" s="28" t="s">
        <v>57</v>
      </c>
      <c r="I20" s="28" t="s">
        <v>92</v>
      </c>
      <c r="M20" s="36"/>
      <c r="N20" s="36"/>
      <c r="O20" s="36"/>
      <c r="P20" s="36"/>
      <c r="Q20" s="38"/>
      <c r="R20" s="27"/>
      <c r="S20" s="27"/>
      <c r="T20" s="27"/>
      <c r="V20" s="121">
        <v>0.2</v>
      </c>
      <c r="W20" s="127">
        <v>0.995</v>
      </c>
      <c r="X20" s="123">
        <v>0.92500000000000004</v>
      </c>
      <c r="Y20" s="123">
        <v>0.82499999999999996</v>
      </c>
      <c r="Z20" s="123">
        <v>0.71</v>
      </c>
      <c r="AA20" s="123">
        <v>0.56000000000000005</v>
      </c>
      <c r="AB20" s="123">
        <v>0.35</v>
      </c>
      <c r="AC20" s="123">
        <v>0.1</v>
      </c>
      <c r="AD20" s="123"/>
      <c r="AE20" s="123"/>
      <c r="AF20" s="123"/>
      <c r="AG20" s="123"/>
      <c r="AH20" s="123"/>
      <c r="AI20" s="123"/>
      <c r="AJ20" s="128">
        <f t="shared" si="1"/>
        <v>0.1</v>
      </c>
      <c r="AK20" s="128"/>
      <c r="AL20" s="121">
        <v>0.2</v>
      </c>
      <c r="AM20" s="44">
        <f t="shared" si="0"/>
        <v>0</v>
      </c>
      <c r="AN20" s="28">
        <f t="shared" si="2"/>
        <v>0</v>
      </c>
      <c r="AR20" s="78"/>
      <c r="AS20" s="79"/>
      <c r="AX20" s="144"/>
      <c r="AY20" s="145"/>
    </row>
    <row r="21" spans="1:59" s="28" customFormat="1" ht="15" x14ac:dyDescent="0.35">
      <c r="A21" s="74"/>
      <c r="B21" s="74"/>
      <c r="C21" s="74"/>
      <c r="D21" s="74"/>
      <c r="E21" s="74"/>
      <c r="F21" s="81" t="s">
        <v>73</v>
      </c>
      <c r="G21" s="98">
        <v>6500</v>
      </c>
      <c r="H21" s="28" t="s">
        <v>57</v>
      </c>
      <c r="I21" s="28" t="s">
        <v>93</v>
      </c>
      <c r="M21" s="36"/>
      <c r="N21" s="36"/>
      <c r="O21" s="36"/>
      <c r="P21" s="36"/>
      <c r="Q21" s="38"/>
      <c r="R21" s="27"/>
      <c r="S21" s="27"/>
      <c r="T21" s="27"/>
      <c r="V21" s="120">
        <v>0.25</v>
      </c>
      <c r="W21" s="127">
        <v>1</v>
      </c>
      <c r="X21" s="123">
        <v>0.94499999999999995</v>
      </c>
      <c r="Y21" s="123">
        <v>0.85499999999999998</v>
      </c>
      <c r="Z21" s="123">
        <v>0.76500000000000001</v>
      </c>
      <c r="AA21" s="123">
        <v>0.65</v>
      </c>
      <c r="AB21" s="123">
        <v>0.47499999999999998</v>
      </c>
      <c r="AC21" s="123">
        <v>0.32</v>
      </c>
      <c r="AD21" s="123">
        <v>0.13500000000000001</v>
      </c>
      <c r="AE21" s="123"/>
      <c r="AF21" s="123"/>
      <c r="AG21" s="123"/>
      <c r="AH21" s="123"/>
      <c r="AI21" s="123"/>
      <c r="AJ21" s="128">
        <f t="shared" si="1"/>
        <v>0.125</v>
      </c>
      <c r="AK21" s="128"/>
      <c r="AL21" s="120">
        <v>0.25</v>
      </c>
      <c r="AM21" s="44">
        <f t="shared" si="0"/>
        <v>0</v>
      </c>
      <c r="AN21" s="28">
        <f t="shared" si="2"/>
        <v>0</v>
      </c>
      <c r="AR21" s="78"/>
      <c r="AS21" s="79"/>
      <c r="AX21" s="146"/>
      <c r="AY21" s="146"/>
      <c r="AZ21" s="146"/>
      <c r="BA21" s="146"/>
      <c r="BB21" s="146"/>
      <c r="BC21" s="146"/>
      <c r="BD21" s="146"/>
      <c r="BE21" s="145"/>
    </row>
    <row r="22" spans="1:59" s="28" customFormat="1" ht="15" x14ac:dyDescent="0.35">
      <c r="A22" s="80"/>
      <c r="B22" s="80"/>
      <c r="C22" s="80"/>
      <c r="D22" s="80"/>
      <c r="E22" s="80"/>
      <c r="F22" s="81" t="s">
        <v>64</v>
      </c>
      <c r="G22" s="82">
        <v>69000</v>
      </c>
      <c r="H22" s="74" t="s">
        <v>55</v>
      </c>
      <c r="I22" s="103" t="s">
        <v>87</v>
      </c>
      <c r="J22" s="103"/>
      <c r="K22" s="103"/>
      <c r="M22" s="36"/>
      <c r="N22" s="36"/>
      <c r="O22" s="36"/>
      <c r="P22" s="36"/>
      <c r="Q22" s="38"/>
      <c r="R22" s="27"/>
      <c r="S22" s="27"/>
      <c r="T22" s="27"/>
      <c r="V22" s="121">
        <v>0.3</v>
      </c>
      <c r="W22" s="127">
        <v>1</v>
      </c>
      <c r="X22" s="123">
        <v>0.95499999999999996</v>
      </c>
      <c r="Y22" s="123">
        <v>0.88</v>
      </c>
      <c r="Z22" s="123">
        <v>0.80500000000000005</v>
      </c>
      <c r="AA22" s="123">
        <v>0.70499999999999996</v>
      </c>
      <c r="AB22" s="123">
        <v>0.56499999999999995</v>
      </c>
      <c r="AC22" s="123">
        <v>0.43</v>
      </c>
      <c r="AD22" s="123">
        <v>0.26</v>
      </c>
      <c r="AE22" s="123"/>
      <c r="AF22" s="123"/>
      <c r="AG22" s="123"/>
      <c r="AH22" s="123"/>
      <c r="AI22" s="123"/>
      <c r="AJ22" s="128">
        <f t="shared" si="1"/>
        <v>0.15</v>
      </c>
      <c r="AK22" s="128"/>
      <c r="AL22" s="121">
        <v>0.3</v>
      </c>
      <c r="AM22" s="44">
        <f t="shared" si="0"/>
        <v>0</v>
      </c>
      <c r="AN22" s="28">
        <f t="shared" si="2"/>
        <v>0</v>
      </c>
      <c r="AR22" s="78"/>
      <c r="AS22" s="79"/>
      <c r="AX22" s="146"/>
      <c r="AY22" s="147"/>
      <c r="AZ22" s="154"/>
      <c r="BA22" s="146"/>
    </row>
    <row r="23" spans="1:59" s="28" customFormat="1" ht="15" x14ac:dyDescent="0.35">
      <c r="A23" s="67" t="s">
        <v>72</v>
      </c>
      <c r="B23" s="28" t="str">
        <f ca="1">[2]!xlv(B25)</f>
        <v>((e / D) - 0.5) × (D / t₂)</v>
      </c>
      <c r="E23" s="74"/>
      <c r="F23" s="99" t="s">
        <v>90</v>
      </c>
      <c r="G23" s="98">
        <v>210000</v>
      </c>
      <c r="H23" s="74" t="s">
        <v>55</v>
      </c>
      <c r="I23" s="28" t="s">
        <v>91</v>
      </c>
      <c r="M23" s="36"/>
      <c r="N23" s="36"/>
      <c r="O23" s="36"/>
      <c r="P23" s="36"/>
      <c r="Q23" s="38"/>
      <c r="R23" s="27"/>
      <c r="S23" s="27"/>
      <c r="T23" s="27"/>
      <c r="V23" s="120">
        <v>0.35</v>
      </c>
      <c r="W23" s="127">
        <v>1</v>
      </c>
      <c r="X23" s="123">
        <v>0.96</v>
      </c>
      <c r="Y23" s="123">
        <v>0.89500000000000002</v>
      </c>
      <c r="Z23" s="123">
        <v>0.83499999999999996</v>
      </c>
      <c r="AA23" s="123">
        <v>0.745</v>
      </c>
      <c r="AB23" s="123">
        <v>0.62</v>
      </c>
      <c r="AC23" s="123">
        <v>0.5</v>
      </c>
      <c r="AD23" s="123">
        <v>0.36</v>
      </c>
      <c r="AE23" s="123">
        <v>0.17</v>
      </c>
      <c r="AF23" s="123"/>
      <c r="AG23" s="123"/>
      <c r="AH23" s="123"/>
      <c r="AI23" s="123"/>
      <c r="AJ23" s="128">
        <f t="shared" si="1"/>
        <v>0.17499999999999999</v>
      </c>
      <c r="AK23" s="128"/>
      <c r="AL23" s="120">
        <v>0.35</v>
      </c>
      <c r="AM23" s="44">
        <f t="shared" si="0"/>
        <v>0.17</v>
      </c>
      <c r="AN23" s="28">
        <f t="shared" si="2"/>
        <v>0</v>
      </c>
      <c r="AR23" s="78"/>
      <c r="AS23" s="79"/>
      <c r="AX23" s="146"/>
    </row>
    <row r="24" spans="1:59" s="28" customFormat="1" ht="13.8" x14ac:dyDescent="0.3">
      <c r="A24" s="81" t="s">
        <v>54</v>
      </c>
      <c r="B24" s="28" t="str">
        <f>[2]!xln(B25)</f>
        <v>((0.25 / 0.33) - 0.5) × (0.33 / 0.25)</v>
      </c>
      <c r="E24" s="74"/>
      <c r="M24" s="36"/>
      <c r="N24" s="36"/>
      <c r="O24" s="36"/>
      <c r="P24" s="36"/>
      <c r="Q24" s="38"/>
      <c r="R24" s="27"/>
      <c r="S24" s="27"/>
      <c r="T24" s="27"/>
      <c r="V24" s="121">
        <v>0.4</v>
      </c>
      <c r="W24" s="127">
        <v>1</v>
      </c>
      <c r="X24" s="123">
        <v>0.96499999999999997</v>
      </c>
      <c r="Y24" s="123">
        <v>0.91</v>
      </c>
      <c r="Z24" s="123">
        <v>0.85</v>
      </c>
      <c r="AA24" s="123">
        <v>0.77500000000000002</v>
      </c>
      <c r="AB24" s="123">
        <v>0.66500000000000004</v>
      </c>
      <c r="AC24" s="123">
        <v>0.56000000000000005</v>
      </c>
      <c r="AD24" s="123">
        <v>0.44</v>
      </c>
      <c r="AE24" s="123">
        <v>0.33</v>
      </c>
      <c r="AF24" s="123">
        <v>0.21</v>
      </c>
      <c r="AG24" s="123"/>
      <c r="AH24" s="123"/>
      <c r="AI24" s="123"/>
      <c r="AJ24" s="128">
        <f t="shared" si="1"/>
        <v>0.2</v>
      </c>
      <c r="AK24" s="128"/>
      <c r="AL24" s="121">
        <v>0.4</v>
      </c>
      <c r="AM24" s="44">
        <f t="shared" si="0"/>
        <v>0.33</v>
      </c>
      <c r="AN24" s="28">
        <f t="shared" si="2"/>
        <v>0.21</v>
      </c>
      <c r="AR24" s="78"/>
      <c r="AS24" s="79"/>
      <c r="AX24" s="146"/>
      <c r="AY24" s="146"/>
    </row>
    <row r="25" spans="1:59" s="28" customFormat="1" ht="13.8" x14ac:dyDescent="0.3">
      <c r="A25" s="81" t="s">
        <v>54</v>
      </c>
      <c r="B25" s="114">
        <f>((G19/G15)-0.5)*(G15/G17)</f>
        <v>0.34</v>
      </c>
      <c r="C25" s="28" t="s">
        <v>59</v>
      </c>
      <c r="M25" s="36"/>
      <c r="N25" s="36"/>
      <c r="O25" s="36"/>
      <c r="P25" s="36"/>
      <c r="Q25" s="38"/>
      <c r="R25" s="27"/>
      <c r="S25" s="27"/>
      <c r="T25" s="27"/>
      <c r="V25" s="120">
        <v>0.45</v>
      </c>
      <c r="W25" s="127">
        <v>1</v>
      </c>
      <c r="X25" s="123">
        <v>0.97</v>
      </c>
      <c r="Y25" s="123">
        <v>0.92</v>
      </c>
      <c r="Z25" s="123">
        <v>0.86499999999999999</v>
      </c>
      <c r="AA25" s="123">
        <v>0.8</v>
      </c>
      <c r="AB25" s="123">
        <v>0.7</v>
      </c>
      <c r="AC25" s="123">
        <v>0.60099999999999998</v>
      </c>
      <c r="AD25" s="123">
        <v>0.5</v>
      </c>
      <c r="AE25" s="123">
        <v>0.41</v>
      </c>
      <c r="AF25" s="123">
        <v>0.3</v>
      </c>
      <c r="AG25" s="123"/>
      <c r="AH25" s="123"/>
      <c r="AI25" s="123"/>
      <c r="AJ25" s="128">
        <f t="shared" si="1"/>
        <v>0.22500000000000001</v>
      </c>
      <c r="AK25" s="128"/>
      <c r="AL25" s="120">
        <v>0.45</v>
      </c>
      <c r="AM25" s="44">
        <f t="shared" si="0"/>
        <v>0.41</v>
      </c>
      <c r="AN25" s="28">
        <f t="shared" si="2"/>
        <v>0.3</v>
      </c>
      <c r="AR25" s="78"/>
      <c r="AS25" s="79"/>
      <c r="AX25" s="146"/>
      <c r="AY25" s="146"/>
    </row>
    <row r="26" spans="1:59" s="28" customFormat="1" ht="13.8" x14ac:dyDescent="0.3">
      <c r="B26" s="161" t="str">
        <f>IF(B25&gt;0.55,"'r' outside of analysis range","")</f>
        <v/>
      </c>
      <c r="M26" s="36"/>
      <c r="N26" s="36"/>
      <c r="O26" s="36"/>
      <c r="P26" s="36"/>
      <c r="Q26" s="38"/>
      <c r="R26" s="27"/>
      <c r="S26" s="27"/>
      <c r="T26" s="27"/>
      <c r="V26" s="121">
        <v>0.5</v>
      </c>
      <c r="W26" s="127">
        <v>1</v>
      </c>
      <c r="X26" s="123">
        <v>0.97499999999999998</v>
      </c>
      <c r="Y26" s="123">
        <v>0.92700000000000005</v>
      </c>
      <c r="Z26" s="123">
        <v>0.88</v>
      </c>
      <c r="AA26" s="123">
        <v>0.82</v>
      </c>
      <c r="AB26" s="123">
        <v>0.73</v>
      </c>
      <c r="AC26" s="123">
        <v>0.64200000000000002</v>
      </c>
      <c r="AD26" s="123">
        <v>0.55000000000000004</v>
      </c>
      <c r="AE26" s="123">
        <v>0.46500000000000002</v>
      </c>
      <c r="AF26" s="123">
        <v>0.38</v>
      </c>
      <c r="AG26" s="123">
        <v>0.25</v>
      </c>
      <c r="AH26" s="123"/>
      <c r="AI26" s="123"/>
      <c r="AJ26" s="128">
        <f t="shared" si="1"/>
        <v>0.25</v>
      </c>
      <c r="AK26" s="128"/>
      <c r="AL26" s="121">
        <v>0.5</v>
      </c>
      <c r="AM26" s="44">
        <f t="shared" si="0"/>
        <v>0.46500000000000002</v>
      </c>
      <c r="AN26" s="28">
        <f t="shared" si="2"/>
        <v>0.38</v>
      </c>
      <c r="AR26" s="78"/>
      <c r="AS26" s="79"/>
      <c r="AY26" s="145"/>
      <c r="BB26" s="149"/>
      <c r="BE26" s="99"/>
    </row>
    <row r="27" spans="1:59" s="28" customFormat="1" ht="15" x14ac:dyDescent="0.35">
      <c r="A27" s="74"/>
      <c r="B27" s="81" t="s">
        <v>74</v>
      </c>
      <c r="C27" s="28" t="str">
        <f>[2]!xln(C28)</f>
        <v>MIN[5000:6500] / (0.0825 × 69000)</v>
      </c>
      <c r="E27" s="74"/>
      <c r="G27" s="67" t="s">
        <v>63</v>
      </c>
      <c r="H27" s="28" t="str">
        <f>[2]!xln(H28)</f>
        <v>0.33 × 0.25</v>
      </c>
      <c r="I27" s="74"/>
      <c r="K27" s="74"/>
      <c r="M27" s="36"/>
      <c r="N27" s="36"/>
      <c r="O27" s="36"/>
      <c r="P27" s="36"/>
      <c r="Q27" s="38"/>
      <c r="R27" s="27"/>
      <c r="S27" s="27"/>
      <c r="T27" s="27"/>
      <c r="V27" s="120">
        <v>0.55000000000000004</v>
      </c>
      <c r="W27" s="127">
        <v>1</v>
      </c>
      <c r="X27" s="123">
        <v>0.97599999999999998</v>
      </c>
      <c r="Y27" s="123">
        <v>0.93500000000000005</v>
      </c>
      <c r="Z27" s="123">
        <v>0.89</v>
      </c>
      <c r="AA27" s="123">
        <v>0.83499999999999996</v>
      </c>
      <c r="AB27" s="123">
        <v>0.755</v>
      </c>
      <c r="AC27" s="123">
        <v>0.67200000000000004</v>
      </c>
      <c r="AD27" s="123">
        <v>0.57999999999999996</v>
      </c>
      <c r="AE27" s="123">
        <v>0.50700000000000001</v>
      </c>
      <c r="AF27" s="123">
        <v>0.43</v>
      </c>
      <c r="AG27" s="123">
        <v>0.35</v>
      </c>
      <c r="AH27" s="123">
        <v>0.27500000000000002</v>
      </c>
      <c r="AI27" s="123"/>
      <c r="AJ27" s="128">
        <f t="shared" si="1"/>
        <v>0.27500000000000002</v>
      </c>
      <c r="AK27" s="128"/>
      <c r="AL27" s="120">
        <v>0.55000000000000004</v>
      </c>
      <c r="AM27" s="44">
        <f t="shared" si="0"/>
        <v>0.50700000000000001</v>
      </c>
      <c r="AN27" s="28">
        <f t="shared" si="2"/>
        <v>0.43</v>
      </c>
      <c r="AR27" s="78"/>
      <c r="AS27" s="79"/>
      <c r="AY27" s="147"/>
      <c r="BB27" s="147"/>
      <c r="BE27" s="99"/>
    </row>
    <row r="28" spans="1:59" s="28" customFormat="1" ht="13.8" x14ac:dyDescent="0.3">
      <c r="A28" s="74"/>
      <c r="B28" s="81" t="s">
        <v>54</v>
      </c>
      <c r="C28" s="139">
        <f>MIN(G20:G21)/(H28*G22)</f>
        <v>0.87834870443566093</v>
      </c>
      <c r="E28" s="74"/>
      <c r="G28" s="67" t="s">
        <v>54</v>
      </c>
      <c r="H28" s="115">
        <f>G15*G17</f>
        <v>8.2500000000000004E-2</v>
      </c>
      <c r="I28" s="28" t="s">
        <v>59</v>
      </c>
      <c r="K28" s="74"/>
      <c r="M28" s="36"/>
      <c r="N28" s="36"/>
      <c r="O28" s="36"/>
      <c r="P28" s="36"/>
      <c r="Q28" s="38"/>
      <c r="R28" s="27"/>
      <c r="S28" s="27"/>
      <c r="T28" s="27"/>
      <c r="V28" s="121">
        <v>0.6</v>
      </c>
      <c r="W28" s="127">
        <v>1</v>
      </c>
      <c r="X28" s="123">
        <v>0.97699999999999998</v>
      </c>
      <c r="Y28" s="123">
        <v>0.94</v>
      </c>
      <c r="Z28" s="123">
        <v>0.9</v>
      </c>
      <c r="AA28" s="123">
        <v>0.84699999999999998</v>
      </c>
      <c r="AB28" s="123">
        <v>0.77200000000000002</v>
      </c>
      <c r="AC28" s="123">
        <v>0.7</v>
      </c>
      <c r="AD28" s="123">
        <v>0.61499999999999999</v>
      </c>
      <c r="AE28" s="123">
        <v>0.54500000000000004</v>
      </c>
      <c r="AF28" s="123">
        <v>0.47799999999999998</v>
      </c>
      <c r="AG28" s="123">
        <v>0.40500000000000003</v>
      </c>
      <c r="AH28" s="123">
        <v>0.35</v>
      </c>
      <c r="AI28" s="123"/>
      <c r="AJ28" s="128">
        <f t="shared" si="1"/>
        <v>0.3</v>
      </c>
      <c r="AK28" s="128"/>
      <c r="AL28" s="121">
        <v>0.6</v>
      </c>
      <c r="AM28" s="44">
        <f t="shared" si="0"/>
        <v>0.54500000000000004</v>
      </c>
      <c r="AN28" s="28">
        <f t="shared" si="2"/>
        <v>0.47799999999999998</v>
      </c>
      <c r="AR28" s="78"/>
      <c r="AS28" s="79"/>
      <c r="AY28" s="147"/>
      <c r="BA28" s="74"/>
      <c r="BB28" s="147"/>
      <c r="BE28" s="99"/>
      <c r="BG28" s="146"/>
    </row>
    <row r="29" spans="1:59" s="28" customFormat="1" ht="13.8" x14ac:dyDescent="0.3">
      <c r="A29" s="74"/>
      <c r="B29" s="74"/>
      <c r="C29" s="74"/>
      <c r="D29" s="175" t="str">
        <f>IF(AS43&lt;Y59,"GRAPHED VALUE IS OUT OF RANGE, USE AT RISK","")</f>
        <v/>
      </c>
      <c r="E29" s="175"/>
      <c r="F29" s="175"/>
      <c r="G29" s="175"/>
      <c r="H29" s="175"/>
      <c r="I29" s="74"/>
      <c r="J29" s="74"/>
      <c r="K29" s="74"/>
      <c r="M29" s="36"/>
      <c r="N29" s="36"/>
      <c r="O29" s="36"/>
      <c r="P29" s="36"/>
      <c r="Q29" s="38"/>
      <c r="R29" s="27"/>
      <c r="S29" s="27"/>
      <c r="T29" s="27"/>
      <c r="V29" s="120">
        <v>0.65</v>
      </c>
      <c r="W29" s="127">
        <v>1</v>
      </c>
      <c r="X29" s="123">
        <v>0.97799999999999998</v>
      </c>
      <c r="Y29" s="123">
        <v>0.94499999999999995</v>
      </c>
      <c r="Z29" s="123">
        <v>0.91</v>
      </c>
      <c r="AA29" s="123">
        <v>0.85499999999999998</v>
      </c>
      <c r="AB29" s="123">
        <v>0.79</v>
      </c>
      <c r="AC29" s="123">
        <v>0.72499999999999998</v>
      </c>
      <c r="AD29" s="123">
        <v>0.64500000000000002</v>
      </c>
      <c r="AE29" s="123">
        <v>0.57999999999999996</v>
      </c>
      <c r="AF29" s="123">
        <v>0.51500000000000001</v>
      </c>
      <c r="AG29" s="123">
        <v>0.45</v>
      </c>
      <c r="AH29" s="123">
        <v>0.4</v>
      </c>
      <c r="AI29" s="123"/>
      <c r="AJ29" s="128">
        <f t="shared" si="1"/>
        <v>0.32500000000000001</v>
      </c>
      <c r="AK29" s="128"/>
      <c r="AL29" s="120">
        <v>0.65</v>
      </c>
      <c r="AM29" s="44">
        <f t="shared" si="0"/>
        <v>0.57999999999999996</v>
      </c>
      <c r="AN29" s="28">
        <f t="shared" si="2"/>
        <v>0.51500000000000001</v>
      </c>
      <c r="AR29" s="78"/>
      <c r="AS29" s="79"/>
      <c r="AY29" s="147"/>
      <c r="AZ29" s="148"/>
      <c r="BA29" s="146"/>
      <c r="BB29" s="147"/>
      <c r="BC29" s="150"/>
      <c r="BD29" s="146"/>
    </row>
    <row r="30" spans="1:59" s="28" customFormat="1" ht="13.8" x14ac:dyDescent="0.3">
      <c r="A30" s="74"/>
      <c r="B30" s="74"/>
      <c r="C30" s="74"/>
      <c r="D30" s="74"/>
      <c r="E30" s="74"/>
      <c r="F30" s="74"/>
      <c r="G30" s="74"/>
      <c r="H30" s="74"/>
      <c r="I30" s="74"/>
      <c r="J30" s="74"/>
      <c r="K30" s="74"/>
      <c r="M30" s="36"/>
      <c r="N30" s="36"/>
      <c r="O30" s="36"/>
      <c r="P30" s="36"/>
      <c r="Q30" s="38"/>
      <c r="R30" s="27"/>
      <c r="S30" s="27"/>
      <c r="T30" s="27"/>
      <c r="V30" s="121">
        <v>0.7</v>
      </c>
      <c r="W30" s="127">
        <v>1</v>
      </c>
      <c r="X30" s="123">
        <v>0.97899999999999998</v>
      </c>
      <c r="Y30" s="123">
        <v>0.95</v>
      </c>
      <c r="Z30" s="123">
        <v>0.91500000000000004</v>
      </c>
      <c r="AA30" s="123">
        <v>0.86299999999999999</v>
      </c>
      <c r="AB30" s="123">
        <v>0.80500000000000005</v>
      </c>
      <c r="AC30" s="123">
        <v>0.745</v>
      </c>
      <c r="AD30" s="123">
        <v>0.67</v>
      </c>
      <c r="AE30" s="123">
        <v>0.61</v>
      </c>
      <c r="AF30" s="123">
        <v>0.54500000000000004</v>
      </c>
      <c r="AG30" s="123">
        <v>0.48499999999999999</v>
      </c>
      <c r="AH30" s="123">
        <v>0.44</v>
      </c>
      <c r="AI30" s="123">
        <v>0.36</v>
      </c>
      <c r="AJ30" s="128">
        <f t="shared" si="1"/>
        <v>0.35</v>
      </c>
      <c r="AK30" s="128"/>
      <c r="AL30" s="121">
        <v>0.7</v>
      </c>
      <c r="AM30" s="44">
        <f t="shared" si="0"/>
        <v>0.61</v>
      </c>
      <c r="AN30" s="28">
        <f t="shared" si="2"/>
        <v>0.54500000000000004</v>
      </c>
      <c r="AR30" s="78"/>
      <c r="AS30" s="79"/>
      <c r="AY30" s="99"/>
      <c r="AZ30" s="151"/>
      <c r="BB30" s="147"/>
      <c r="BE30" s="147"/>
    </row>
    <row r="31" spans="1:59" s="28" customFormat="1" ht="13.8" x14ac:dyDescent="0.3">
      <c r="A31" s="74"/>
      <c r="B31" s="74"/>
      <c r="C31" s="74"/>
      <c r="D31" s="74"/>
      <c r="E31" s="74"/>
      <c r="F31" s="74"/>
      <c r="G31" s="74"/>
      <c r="H31" s="74"/>
      <c r="I31" s="74"/>
      <c r="J31" s="74"/>
      <c r="K31" s="74"/>
      <c r="M31" s="36"/>
      <c r="N31" s="36"/>
      <c r="O31" s="36"/>
      <c r="P31" s="36"/>
      <c r="Q31" s="38"/>
      <c r="R31" s="27"/>
      <c r="S31" s="27"/>
      <c r="T31" s="27"/>
      <c r="V31" s="120">
        <v>0.75</v>
      </c>
      <c r="W31" s="127">
        <v>1</v>
      </c>
      <c r="X31" s="123">
        <v>0.98</v>
      </c>
      <c r="Y31" s="123">
        <v>0.95199999999999996</v>
      </c>
      <c r="Z31" s="123">
        <v>0.92300000000000004</v>
      </c>
      <c r="AA31" s="123">
        <v>0.872</v>
      </c>
      <c r="AB31" s="123">
        <v>0.81499999999999995</v>
      </c>
      <c r="AC31" s="123">
        <v>0.76</v>
      </c>
      <c r="AD31" s="123">
        <v>0.69</v>
      </c>
      <c r="AE31" s="123">
        <v>0.63500000000000001</v>
      </c>
      <c r="AF31" s="123">
        <v>0.57499999999999996</v>
      </c>
      <c r="AG31" s="123">
        <v>0.51500000000000001</v>
      </c>
      <c r="AH31" s="123">
        <v>0.47199999999999998</v>
      </c>
      <c r="AI31" s="123">
        <v>0.39500000000000002</v>
      </c>
      <c r="AJ31" s="128">
        <f t="shared" si="1"/>
        <v>0.375</v>
      </c>
      <c r="AK31" s="128"/>
      <c r="AL31" s="120">
        <v>0.75</v>
      </c>
      <c r="AM31" s="44">
        <f t="shared" si="0"/>
        <v>0.63500000000000001</v>
      </c>
      <c r="AN31" s="28">
        <f t="shared" si="2"/>
        <v>0.57499999999999996</v>
      </c>
      <c r="AR31" s="78"/>
      <c r="AS31" s="79"/>
      <c r="AY31" s="99"/>
      <c r="AZ31" s="151"/>
      <c r="BB31" s="147"/>
      <c r="BE31" s="147"/>
    </row>
    <row r="32" spans="1:59" s="28" customFormat="1" ht="13.8" x14ac:dyDescent="0.3">
      <c r="A32" s="74"/>
      <c r="B32" s="74"/>
      <c r="C32" s="74"/>
      <c r="D32" s="74"/>
      <c r="E32" s="74"/>
      <c r="F32" s="74"/>
      <c r="G32" s="74"/>
      <c r="H32" s="74"/>
      <c r="I32" s="74"/>
      <c r="J32" s="74"/>
      <c r="K32" s="74"/>
      <c r="M32" s="36"/>
      <c r="N32" s="36"/>
      <c r="O32" s="36"/>
      <c r="P32" s="36"/>
      <c r="Q32" s="38"/>
      <c r="R32" s="27"/>
      <c r="S32" s="27"/>
      <c r="T32" s="27"/>
      <c r="V32" s="121">
        <v>0.8</v>
      </c>
      <c r="W32" s="127">
        <v>1</v>
      </c>
      <c r="X32" s="123">
        <v>0.98</v>
      </c>
      <c r="Y32" s="123">
        <v>0.95499999999999996</v>
      </c>
      <c r="Z32" s="123">
        <v>0.93</v>
      </c>
      <c r="AA32" s="123">
        <v>0.88</v>
      </c>
      <c r="AB32" s="123">
        <v>0.82599999999999996</v>
      </c>
      <c r="AC32" s="123">
        <v>0.77500000000000002</v>
      </c>
      <c r="AD32" s="123">
        <v>0.71199999999999997</v>
      </c>
      <c r="AE32" s="123">
        <v>0.66</v>
      </c>
      <c r="AF32" s="123">
        <v>0.6</v>
      </c>
      <c r="AG32" s="123">
        <v>0.54200000000000004</v>
      </c>
      <c r="AH32" s="123">
        <v>0.5</v>
      </c>
      <c r="AI32" s="123">
        <v>0.43</v>
      </c>
      <c r="AJ32" s="128">
        <f t="shared" si="1"/>
        <v>0.4</v>
      </c>
      <c r="AK32" s="128"/>
      <c r="AL32" s="121">
        <v>0.8</v>
      </c>
      <c r="AM32" s="44">
        <f t="shared" si="0"/>
        <v>0.66</v>
      </c>
      <c r="AN32" s="28">
        <f t="shared" si="2"/>
        <v>0.6</v>
      </c>
      <c r="AQ32" s="84"/>
      <c r="AR32" s="83"/>
      <c r="BB32" s="147"/>
      <c r="BC32" s="151"/>
      <c r="BD32" s="146"/>
      <c r="BE32" s="147"/>
      <c r="BF32" s="148"/>
      <c r="BG32" s="146"/>
    </row>
    <row r="33" spans="1:58" s="28" customFormat="1" ht="13.8" x14ac:dyDescent="0.3">
      <c r="A33" s="74"/>
      <c r="B33" s="74"/>
      <c r="C33" s="74"/>
      <c r="D33" s="74"/>
      <c r="E33" s="74"/>
      <c r="F33" s="74"/>
      <c r="G33" s="74"/>
      <c r="H33" s="74"/>
      <c r="I33" s="74"/>
      <c r="J33" s="74"/>
      <c r="K33" s="74"/>
      <c r="M33" s="36"/>
      <c r="N33" s="36"/>
      <c r="O33" s="36"/>
      <c r="P33" s="36"/>
      <c r="Q33" s="38"/>
      <c r="R33" s="27"/>
      <c r="S33" s="27"/>
      <c r="T33" s="27"/>
      <c r="V33" s="120">
        <v>0.85</v>
      </c>
      <c r="W33" s="127">
        <v>1</v>
      </c>
      <c r="X33" s="123">
        <v>0.98</v>
      </c>
      <c r="Y33" s="123">
        <v>0.96</v>
      </c>
      <c r="Z33" s="123">
        <v>0.93300000000000005</v>
      </c>
      <c r="AA33" s="123">
        <v>0.88800000000000001</v>
      </c>
      <c r="AB33" s="123">
        <v>0.83699999999999997</v>
      </c>
      <c r="AC33" s="123">
        <v>0.78500000000000003</v>
      </c>
      <c r="AD33" s="123">
        <v>0.73</v>
      </c>
      <c r="AE33" s="123">
        <v>0.68</v>
      </c>
      <c r="AF33" s="123">
        <v>0.625</v>
      </c>
      <c r="AG33" s="123">
        <v>0.56999999999999995</v>
      </c>
      <c r="AH33" s="123">
        <v>0.52800000000000002</v>
      </c>
      <c r="AI33" s="123">
        <v>0.46</v>
      </c>
      <c r="AJ33" s="128">
        <f t="shared" si="1"/>
        <v>0.42499999999999999</v>
      </c>
      <c r="AK33" s="128"/>
      <c r="AL33" s="120">
        <v>0.85</v>
      </c>
      <c r="AM33" s="44">
        <f t="shared" si="0"/>
        <v>0.68</v>
      </c>
      <c r="AN33" s="28">
        <f t="shared" si="2"/>
        <v>0.625</v>
      </c>
      <c r="AQ33" s="84"/>
      <c r="AR33" s="83"/>
      <c r="AT33" s="114">
        <f>B25</f>
        <v>0.34</v>
      </c>
    </row>
    <row r="34" spans="1:58" s="28" customFormat="1" ht="13.8" x14ac:dyDescent="0.3">
      <c r="A34" s="74"/>
      <c r="B34" s="74"/>
      <c r="C34" s="74"/>
      <c r="D34" s="74"/>
      <c r="E34" s="74"/>
      <c r="F34" s="74"/>
      <c r="G34" s="74"/>
      <c r="H34" s="74"/>
      <c r="I34" s="74"/>
      <c r="J34" s="74"/>
      <c r="K34" s="74"/>
      <c r="M34" s="36"/>
      <c r="N34" s="36"/>
      <c r="O34" s="36"/>
      <c r="P34" s="36"/>
      <c r="Q34" s="38"/>
      <c r="R34" s="27"/>
      <c r="S34" s="27"/>
      <c r="T34" s="27"/>
      <c r="V34" s="121">
        <v>0.9</v>
      </c>
      <c r="W34" s="127">
        <v>1</v>
      </c>
      <c r="X34" s="123">
        <v>0.98</v>
      </c>
      <c r="Y34" s="123">
        <v>0.96199999999999997</v>
      </c>
      <c r="Z34" s="123">
        <v>0.93500000000000005</v>
      </c>
      <c r="AA34" s="123">
        <v>0.89300000000000002</v>
      </c>
      <c r="AB34" s="123">
        <v>0.84699999999999998</v>
      </c>
      <c r="AC34" s="123">
        <v>0.8</v>
      </c>
      <c r="AD34" s="123">
        <v>0.748</v>
      </c>
      <c r="AE34" s="123">
        <v>0.69699999999999995</v>
      </c>
      <c r="AF34" s="123">
        <v>0.64500000000000002</v>
      </c>
      <c r="AG34" s="123">
        <v>0.59</v>
      </c>
      <c r="AH34" s="123">
        <v>0.55500000000000005</v>
      </c>
      <c r="AI34" s="123">
        <v>0.49</v>
      </c>
      <c r="AJ34" s="128">
        <f t="shared" si="1"/>
        <v>0.45</v>
      </c>
      <c r="AK34" s="128"/>
      <c r="AL34" s="121">
        <v>0.9</v>
      </c>
      <c r="AM34" s="44">
        <f t="shared" si="0"/>
        <v>0.69699999999999995</v>
      </c>
      <c r="AN34" s="28">
        <f t="shared" si="2"/>
        <v>0.64500000000000002</v>
      </c>
      <c r="AP34" s="84"/>
      <c r="AQ34" s="84"/>
      <c r="AR34" s="84">
        <f>INDEX(W14:AI14,AM15)</f>
        <v>0.3</v>
      </c>
      <c r="AS34" s="28">
        <f>INDEX(W14:AJ14,AM15+1)</f>
        <v>0.35</v>
      </c>
      <c r="AT34" s="84">
        <f>AR34</f>
        <v>0.3</v>
      </c>
      <c r="AU34" s="28">
        <f>AS34</f>
        <v>0.35</v>
      </c>
      <c r="AY34" s="145"/>
      <c r="AZ34" s="147"/>
      <c r="BA34" s="146"/>
      <c r="BB34" s="99"/>
      <c r="BC34" s="152"/>
    </row>
    <row r="35" spans="1:58" s="28" customFormat="1" ht="13.8" x14ac:dyDescent="0.3">
      <c r="A35" s="74"/>
      <c r="B35" s="74"/>
      <c r="C35" s="74"/>
      <c r="D35" s="74"/>
      <c r="E35" s="74"/>
      <c r="F35" s="74"/>
      <c r="G35" s="74"/>
      <c r="H35" s="74"/>
      <c r="I35" s="74"/>
      <c r="J35" s="74"/>
      <c r="K35" s="74"/>
      <c r="M35" s="36"/>
      <c r="N35" s="36"/>
      <c r="O35" s="36"/>
      <c r="P35" s="36"/>
      <c r="Q35" s="38"/>
      <c r="R35" s="27"/>
      <c r="S35" s="27"/>
      <c r="T35" s="27"/>
      <c r="V35" s="120">
        <v>0.95</v>
      </c>
      <c r="W35" s="127">
        <v>1</v>
      </c>
      <c r="X35" s="123">
        <v>0.98</v>
      </c>
      <c r="Y35" s="123">
        <v>0.96499999999999997</v>
      </c>
      <c r="Z35" s="123">
        <v>0.93700000000000006</v>
      </c>
      <c r="AA35" s="123">
        <v>0.9</v>
      </c>
      <c r="AB35" s="123">
        <v>0.85499999999999998</v>
      </c>
      <c r="AC35" s="123">
        <v>0.81</v>
      </c>
      <c r="AD35" s="123">
        <v>0.76</v>
      </c>
      <c r="AE35" s="123">
        <v>0.71199999999999997</v>
      </c>
      <c r="AF35" s="123">
        <v>0.66500000000000004</v>
      </c>
      <c r="AG35" s="123">
        <v>0.61499999999999999</v>
      </c>
      <c r="AH35" s="123">
        <v>0.57499999999999996</v>
      </c>
      <c r="AI35" s="123">
        <v>0.51500000000000001</v>
      </c>
      <c r="AJ35" s="128">
        <f t="shared" si="1"/>
        <v>0.47499999999999998</v>
      </c>
      <c r="AK35" s="128"/>
      <c r="AL35" s="120">
        <v>0.95</v>
      </c>
      <c r="AM35" s="44">
        <f t="shared" si="0"/>
        <v>0.71199999999999997</v>
      </c>
      <c r="AN35" s="28">
        <f t="shared" si="2"/>
        <v>0.66500000000000004</v>
      </c>
      <c r="AO35" s="114">
        <f>C28</f>
        <v>0.87834870443566093</v>
      </c>
      <c r="AP35" s="84">
        <f>INDEX(AL16:AL56,AQ35)</f>
        <v>0.85</v>
      </c>
      <c r="AQ35" s="84">
        <f>MATCH(C28,AL16:AL56,1)</f>
        <v>18</v>
      </c>
      <c r="AR35" s="140">
        <f>INDEX(AM16:AM56,AQ35)</f>
        <v>0.68</v>
      </c>
      <c r="AS35" s="114">
        <f>INDEX(AN16:AN56,AQ35)</f>
        <v>0.625</v>
      </c>
      <c r="AT35" s="114"/>
      <c r="AU35" s="114"/>
      <c r="AY35" s="147"/>
      <c r="BB35" s="99"/>
      <c r="BE35" s="147"/>
    </row>
    <row r="36" spans="1:58" s="28" customFormat="1" ht="13.8" x14ac:dyDescent="0.3">
      <c r="A36" s="74"/>
      <c r="B36" s="74"/>
      <c r="C36" s="74"/>
      <c r="D36" s="74"/>
      <c r="E36" s="74"/>
      <c r="F36" s="74"/>
      <c r="G36" s="74"/>
      <c r="H36" s="74"/>
      <c r="I36" s="74"/>
      <c r="J36" s="74"/>
      <c r="K36" s="74"/>
      <c r="L36" s="30"/>
      <c r="M36" s="36"/>
      <c r="N36" s="36"/>
      <c r="O36" s="36"/>
      <c r="P36" s="36"/>
      <c r="Q36" s="38"/>
      <c r="R36" s="27"/>
      <c r="S36" s="27"/>
      <c r="T36" s="27"/>
      <c r="V36" s="121">
        <v>1</v>
      </c>
      <c r="W36" s="127">
        <v>1</v>
      </c>
      <c r="X36" s="123">
        <v>0.98099999999999998</v>
      </c>
      <c r="Y36" s="123">
        <v>0.96699999999999997</v>
      </c>
      <c r="Z36" s="123">
        <v>0.93899999999999995</v>
      </c>
      <c r="AA36" s="123">
        <v>0.90500000000000003</v>
      </c>
      <c r="AB36" s="123">
        <v>0.86199999999999999</v>
      </c>
      <c r="AC36" s="123">
        <v>0.82</v>
      </c>
      <c r="AD36" s="123">
        <v>0.77</v>
      </c>
      <c r="AE36" s="123">
        <v>0.72499999999999998</v>
      </c>
      <c r="AF36" s="123">
        <v>0.68</v>
      </c>
      <c r="AG36" s="123">
        <v>0.63200000000000001</v>
      </c>
      <c r="AH36" s="123">
        <v>0.6</v>
      </c>
      <c r="AI36" s="123">
        <v>0.54</v>
      </c>
      <c r="AJ36" s="128">
        <f t="shared" si="1"/>
        <v>0.5</v>
      </c>
      <c r="AK36" s="128"/>
      <c r="AL36" s="121">
        <v>1</v>
      </c>
      <c r="AM36" s="44">
        <f t="shared" si="0"/>
        <v>0.72499999999999998</v>
      </c>
      <c r="AN36" s="28">
        <f t="shared" si="2"/>
        <v>0.68</v>
      </c>
      <c r="AP36" s="84">
        <f>INDEX(AL16:AL56,AQ36)</f>
        <v>0.9</v>
      </c>
      <c r="AQ36" s="84">
        <f>AQ35+1</f>
        <v>19</v>
      </c>
      <c r="AR36" s="140">
        <f>INDEX(AM16:AM56,AQ36)</f>
        <v>0.69699999999999995</v>
      </c>
      <c r="AS36" s="114">
        <f>INDEX(AN16:AN56,AQ36)</f>
        <v>0.64500000000000002</v>
      </c>
      <c r="AT36" s="114">
        <f>(AO35-AP35)/(AP36-AP35)*(AR36-AR35)+AR35</f>
        <v>0.68963855950812469</v>
      </c>
      <c r="AU36" s="114">
        <f>(AO35-AP35)/(AP36-AP35)*(AS36-AS35)+AS35</f>
        <v>0.63633948177426436</v>
      </c>
      <c r="AY36" s="147"/>
      <c r="BA36" s="74"/>
      <c r="BB36" s="99"/>
      <c r="BE36" s="147"/>
    </row>
    <row r="37" spans="1:58" s="28" customFormat="1" ht="13.8" x14ac:dyDescent="0.3">
      <c r="A37" s="74"/>
      <c r="B37" s="74"/>
      <c r="C37" s="74"/>
      <c r="D37" s="74"/>
      <c r="E37" s="74"/>
      <c r="F37" s="74"/>
      <c r="G37" s="74"/>
      <c r="H37" s="74"/>
      <c r="I37" s="74"/>
      <c r="J37" s="74"/>
      <c r="K37" s="74"/>
      <c r="L37" s="30"/>
      <c r="M37" s="36"/>
      <c r="N37" s="36"/>
      <c r="O37" s="36"/>
      <c r="P37" s="36"/>
      <c r="Q37" s="38"/>
      <c r="R37" s="27"/>
      <c r="S37" s="27"/>
      <c r="T37" s="27"/>
      <c r="V37" s="120">
        <v>1.05</v>
      </c>
      <c r="W37" s="127">
        <v>1</v>
      </c>
      <c r="X37" s="123">
        <v>0.98199999999999998</v>
      </c>
      <c r="Y37" s="30">
        <v>0.96799999999999997</v>
      </c>
      <c r="Z37" s="123">
        <v>0.94099999999999995</v>
      </c>
      <c r="AA37" s="78">
        <v>0.90800000000000003</v>
      </c>
      <c r="AB37" s="123">
        <v>0.86899999999999999</v>
      </c>
      <c r="AC37" s="78">
        <v>0.82599999999999996</v>
      </c>
      <c r="AD37" s="78">
        <v>0.78</v>
      </c>
      <c r="AE37" s="78">
        <v>0.73799999999999999</v>
      </c>
      <c r="AF37" s="137">
        <v>0.69499999999999995</v>
      </c>
      <c r="AG37" s="137">
        <v>0.65</v>
      </c>
      <c r="AH37" s="137">
        <v>0.61499999999999999</v>
      </c>
      <c r="AI37" s="137">
        <v>0.56000000000000005</v>
      </c>
      <c r="AJ37" s="128">
        <f t="shared" si="1"/>
        <v>0.52500000000000002</v>
      </c>
      <c r="AK37" s="138"/>
      <c r="AL37" s="120">
        <v>1.05</v>
      </c>
      <c r="AM37" s="44">
        <f t="shared" si="0"/>
        <v>0.73799999999999999</v>
      </c>
      <c r="AN37" s="28">
        <f t="shared" si="2"/>
        <v>0.69499999999999995</v>
      </c>
      <c r="AQ37" s="84"/>
      <c r="AR37" s="83"/>
      <c r="AY37" s="147"/>
      <c r="AZ37" s="153"/>
      <c r="BB37" s="99"/>
      <c r="BC37" s="153"/>
      <c r="BE37" s="147"/>
      <c r="BF37" s="153"/>
    </row>
    <row r="38" spans="1:58" s="28" customFormat="1" ht="13.8" x14ac:dyDescent="0.3">
      <c r="A38" s="74"/>
      <c r="B38" s="74"/>
      <c r="C38" s="74"/>
      <c r="D38" s="74"/>
      <c r="E38" s="74"/>
      <c r="F38" s="74"/>
      <c r="G38" s="74"/>
      <c r="H38" s="74"/>
      <c r="I38" s="74"/>
      <c r="J38" s="74"/>
      <c r="K38" s="74"/>
      <c r="L38" s="30"/>
      <c r="M38" s="36"/>
      <c r="N38" s="36"/>
      <c r="O38" s="36"/>
      <c r="P38" s="36"/>
      <c r="Q38" s="38"/>
      <c r="R38" s="27"/>
      <c r="S38" s="27"/>
      <c r="T38" s="27"/>
      <c r="V38" s="121">
        <v>1.1000000000000001</v>
      </c>
      <c r="W38" s="127">
        <v>1</v>
      </c>
      <c r="X38" s="123">
        <v>0.98299999999999998</v>
      </c>
      <c r="Y38" s="30">
        <v>0.96899999999999997</v>
      </c>
      <c r="Z38" s="123">
        <v>0.94299999999999995</v>
      </c>
      <c r="AA38" s="78">
        <v>0.91200000000000003</v>
      </c>
      <c r="AB38" s="123">
        <v>0.875</v>
      </c>
      <c r="AC38" s="123">
        <v>0.83199999999999996</v>
      </c>
      <c r="AD38" s="78">
        <v>0.79</v>
      </c>
      <c r="AE38" s="78">
        <v>0.75</v>
      </c>
      <c r="AF38" s="137">
        <v>0.70499999999999996</v>
      </c>
      <c r="AG38" s="137">
        <v>0.66500000000000004</v>
      </c>
      <c r="AH38" s="137">
        <v>0.63200000000000001</v>
      </c>
      <c r="AI38" s="137">
        <v>0.57999999999999996</v>
      </c>
      <c r="AJ38" s="128">
        <f t="shared" si="1"/>
        <v>0.55000000000000004</v>
      </c>
      <c r="AK38" s="138"/>
      <c r="AL38" s="121">
        <v>1.1000000000000001</v>
      </c>
      <c r="AM38" s="44">
        <f t="shared" si="0"/>
        <v>0.75</v>
      </c>
      <c r="AN38" s="28">
        <f t="shared" si="2"/>
        <v>0.70499999999999996</v>
      </c>
      <c r="AQ38" s="84"/>
      <c r="AR38" s="83">
        <f>(AR34-AR35)/(AR36-AR35)*(AS36-AS35)+AS35</f>
        <v>0.17794117647058522</v>
      </c>
      <c r="AT38" s="114">
        <f>(AT33-AT34)/(AU34-AT34)*(AU36-AT36)+AT36</f>
        <v>0.64699929732103634</v>
      </c>
    </row>
    <row r="39" spans="1:58" s="28" customFormat="1" ht="13.8" x14ac:dyDescent="0.3">
      <c r="A39" s="74"/>
      <c r="B39" s="74"/>
      <c r="C39" s="74"/>
      <c r="D39" s="74"/>
      <c r="E39" s="74"/>
      <c r="F39" s="74"/>
      <c r="G39" s="74"/>
      <c r="H39" s="74"/>
      <c r="I39" s="74"/>
      <c r="J39" s="74"/>
      <c r="K39" s="74"/>
      <c r="L39" s="30"/>
      <c r="M39" s="36"/>
      <c r="N39" s="36"/>
      <c r="O39" s="36"/>
      <c r="P39" s="36"/>
      <c r="Q39" s="38"/>
      <c r="R39" s="27"/>
      <c r="S39" s="27"/>
      <c r="T39" s="27"/>
      <c r="V39" s="120">
        <v>1.1499999999999999</v>
      </c>
      <c r="W39" s="127">
        <v>1</v>
      </c>
      <c r="X39" s="123">
        <v>0.98399999999999999</v>
      </c>
      <c r="Y39" s="30">
        <v>0.97</v>
      </c>
      <c r="Z39" s="123">
        <v>0.94499999999999995</v>
      </c>
      <c r="AA39" s="78">
        <v>0.91500000000000004</v>
      </c>
      <c r="AB39" s="123">
        <v>0.88200000000000001</v>
      </c>
      <c r="AC39" s="78">
        <v>0.83799999999999997</v>
      </c>
      <c r="AD39" s="78">
        <v>0.8</v>
      </c>
      <c r="AE39" s="78">
        <v>0.76</v>
      </c>
      <c r="AF39" s="137">
        <v>0.71899999999999997</v>
      </c>
      <c r="AG39" s="137">
        <v>0.68</v>
      </c>
      <c r="AH39" s="137">
        <v>0.64400000000000002</v>
      </c>
      <c r="AI39" s="137">
        <v>0.6</v>
      </c>
      <c r="AJ39" s="128">
        <f t="shared" si="1"/>
        <v>0.57499999999999996</v>
      </c>
      <c r="AK39" s="138"/>
      <c r="AL39" s="120">
        <v>1.1499999999999999</v>
      </c>
      <c r="AM39" s="44">
        <f t="shared" si="0"/>
        <v>0.76</v>
      </c>
      <c r="AN39" s="28">
        <f t="shared" si="2"/>
        <v>0.71899999999999997</v>
      </c>
      <c r="AQ39" s="85"/>
      <c r="AR39" s="85"/>
      <c r="AS39" s="85"/>
    </row>
    <row r="40" spans="1:58" s="28" customFormat="1" ht="13.8" x14ac:dyDescent="0.3">
      <c r="A40" s="74"/>
      <c r="B40" s="74"/>
      <c r="C40" s="74"/>
      <c r="D40" s="74"/>
      <c r="E40" s="74"/>
      <c r="F40" s="74"/>
      <c r="G40" s="74"/>
      <c r="H40" s="74"/>
      <c r="I40" s="74"/>
      <c r="J40" s="74"/>
      <c r="K40" s="74"/>
      <c r="L40" s="30"/>
      <c r="M40" s="36"/>
      <c r="N40" s="36"/>
      <c r="O40" s="36"/>
      <c r="P40" s="36"/>
      <c r="Q40" s="38"/>
      <c r="R40" s="27"/>
      <c r="S40" s="27"/>
      <c r="T40" s="27"/>
      <c r="V40" s="121">
        <v>1.2</v>
      </c>
      <c r="W40" s="127">
        <v>1</v>
      </c>
      <c r="X40" s="123">
        <v>0.98499999999999999</v>
      </c>
      <c r="Y40" s="30">
        <v>0.97099999999999997</v>
      </c>
      <c r="Z40" s="123">
        <v>0.94699999999999995</v>
      </c>
      <c r="AA40" s="78">
        <v>0.91800000000000004</v>
      </c>
      <c r="AB40" s="123">
        <v>0.88700000000000001</v>
      </c>
      <c r="AC40" s="123">
        <v>0.84399999999999997</v>
      </c>
      <c r="AD40" s="78">
        <v>0.81</v>
      </c>
      <c r="AE40" s="78">
        <v>0.77</v>
      </c>
      <c r="AF40" s="137">
        <v>0.73</v>
      </c>
      <c r="AG40" s="137">
        <v>0.69</v>
      </c>
      <c r="AH40" s="137">
        <v>0.65700000000000003</v>
      </c>
      <c r="AI40" s="137">
        <v>0.61699999999999999</v>
      </c>
      <c r="AJ40" s="128">
        <f t="shared" si="1"/>
        <v>0.6</v>
      </c>
      <c r="AK40" s="138"/>
      <c r="AL40" s="121">
        <v>1.2</v>
      </c>
      <c r="AM40" s="44">
        <f t="shared" si="0"/>
        <v>0.77</v>
      </c>
      <c r="AN40" s="28">
        <f t="shared" si="2"/>
        <v>0.73</v>
      </c>
      <c r="AQ40" s="85"/>
      <c r="AR40" s="85"/>
      <c r="AS40" s="85"/>
    </row>
    <row r="41" spans="1:58" s="28" customFormat="1" ht="13.8" x14ac:dyDescent="0.3">
      <c r="A41" s="74"/>
      <c r="B41" s="74"/>
      <c r="C41" s="74"/>
      <c r="D41" s="74"/>
      <c r="E41" s="74"/>
      <c r="F41" s="74"/>
      <c r="G41" s="74"/>
      <c r="H41" s="74"/>
      <c r="I41" s="74"/>
      <c r="J41" s="74"/>
      <c r="K41" s="74"/>
      <c r="L41" s="30"/>
      <c r="M41" s="36"/>
      <c r="N41" s="36"/>
      <c r="O41" s="36"/>
      <c r="P41" s="36"/>
      <c r="Q41" s="38"/>
      <c r="R41" s="27"/>
      <c r="S41" s="27"/>
      <c r="T41" s="27"/>
      <c r="V41" s="120">
        <v>1.25</v>
      </c>
      <c r="W41" s="127">
        <v>1</v>
      </c>
      <c r="X41" s="123">
        <v>0.98599999999999999</v>
      </c>
      <c r="Y41" s="30">
        <v>0.97199999999999998</v>
      </c>
      <c r="Z41" s="123">
        <v>0.94899999999999995</v>
      </c>
      <c r="AA41" s="78">
        <v>0.92100000000000004</v>
      </c>
      <c r="AB41" s="123">
        <v>0.89200000000000002</v>
      </c>
      <c r="AC41" s="78">
        <v>0.85</v>
      </c>
      <c r="AD41" s="78">
        <v>0.81699999999999995</v>
      </c>
      <c r="AE41" s="78">
        <v>0.77800000000000002</v>
      </c>
      <c r="AF41" s="137">
        <v>0.74</v>
      </c>
      <c r="AG41" s="137">
        <v>0.7</v>
      </c>
      <c r="AH41" s="137">
        <v>0.67</v>
      </c>
      <c r="AI41" s="137">
        <v>0.63</v>
      </c>
      <c r="AJ41" s="128">
        <f t="shared" si="1"/>
        <v>0.625</v>
      </c>
      <c r="AK41" s="138"/>
      <c r="AL41" s="120">
        <v>1.25</v>
      </c>
      <c r="AM41" s="44">
        <f t="shared" si="0"/>
        <v>0.77800000000000002</v>
      </c>
      <c r="AN41" s="28">
        <f t="shared" si="2"/>
        <v>0.74</v>
      </c>
      <c r="AT41" s="96"/>
    </row>
    <row r="42" spans="1:58" s="28" customFormat="1" ht="13.8" x14ac:dyDescent="0.3">
      <c r="A42" s="74"/>
      <c r="B42" s="74"/>
      <c r="C42" s="74"/>
      <c r="D42" s="74"/>
      <c r="E42" s="74"/>
      <c r="F42" s="74"/>
      <c r="G42" s="74"/>
      <c r="H42" s="74"/>
      <c r="I42" s="74"/>
      <c r="J42" s="74"/>
      <c r="K42" s="74"/>
      <c r="L42" s="30"/>
      <c r="M42" s="36"/>
      <c r="N42" s="36"/>
      <c r="O42" s="36"/>
      <c r="P42" s="36"/>
      <c r="Q42" s="38"/>
      <c r="R42" s="27"/>
      <c r="S42" s="27"/>
      <c r="T42" s="27"/>
      <c r="V42" s="121">
        <v>1.3</v>
      </c>
      <c r="W42" s="127">
        <v>1</v>
      </c>
      <c r="X42" s="123">
        <v>0.98699999999999999</v>
      </c>
      <c r="Y42" s="30">
        <v>0.97299999999999998</v>
      </c>
      <c r="Z42" s="123">
        <v>0.95099999999999996</v>
      </c>
      <c r="AA42" s="78">
        <v>0.92400000000000004</v>
      </c>
      <c r="AB42" s="123">
        <v>0.89600000000000002</v>
      </c>
      <c r="AC42" s="123">
        <v>0.85599999999999998</v>
      </c>
      <c r="AD42" s="78">
        <v>0.82499999999999996</v>
      </c>
      <c r="AE42" s="78">
        <v>0.79</v>
      </c>
      <c r="AF42" s="137">
        <v>0.752</v>
      </c>
      <c r="AG42" s="137">
        <v>0.71199999999999997</v>
      </c>
      <c r="AH42" s="137">
        <v>0.68300000000000005</v>
      </c>
      <c r="AI42" s="137">
        <v>0.64500000000000002</v>
      </c>
      <c r="AJ42" s="128">
        <f t="shared" si="1"/>
        <v>0.65</v>
      </c>
      <c r="AK42" s="138"/>
      <c r="AL42" s="121">
        <v>1.3</v>
      </c>
      <c r="AM42" s="44">
        <f t="shared" si="0"/>
        <v>0.79</v>
      </c>
      <c r="AN42" s="28">
        <f t="shared" si="2"/>
        <v>0.752</v>
      </c>
      <c r="AQ42" s="86"/>
      <c r="AR42" s="87" t="s">
        <v>47</v>
      </c>
      <c r="AS42" s="88" t="s">
        <v>48</v>
      </c>
      <c r="AT42" s="96"/>
    </row>
    <row r="43" spans="1:58" s="28" customFormat="1" ht="13.8" x14ac:dyDescent="0.3">
      <c r="A43" s="74"/>
      <c r="B43" s="74"/>
      <c r="C43" s="74"/>
      <c r="D43" s="74"/>
      <c r="E43" s="74"/>
      <c r="F43" s="74"/>
      <c r="G43" s="74"/>
      <c r="H43" s="74"/>
      <c r="I43" s="74"/>
      <c r="J43" s="74"/>
      <c r="K43" s="74"/>
      <c r="L43" s="30"/>
      <c r="M43" s="36"/>
      <c r="N43" s="36"/>
      <c r="O43" s="36"/>
      <c r="P43" s="36"/>
      <c r="Q43" s="38"/>
      <c r="R43" s="27"/>
      <c r="S43" s="27"/>
      <c r="T43" s="27"/>
      <c r="V43" s="120">
        <v>1.35</v>
      </c>
      <c r="W43" s="127">
        <v>1</v>
      </c>
      <c r="X43" s="123">
        <v>0.98799999999999999</v>
      </c>
      <c r="Y43" s="30">
        <v>0.97399999999999998</v>
      </c>
      <c r="Z43" s="123">
        <v>0.95299999999999996</v>
      </c>
      <c r="AA43" s="78">
        <v>0.92600000000000005</v>
      </c>
      <c r="AB43" s="123">
        <v>0.9</v>
      </c>
      <c r="AC43" s="78">
        <v>0.86199999999999999</v>
      </c>
      <c r="AD43" s="78">
        <v>0.83</v>
      </c>
      <c r="AE43" s="78">
        <v>0.8</v>
      </c>
      <c r="AF43" s="137">
        <v>0.76300000000000001</v>
      </c>
      <c r="AG43" s="137">
        <v>0.72199999999999998</v>
      </c>
      <c r="AH43" s="137">
        <v>0.69499999999999995</v>
      </c>
      <c r="AI43" s="137"/>
      <c r="AJ43" s="128">
        <f t="shared" si="1"/>
        <v>0.67500000000000004</v>
      </c>
      <c r="AK43" s="138"/>
      <c r="AL43" s="120">
        <v>1.35</v>
      </c>
      <c r="AM43" s="44">
        <f t="shared" si="0"/>
        <v>0.8</v>
      </c>
      <c r="AN43" s="28">
        <f t="shared" si="2"/>
        <v>0.76300000000000001</v>
      </c>
      <c r="AQ43" s="89" t="s">
        <v>49</v>
      </c>
      <c r="AR43" s="90">
        <v>0</v>
      </c>
      <c r="AS43" s="91">
        <f>AT38</f>
        <v>0.64699929732103634</v>
      </c>
      <c r="AT43" s="96"/>
    </row>
    <row r="44" spans="1:58" s="28" customFormat="1" ht="13.8" x14ac:dyDescent="0.3">
      <c r="A44" s="74"/>
      <c r="B44" s="74"/>
      <c r="C44" s="74"/>
      <c r="D44" s="74"/>
      <c r="E44" s="74"/>
      <c r="F44" s="74"/>
      <c r="G44" s="74"/>
      <c r="H44" s="74"/>
      <c r="I44" s="74"/>
      <c r="J44" s="74"/>
      <c r="K44" s="74"/>
      <c r="L44" s="30"/>
      <c r="M44" s="36"/>
      <c r="N44" s="36"/>
      <c r="O44" s="36"/>
      <c r="P44" s="36"/>
      <c r="Q44" s="38"/>
      <c r="R44" s="27"/>
      <c r="S44" s="27"/>
      <c r="T44" s="27"/>
      <c r="V44" s="121">
        <v>1.4</v>
      </c>
      <c r="W44" s="127">
        <v>1</v>
      </c>
      <c r="X44" s="123">
        <v>0.98899999999999999</v>
      </c>
      <c r="Y44" s="30">
        <v>0.97499999999999998</v>
      </c>
      <c r="Z44" s="123">
        <v>0.95499999999999996</v>
      </c>
      <c r="AA44" s="78">
        <v>0.92800000000000005</v>
      </c>
      <c r="AB44" s="123">
        <v>0.90300000000000002</v>
      </c>
      <c r="AC44" s="123">
        <v>0.86599999999999999</v>
      </c>
      <c r="AD44" s="78">
        <v>0.83499999999999996</v>
      </c>
      <c r="AE44" s="78">
        <v>0.80500000000000005</v>
      </c>
      <c r="AF44" s="137">
        <v>0.77</v>
      </c>
      <c r="AG44" s="137">
        <v>0.73</v>
      </c>
      <c r="AH44" s="137">
        <v>0.70499999999999996</v>
      </c>
      <c r="AI44" s="137"/>
      <c r="AJ44" s="128">
        <f t="shared" si="1"/>
        <v>0.7</v>
      </c>
      <c r="AK44" s="138"/>
      <c r="AL44" s="121">
        <v>1.4</v>
      </c>
      <c r="AM44" s="44">
        <f t="shared" si="0"/>
        <v>0.80500000000000005</v>
      </c>
      <c r="AN44" s="28">
        <f t="shared" si="2"/>
        <v>0.77</v>
      </c>
      <c r="AQ44" s="89"/>
      <c r="AR44" s="92">
        <f>AR46</f>
        <v>0.87834870443566093</v>
      </c>
      <c r="AS44" s="91">
        <f>AT38</f>
        <v>0.64699929732103634</v>
      </c>
    </row>
    <row r="45" spans="1:58" s="28" customFormat="1" ht="13.8" x14ac:dyDescent="0.3">
      <c r="A45" s="74"/>
      <c r="B45" s="74"/>
      <c r="C45" s="74"/>
      <c r="D45" s="74"/>
      <c r="E45" s="74"/>
      <c r="F45" s="74"/>
      <c r="G45" s="74"/>
      <c r="H45" s="74"/>
      <c r="I45" s="74"/>
      <c r="J45" s="74"/>
      <c r="K45" s="74"/>
      <c r="L45" s="30"/>
      <c r="M45" s="36"/>
      <c r="N45" s="36"/>
      <c r="O45" s="36"/>
      <c r="P45" s="36"/>
      <c r="Q45" s="38"/>
      <c r="R45" s="27"/>
      <c r="S45" s="27"/>
      <c r="T45" s="27"/>
      <c r="V45" s="120">
        <v>1.45</v>
      </c>
      <c r="W45" s="127">
        <v>1</v>
      </c>
      <c r="X45" s="123">
        <v>0.99</v>
      </c>
      <c r="Y45" s="30">
        <v>0.97599999999999998</v>
      </c>
      <c r="Z45" s="123">
        <v>0.95699999999999996</v>
      </c>
      <c r="AA45" s="78">
        <v>0.93</v>
      </c>
      <c r="AB45" s="123">
        <v>0.90700000000000003</v>
      </c>
      <c r="AC45" s="78">
        <v>0.87</v>
      </c>
      <c r="AD45" s="78">
        <v>0.84</v>
      </c>
      <c r="AE45" s="78">
        <v>0.81</v>
      </c>
      <c r="AF45" s="137">
        <v>0.77700000000000002</v>
      </c>
      <c r="AG45" s="137">
        <v>0.74</v>
      </c>
      <c r="AH45" s="137"/>
      <c r="AI45" s="30"/>
      <c r="AJ45" s="128">
        <f t="shared" si="1"/>
        <v>0.72499999999999998</v>
      </c>
      <c r="AK45" s="38"/>
      <c r="AL45" s="120">
        <v>1.45</v>
      </c>
      <c r="AM45" s="44">
        <f t="shared" si="0"/>
        <v>0.81</v>
      </c>
      <c r="AN45" s="28">
        <f t="shared" si="2"/>
        <v>0.77700000000000002</v>
      </c>
      <c r="AQ45" s="89" t="s">
        <v>50</v>
      </c>
      <c r="AR45" s="92">
        <f>AR46</f>
        <v>0.87834870443566093</v>
      </c>
      <c r="AS45" s="91">
        <f>AT38</f>
        <v>0.64699929732103634</v>
      </c>
    </row>
    <row r="46" spans="1:58" s="28" customFormat="1" ht="13.8" x14ac:dyDescent="0.3">
      <c r="A46" s="74"/>
      <c r="B46" s="74"/>
      <c r="C46" s="74"/>
      <c r="D46" s="74"/>
      <c r="E46" s="74"/>
      <c r="F46" s="74"/>
      <c r="G46" s="74"/>
      <c r="H46" s="74"/>
      <c r="I46" s="74"/>
      <c r="J46" s="74"/>
      <c r="K46" s="74"/>
      <c r="L46" s="30"/>
      <c r="M46" s="36"/>
      <c r="N46" s="36"/>
      <c r="O46" s="36"/>
      <c r="P46" s="36"/>
      <c r="Q46" s="38"/>
      <c r="R46" s="27"/>
      <c r="S46" s="27"/>
      <c r="T46" s="27"/>
      <c r="V46" s="121">
        <v>1.5</v>
      </c>
      <c r="W46" s="127">
        <v>1</v>
      </c>
      <c r="X46" s="123">
        <v>0.99099999999999999</v>
      </c>
      <c r="Y46" s="30">
        <v>0.97699999999999998</v>
      </c>
      <c r="Z46" s="123">
        <v>0.95899999999999996</v>
      </c>
      <c r="AA46" s="78">
        <v>0.93200000000000005</v>
      </c>
      <c r="AB46" s="123">
        <v>0.91</v>
      </c>
      <c r="AC46" s="78">
        <v>0.872</v>
      </c>
      <c r="AD46" s="78">
        <v>0.84399999999999997</v>
      </c>
      <c r="AE46" s="78">
        <v>0.81699999999999995</v>
      </c>
      <c r="AF46" s="137">
        <v>0.78300000000000003</v>
      </c>
      <c r="AG46" s="137">
        <v>0.75</v>
      </c>
      <c r="AH46" s="137"/>
      <c r="AI46" s="30"/>
      <c r="AJ46" s="128">
        <f t="shared" si="1"/>
        <v>0.75</v>
      </c>
      <c r="AK46" s="38"/>
      <c r="AL46" s="121">
        <v>1.5</v>
      </c>
      <c r="AM46" s="44">
        <f t="shared" si="0"/>
        <v>0.81699999999999995</v>
      </c>
      <c r="AN46" s="28">
        <f t="shared" si="2"/>
        <v>0.78300000000000003</v>
      </c>
      <c r="AO46" s="104"/>
      <c r="AP46" s="104"/>
      <c r="AQ46" s="93"/>
      <c r="AR46" s="94">
        <f>C28</f>
        <v>0.87834870443566093</v>
      </c>
      <c r="AS46" s="95">
        <v>0</v>
      </c>
      <c r="AT46" s="102"/>
    </row>
    <row r="47" spans="1:58" s="28" customFormat="1" ht="13.8" x14ac:dyDescent="0.3">
      <c r="A47" s="74"/>
      <c r="B47" s="74"/>
      <c r="C47" s="74"/>
      <c r="D47" s="74"/>
      <c r="E47" s="74"/>
      <c r="F47" s="74"/>
      <c r="G47" s="74"/>
      <c r="H47" s="74"/>
      <c r="I47" s="74"/>
      <c r="J47" s="74"/>
      <c r="K47" s="74"/>
      <c r="L47" s="30"/>
      <c r="M47" s="36"/>
      <c r="N47" s="36"/>
      <c r="O47" s="36"/>
      <c r="P47" s="36"/>
      <c r="Q47" s="38"/>
      <c r="R47" s="27"/>
      <c r="S47" s="27"/>
      <c r="T47" s="27"/>
      <c r="V47" s="120">
        <v>1.55</v>
      </c>
      <c r="W47" s="127">
        <v>1</v>
      </c>
      <c r="X47" s="123">
        <v>0.99199999999999999</v>
      </c>
      <c r="Y47" s="30">
        <v>0.97799999999999998</v>
      </c>
      <c r="Z47" s="123">
        <v>0.96099999999999997</v>
      </c>
      <c r="AA47" s="78">
        <v>0.93400000000000005</v>
      </c>
      <c r="AB47" s="123">
        <v>0.91300000000000003</v>
      </c>
      <c r="AC47" s="78">
        <v>0.875</v>
      </c>
      <c r="AD47" s="78">
        <v>0.84799999999999998</v>
      </c>
      <c r="AE47" s="78">
        <v>0.82399999999999995</v>
      </c>
      <c r="AF47" s="137">
        <v>0.79</v>
      </c>
      <c r="AG47" s="137"/>
      <c r="AH47" s="30"/>
      <c r="AI47" s="30"/>
      <c r="AJ47" s="128">
        <f t="shared" si="1"/>
        <v>0.77500000000000002</v>
      </c>
      <c r="AK47" s="38"/>
      <c r="AL47" s="120">
        <v>1.55</v>
      </c>
      <c r="AM47" s="44">
        <f t="shared" si="0"/>
        <v>0.82399999999999995</v>
      </c>
      <c r="AN47" s="28">
        <f t="shared" si="2"/>
        <v>0.79</v>
      </c>
      <c r="AO47" s="106"/>
      <c r="AP47" s="106"/>
      <c r="AQ47" s="102"/>
      <c r="AR47" s="102"/>
      <c r="AS47" s="102"/>
      <c r="AT47" s="102"/>
    </row>
    <row r="48" spans="1:58" s="28" customFormat="1" ht="13.8" x14ac:dyDescent="0.3">
      <c r="A48" s="74"/>
      <c r="B48" s="74"/>
      <c r="C48" s="74"/>
      <c r="D48" s="74"/>
      <c r="E48" s="74"/>
      <c r="F48" s="74"/>
      <c r="G48" s="74"/>
      <c r="H48" s="74"/>
      <c r="I48" s="74"/>
      <c r="J48" s="74"/>
      <c r="K48" s="74"/>
      <c r="L48" s="30"/>
      <c r="M48" s="36"/>
      <c r="N48" s="36"/>
      <c r="O48" s="36"/>
      <c r="P48" s="36"/>
      <c r="Q48" s="38"/>
      <c r="R48" s="27"/>
      <c r="S48" s="27"/>
      <c r="T48" s="27"/>
      <c r="V48" s="121">
        <v>1.6</v>
      </c>
      <c r="W48" s="127">
        <v>1</v>
      </c>
      <c r="X48" s="123">
        <v>0.99299999999999999</v>
      </c>
      <c r="Y48" s="30">
        <v>0.97899999999999998</v>
      </c>
      <c r="Z48" s="123">
        <v>0.96299999999999997</v>
      </c>
      <c r="AA48" s="78">
        <v>0.93600000000000005</v>
      </c>
      <c r="AB48" s="123">
        <v>0.91600000000000004</v>
      </c>
      <c r="AC48" s="78">
        <v>0.879</v>
      </c>
      <c r="AD48" s="78">
        <v>0.85199999999999998</v>
      </c>
      <c r="AE48" s="78">
        <v>0.82899999999999996</v>
      </c>
      <c r="AF48" s="137">
        <v>0.79500000000000004</v>
      </c>
      <c r="AG48" s="137"/>
      <c r="AH48" s="30"/>
      <c r="AI48" s="30"/>
      <c r="AJ48" s="128">
        <f t="shared" si="1"/>
        <v>0.8</v>
      </c>
      <c r="AK48" s="38"/>
      <c r="AL48" s="121">
        <v>1.6</v>
      </c>
      <c r="AM48" s="44">
        <f t="shared" si="0"/>
        <v>0.82899999999999996</v>
      </c>
      <c r="AN48" s="28">
        <f t="shared" si="2"/>
        <v>0.79500000000000004</v>
      </c>
      <c r="AO48" s="106"/>
      <c r="AP48" s="106"/>
      <c r="AQ48" s="102"/>
      <c r="AR48" s="107"/>
      <c r="AS48" s="109"/>
      <c r="AT48" s="102"/>
    </row>
    <row r="49" spans="1:46" s="28" customFormat="1" ht="13.8" x14ac:dyDescent="0.3">
      <c r="A49" s="74"/>
      <c r="B49" s="74"/>
      <c r="C49" s="74"/>
      <c r="D49" s="74"/>
      <c r="E49" s="74"/>
      <c r="F49" s="74"/>
      <c r="G49" s="74"/>
      <c r="H49" s="74"/>
      <c r="I49" s="74"/>
      <c r="J49" s="74"/>
      <c r="K49" s="74"/>
      <c r="L49" s="30"/>
      <c r="M49" s="36"/>
      <c r="N49" s="36"/>
      <c r="O49" s="36"/>
      <c r="P49" s="36"/>
      <c r="Q49" s="38"/>
      <c r="R49" s="27"/>
      <c r="S49" s="27"/>
      <c r="T49" s="27"/>
      <c r="V49" s="120">
        <v>1.65</v>
      </c>
      <c r="W49" s="127">
        <v>1</v>
      </c>
      <c r="X49" s="123">
        <v>0.99399999999999999</v>
      </c>
      <c r="Y49" s="30">
        <v>0.98</v>
      </c>
      <c r="Z49" s="123">
        <v>0.96499999999999997</v>
      </c>
      <c r="AA49" s="78">
        <v>0.93799999999999994</v>
      </c>
      <c r="AB49" s="123">
        <v>0.91900000000000004</v>
      </c>
      <c r="AC49" s="78">
        <v>0.88300000000000001</v>
      </c>
      <c r="AD49" s="78">
        <v>0.85599999999999998</v>
      </c>
      <c r="AE49" s="78">
        <v>0.83199999999999996</v>
      </c>
      <c r="AF49" s="137"/>
      <c r="AG49" s="137"/>
      <c r="AH49" s="30"/>
      <c r="AI49" s="30"/>
      <c r="AJ49" s="128">
        <f t="shared" si="1"/>
        <v>0.82499999999999996</v>
      </c>
      <c r="AK49" s="38"/>
      <c r="AL49" s="120">
        <v>1.65</v>
      </c>
      <c r="AM49" s="44">
        <f t="shared" si="0"/>
        <v>0.83199999999999996</v>
      </c>
      <c r="AN49" s="28">
        <f t="shared" si="2"/>
        <v>0</v>
      </c>
      <c r="AO49" s="106"/>
      <c r="AP49" s="106"/>
      <c r="AQ49" s="102"/>
      <c r="AR49" s="109"/>
      <c r="AS49" s="109"/>
      <c r="AT49" s="102"/>
    </row>
    <row r="50" spans="1:46" s="28" customFormat="1" ht="13.8" x14ac:dyDescent="0.3">
      <c r="A50" s="74"/>
      <c r="B50" s="74"/>
      <c r="C50" s="74"/>
      <c r="D50" s="74"/>
      <c r="E50" s="74"/>
      <c r="F50" s="74"/>
      <c r="G50" s="74"/>
      <c r="H50" s="74"/>
      <c r="I50" s="74"/>
      <c r="J50" s="74"/>
      <c r="K50" s="74"/>
      <c r="L50" s="30"/>
      <c r="M50" s="36"/>
      <c r="N50" s="36"/>
      <c r="O50" s="36"/>
      <c r="P50" s="36"/>
      <c r="Q50" s="38"/>
      <c r="R50" s="27"/>
      <c r="S50" s="27"/>
      <c r="T50" s="27"/>
      <c r="V50" s="121">
        <v>1.7</v>
      </c>
      <c r="W50" s="127">
        <v>1</v>
      </c>
      <c r="X50" s="123">
        <v>0.995</v>
      </c>
      <c r="Y50" s="123">
        <v>0.98</v>
      </c>
      <c r="Z50" s="123">
        <v>0.96699999999999997</v>
      </c>
      <c r="AA50" s="78">
        <v>0.94</v>
      </c>
      <c r="AB50" s="123">
        <v>0.92100000000000004</v>
      </c>
      <c r="AC50" s="78">
        <v>0.88700000000000001</v>
      </c>
      <c r="AD50" s="78">
        <v>0.86</v>
      </c>
      <c r="AE50" s="78"/>
      <c r="AF50" s="137"/>
      <c r="AG50" s="137"/>
      <c r="AH50" s="30"/>
      <c r="AI50" s="30"/>
      <c r="AJ50" s="128">
        <f t="shared" si="1"/>
        <v>0.85</v>
      </c>
      <c r="AK50" s="38"/>
      <c r="AL50" s="121">
        <v>1.7</v>
      </c>
      <c r="AM50" s="44">
        <f t="shared" si="0"/>
        <v>0</v>
      </c>
      <c r="AN50" s="28">
        <f t="shared" si="2"/>
        <v>0</v>
      </c>
      <c r="AO50" s="106"/>
      <c r="AP50" s="106"/>
      <c r="AQ50" s="102"/>
      <c r="AR50" s="109"/>
      <c r="AS50" s="107"/>
      <c r="AT50" s="102"/>
    </row>
    <row r="51" spans="1:46" s="28" customFormat="1" ht="13.8" x14ac:dyDescent="0.3">
      <c r="A51" s="74" t="s">
        <v>101</v>
      </c>
      <c r="B51" s="74"/>
      <c r="C51" s="74"/>
      <c r="D51" s="74"/>
      <c r="E51" s="74"/>
      <c r="F51" s="74"/>
      <c r="G51" s="74"/>
      <c r="H51" s="74"/>
      <c r="I51" s="74"/>
      <c r="J51" s="74"/>
      <c r="K51" s="74"/>
      <c r="L51" s="30"/>
      <c r="M51" s="36"/>
      <c r="N51" s="36"/>
      <c r="O51" s="36"/>
      <c r="P51" s="36"/>
      <c r="Q51" s="38"/>
      <c r="R51" s="27"/>
      <c r="S51" s="27"/>
      <c r="T51" s="27"/>
      <c r="V51" s="120">
        <v>1.75</v>
      </c>
      <c r="W51" s="127">
        <v>1</v>
      </c>
      <c r="X51" s="123">
        <v>0.996</v>
      </c>
      <c r="Y51" s="123">
        <v>0.98</v>
      </c>
      <c r="Z51" s="123">
        <v>0.96899999999999997</v>
      </c>
      <c r="AA51" s="78">
        <v>0.94199999999999995</v>
      </c>
      <c r="AB51" s="123">
        <v>0.92200000000000004</v>
      </c>
      <c r="AC51" s="78">
        <v>0.89100000000000001</v>
      </c>
      <c r="AD51" s="78"/>
      <c r="AE51" s="30"/>
      <c r="AF51" s="30"/>
      <c r="AG51" s="30"/>
      <c r="AH51" s="30"/>
      <c r="AI51" s="30"/>
      <c r="AJ51" s="128">
        <f t="shared" si="1"/>
        <v>0.875</v>
      </c>
      <c r="AK51" s="38"/>
      <c r="AL51" s="120">
        <v>1.75</v>
      </c>
      <c r="AM51" s="44">
        <f t="shared" si="0"/>
        <v>0</v>
      </c>
      <c r="AN51" s="28">
        <f t="shared" si="2"/>
        <v>0</v>
      </c>
      <c r="AO51" s="106"/>
      <c r="AP51" s="106"/>
      <c r="AQ51" s="102"/>
      <c r="AR51" s="109"/>
      <c r="AS51" s="109"/>
      <c r="AT51" s="102"/>
    </row>
    <row r="52" spans="1:46" s="26" customFormat="1" ht="13.8" x14ac:dyDescent="0.3">
      <c r="A52" s="141" t="s">
        <v>80</v>
      </c>
      <c r="B52" s="142">
        <f>AT38</f>
        <v>0.64699929732103634</v>
      </c>
      <c r="L52" s="30"/>
      <c r="M52" s="27"/>
      <c r="N52" s="27"/>
      <c r="O52" s="27"/>
      <c r="P52" s="27"/>
      <c r="Q52" s="27"/>
      <c r="R52" s="27"/>
      <c r="S52" s="27"/>
      <c r="T52" s="27"/>
      <c r="U52" s="30"/>
      <c r="V52" s="121">
        <v>1.8</v>
      </c>
      <c r="W52" s="127">
        <v>1</v>
      </c>
      <c r="X52" s="123">
        <v>0.997</v>
      </c>
      <c r="Y52" s="123">
        <v>0.98</v>
      </c>
      <c r="Z52" s="123">
        <v>0.97099999999999997</v>
      </c>
      <c r="AA52" s="78">
        <v>0.94399999999999995</v>
      </c>
      <c r="AB52" s="123">
        <v>0.92300000000000004</v>
      </c>
      <c r="AC52" s="78">
        <v>0.89500000000000002</v>
      </c>
      <c r="AD52" s="78"/>
      <c r="AE52" s="30"/>
      <c r="AF52" s="30"/>
      <c r="AG52" s="30"/>
      <c r="AH52" s="30"/>
      <c r="AI52" s="30"/>
      <c r="AJ52" s="128">
        <f t="shared" si="1"/>
        <v>0.9</v>
      </c>
      <c r="AK52" s="38"/>
      <c r="AL52" s="121">
        <v>1.8</v>
      </c>
      <c r="AM52" s="44">
        <f t="shared" si="0"/>
        <v>0</v>
      </c>
      <c r="AN52" s="28">
        <f t="shared" si="2"/>
        <v>0</v>
      </c>
      <c r="AO52" s="106"/>
      <c r="AP52" s="106"/>
      <c r="AQ52" s="102"/>
      <c r="AR52" s="102"/>
      <c r="AS52" s="102"/>
      <c r="AT52" s="102"/>
    </row>
    <row r="53" spans="1:46" s="26" customFormat="1" ht="13.8" x14ac:dyDescent="0.3">
      <c r="A53" s="26" t="s">
        <v>102</v>
      </c>
      <c r="F53" s="26" t="s">
        <v>98</v>
      </c>
      <c r="I53" s="26" t="s">
        <v>99</v>
      </c>
      <c r="L53" s="30"/>
      <c r="M53" s="27"/>
      <c r="N53" s="27"/>
      <c r="O53" s="27"/>
      <c r="P53" s="27"/>
      <c r="Q53" s="27"/>
      <c r="R53" s="27"/>
      <c r="S53" s="27"/>
      <c r="T53" s="27"/>
      <c r="U53" s="30"/>
      <c r="V53" s="120">
        <v>1.85</v>
      </c>
      <c r="W53" s="127">
        <v>1</v>
      </c>
      <c r="X53" s="123">
        <v>0.998</v>
      </c>
      <c r="Y53" s="123">
        <v>0.98</v>
      </c>
      <c r="Z53" s="123">
        <v>0.97299999999999998</v>
      </c>
      <c r="AA53" s="78">
        <v>0.94599999999999995</v>
      </c>
      <c r="AB53" s="123">
        <v>0.92400000000000004</v>
      </c>
      <c r="AC53" s="78"/>
      <c r="AD53" s="30"/>
      <c r="AE53" s="30"/>
      <c r="AF53" s="30"/>
      <c r="AG53" s="30"/>
      <c r="AH53" s="30"/>
      <c r="AI53" s="30"/>
      <c r="AJ53" s="128">
        <f t="shared" si="1"/>
        <v>0.92500000000000004</v>
      </c>
      <c r="AK53" s="38"/>
      <c r="AL53" s="120">
        <v>1.85</v>
      </c>
      <c r="AM53" s="44">
        <f t="shared" si="0"/>
        <v>0</v>
      </c>
      <c r="AN53" s="28">
        <f t="shared" si="2"/>
        <v>0</v>
      </c>
    </row>
    <row r="54" spans="1:46" s="26" customFormat="1" ht="13.8" x14ac:dyDescent="0.3">
      <c r="A54" s="141" t="s">
        <v>81</v>
      </c>
      <c r="B54" s="26" t="str">
        <f ca="1">[2]!xlv(B56)</f>
        <v>t₁ / 2 + g + γ × (t₂ / 4)</v>
      </c>
      <c r="F54" s="67" t="s">
        <v>84</v>
      </c>
      <c r="G54" s="26" t="str">
        <f ca="1">[2]!xlv(G56)</f>
        <v>P × b / 2</v>
      </c>
      <c r="I54" s="147" t="s">
        <v>100</v>
      </c>
      <c r="J54" s="26" t="str">
        <f ca="1">[2]!xlv(J56)</f>
        <v>0.25 × π × (D / 2)⁴</v>
      </c>
      <c r="L54" s="30"/>
      <c r="M54" s="27"/>
      <c r="N54" s="27"/>
      <c r="O54" s="27"/>
      <c r="P54" s="27"/>
      <c r="Q54" s="27"/>
      <c r="R54" s="27"/>
      <c r="S54" s="27"/>
      <c r="T54" s="27"/>
      <c r="U54" s="30"/>
      <c r="V54" s="121">
        <v>1.9</v>
      </c>
      <c r="W54" s="127">
        <v>1</v>
      </c>
      <c r="X54" s="123">
        <v>0.999</v>
      </c>
      <c r="Y54" s="123">
        <v>0.98</v>
      </c>
      <c r="Z54" s="123">
        <v>0.97499999999999998</v>
      </c>
      <c r="AA54" s="78">
        <v>0.94799999999999995</v>
      </c>
      <c r="AB54" s="123"/>
      <c r="AC54" s="124"/>
      <c r="AD54" s="30"/>
      <c r="AE54" s="30"/>
      <c r="AF54" s="30"/>
      <c r="AG54" s="30"/>
      <c r="AH54" s="30"/>
      <c r="AI54" s="30"/>
      <c r="AJ54" s="128">
        <f t="shared" si="1"/>
        <v>0.95</v>
      </c>
      <c r="AK54" s="38"/>
      <c r="AL54" s="121">
        <v>1.9</v>
      </c>
      <c r="AM54" s="44">
        <f t="shared" si="0"/>
        <v>0</v>
      </c>
      <c r="AN54" s="28">
        <f t="shared" si="2"/>
        <v>0</v>
      </c>
    </row>
    <row r="55" spans="1:46" s="26" customFormat="1" ht="13.8" x14ac:dyDescent="0.3">
      <c r="A55" s="143" t="s">
        <v>54</v>
      </c>
      <c r="B55" s="26" t="str">
        <f>[2]!xln(B56)</f>
        <v>0.25 / 2 + 0.08 + 0.647 × (0.25 / 4)</v>
      </c>
      <c r="C55" s="5"/>
      <c r="F55" s="143" t="s">
        <v>54</v>
      </c>
      <c r="G55" s="26" t="str">
        <f>[2]!xln(G56)</f>
        <v>1500 × 0.245 / 2</v>
      </c>
      <c r="I55" s="143" t="s">
        <v>54</v>
      </c>
      <c r="J55" s="28" t="str">
        <f>[2]!xln(J56)</f>
        <v>0.25 × π × (0.33 / 2)⁴</v>
      </c>
      <c r="K55" s="28"/>
      <c r="L55" s="30"/>
      <c r="M55" s="27"/>
      <c r="N55" s="27"/>
      <c r="O55" s="27"/>
      <c r="P55" s="27"/>
      <c r="Q55" s="27"/>
      <c r="R55" s="27"/>
      <c r="S55" s="27"/>
      <c r="T55" s="27"/>
      <c r="U55" s="30"/>
      <c r="V55" s="120">
        <v>1.95</v>
      </c>
      <c r="W55" s="127">
        <v>1</v>
      </c>
      <c r="X55" s="123">
        <v>1</v>
      </c>
      <c r="Y55" s="123">
        <v>0.98</v>
      </c>
      <c r="Z55" s="123">
        <v>0.97699999999999998</v>
      </c>
      <c r="AA55" s="78"/>
      <c r="AB55" s="66"/>
      <c r="AC55" s="124"/>
      <c r="AD55" s="50"/>
      <c r="AE55" s="50"/>
      <c r="AF55" s="50"/>
      <c r="AG55" s="50"/>
      <c r="AH55" s="50"/>
      <c r="AI55" s="50"/>
      <c r="AJ55" s="128">
        <f t="shared" si="1"/>
        <v>0.97499999999999998</v>
      </c>
      <c r="AK55" s="129"/>
      <c r="AL55" s="120">
        <v>1.95</v>
      </c>
      <c r="AM55" s="44">
        <f t="shared" si="0"/>
        <v>0</v>
      </c>
      <c r="AN55" s="28">
        <f t="shared" si="2"/>
        <v>0</v>
      </c>
    </row>
    <row r="56" spans="1:46" s="26" customFormat="1" ht="13.8" x14ac:dyDescent="0.3">
      <c r="A56" s="141" t="s">
        <v>81</v>
      </c>
      <c r="B56" s="142">
        <f>G16/2+G18+B52*(G17/4)</f>
        <v>0.24543745608256479</v>
      </c>
      <c r="C56" s="5" t="s">
        <v>52</v>
      </c>
      <c r="F56" s="67" t="s">
        <v>84</v>
      </c>
      <c r="G56" s="70">
        <f>G14*B56/2</f>
        <v>184.0780920619236</v>
      </c>
      <c r="H56" s="97" t="s">
        <v>85</v>
      </c>
      <c r="I56" s="147" t="s">
        <v>100</v>
      </c>
      <c r="J56" s="157">
        <f>0.25*PI()*(G15/2)^4</f>
        <v>5.8213760958404084E-4</v>
      </c>
      <c r="K56" s="146" t="s">
        <v>88</v>
      </c>
      <c r="L56" s="30"/>
      <c r="M56" s="27"/>
      <c r="N56" s="27"/>
      <c r="O56" s="27"/>
      <c r="P56" s="27"/>
      <c r="Q56" s="27"/>
      <c r="R56" s="27"/>
      <c r="S56" s="27"/>
      <c r="T56" s="27"/>
      <c r="U56" s="30"/>
      <c r="V56" s="122">
        <v>2</v>
      </c>
      <c r="W56" s="130">
        <v>1</v>
      </c>
      <c r="X56" s="131">
        <v>1</v>
      </c>
      <c r="Y56" s="131"/>
      <c r="Z56" s="131"/>
      <c r="AA56" s="133"/>
      <c r="AB56" s="132"/>
      <c r="AC56" s="134"/>
      <c r="AD56" s="135"/>
      <c r="AE56" s="135"/>
      <c r="AF56" s="135"/>
      <c r="AG56" s="135"/>
      <c r="AH56" s="135"/>
      <c r="AI56" s="135"/>
      <c r="AJ56" s="166">
        <f t="shared" si="1"/>
        <v>1</v>
      </c>
      <c r="AK56" s="136"/>
      <c r="AL56" s="122">
        <v>2</v>
      </c>
      <c r="AM56" s="44">
        <f t="shared" si="0"/>
        <v>0</v>
      </c>
      <c r="AN56" s="28">
        <f t="shared" si="2"/>
        <v>0</v>
      </c>
    </row>
    <row r="57" spans="1:46" s="26" customFormat="1" ht="13.8" x14ac:dyDescent="0.3">
      <c r="F57" s="39"/>
      <c r="L57" s="30"/>
      <c r="M57" s="27"/>
      <c r="N57" s="27"/>
      <c r="O57" s="27"/>
      <c r="P57" s="27"/>
      <c r="Q57" s="27"/>
      <c r="R57" s="27"/>
      <c r="S57" s="27"/>
      <c r="T57" s="27"/>
      <c r="U57" s="30"/>
      <c r="AD57" s="28"/>
      <c r="AE57" s="28"/>
      <c r="AF57" s="28"/>
      <c r="AG57" s="28"/>
      <c r="AH57" s="28"/>
      <c r="AI57" s="28"/>
      <c r="AJ57" s="28"/>
    </row>
    <row r="58" spans="1:46" s="26" customFormat="1" ht="13.8" x14ac:dyDescent="0.3">
      <c r="A58" s="5"/>
      <c r="B58" s="141" t="s">
        <v>89</v>
      </c>
      <c r="C58" s="26" t="str">
        <f>[2]!xln(C59)</f>
        <v>184 × (0.33 / 2) / (5.82E-04)</v>
      </c>
      <c r="D58" s="28"/>
      <c r="F58" s="39"/>
      <c r="G58" s="5"/>
      <c r="H58" s="64" t="s">
        <v>61</v>
      </c>
      <c r="I58" s="39"/>
      <c r="J58" s="40"/>
      <c r="K58" s="40"/>
      <c r="L58" s="30"/>
      <c r="M58" s="27"/>
      <c r="N58" s="27"/>
      <c r="O58" s="27"/>
      <c r="P58" s="27"/>
      <c r="Q58" s="27"/>
      <c r="R58" s="27"/>
      <c r="S58" s="27"/>
      <c r="T58" s="27"/>
      <c r="U58" s="30"/>
      <c r="V58" s="158">
        <v>0</v>
      </c>
      <c r="W58" s="159">
        <v>0</v>
      </c>
      <c r="X58" s="162" t="s">
        <v>96</v>
      </c>
      <c r="Y58" s="163">
        <f>W59/V59</f>
        <v>0.5</v>
      </c>
      <c r="AD58" s="28"/>
      <c r="AE58" s="28"/>
      <c r="AF58" s="28"/>
      <c r="AG58" s="28"/>
      <c r="AH58" s="28"/>
      <c r="AI58" s="28"/>
      <c r="AJ58" s="28"/>
    </row>
    <row r="59" spans="1:46" s="26" customFormat="1" ht="13.8" x14ac:dyDescent="0.3">
      <c r="A59" s="5"/>
      <c r="C59" s="155">
        <f>G56*(G15/2)/J56</f>
        <v>52174.751622593089</v>
      </c>
      <c r="D59" s="156" t="s">
        <v>55</v>
      </c>
      <c r="F59" s="39"/>
      <c r="G59" s="5"/>
      <c r="H59" s="41"/>
      <c r="I59" s="39"/>
      <c r="J59" s="63" t="str">
        <f>"M.S. = "&amp;[2]!xln(K59)&amp;" = "</f>
        <v xml:space="preserve">M.S. = 210000 / (52175 × 1.15) - 1 = </v>
      </c>
      <c r="K59" s="100">
        <f>G23/(C59*1.15)-1</f>
        <v>2.4999437462218674</v>
      </c>
      <c r="L59" s="30"/>
      <c r="M59" s="27"/>
      <c r="N59" s="27"/>
      <c r="O59" s="27"/>
      <c r="P59" s="27"/>
      <c r="Q59" s="27"/>
      <c r="R59" s="27"/>
      <c r="S59" s="27"/>
      <c r="T59" s="27"/>
      <c r="U59" s="30"/>
      <c r="V59" s="160">
        <v>2</v>
      </c>
      <c r="W59" s="136">
        <v>1</v>
      </c>
      <c r="X59" s="164" t="s">
        <v>97</v>
      </c>
      <c r="Y59" s="165">
        <f>Y58*C28</f>
        <v>0.43917435221783047</v>
      </c>
      <c r="AF59" s="28"/>
      <c r="AG59" s="28"/>
      <c r="AH59" s="28"/>
      <c r="AI59" s="28"/>
      <c r="AJ59" s="28"/>
    </row>
    <row r="60" spans="1:46"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13"/>
      <c r="W60" s="30"/>
      <c r="X60" s="30"/>
      <c r="AD60" s="28"/>
      <c r="AE60" s="28"/>
      <c r="AF60" s="28"/>
      <c r="AG60" s="28"/>
      <c r="AH60" s="28"/>
      <c r="AI60" s="28"/>
      <c r="AJ60" s="28"/>
    </row>
    <row r="61" spans="1:46" s="26" customFormat="1" ht="13.8" x14ac:dyDescent="0.3">
      <c r="A61" s="43"/>
      <c r="B61" s="46"/>
      <c r="C61" s="45"/>
      <c r="D61" s="47"/>
      <c r="E61" s="47"/>
      <c r="F61" s="48" t="s">
        <v>34</v>
      </c>
      <c r="G61" s="45"/>
      <c r="H61" s="47"/>
      <c r="I61" s="47"/>
      <c r="J61" s="47"/>
      <c r="K61" s="43"/>
      <c r="L61" s="30"/>
      <c r="M61" s="27"/>
      <c r="N61" s="27"/>
      <c r="O61" s="27"/>
      <c r="P61" s="27"/>
      <c r="Q61" s="27"/>
      <c r="R61" s="27"/>
      <c r="S61" s="27"/>
      <c r="T61" s="27"/>
      <c r="U61" s="30"/>
      <c r="V61" s="105"/>
      <c r="W61" s="105"/>
      <c r="X61" s="106"/>
      <c r="Y61" s="106"/>
      <c r="Z61" s="102"/>
      <c r="AA61" s="102"/>
      <c r="AB61" s="102"/>
      <c r="AC61" s="102"/>
      <c r="AD61" s="28"/>
      <c r="AE61" s="28"/>
      <c r="AF61" s="28"/>
      <c r="AG61" s="28"/>
      <c r="AH61" s="28"/>
      <c r="AI61" s="28"/>
      <c r="AJ61" s="28"/>
    </row>
    <row r="62" spans="1:46" s="26" customFormat="1" ht="13.8" x14ac:dyDescent="0.3">
      <c r="A62" s="43"/>
      <c r="B62" s="47"/>
      <c r="C62" s="47"/>
      <c r="D62" s="47"/>
      <c r="E62" s="47"/>
      <c r="F62" s="65" t="s">
        <v>103</v>
      </c>
      <c r="G62" s="47"/>
      <c r="H62" s="47"/>
      <c r="I62" s="47"/>
      <c r="J62" s="47"/>
      <c r="K62" s="43"/>
      <c r="L62" s="30"/>
      <c r="M62" s="27"/>
      <c r="N62" s="27"/>
      <c r="O62" s="27"/>
      <c r="P62" s="27"/>
      <c r="Q62" s="27"/>
      <c r="R62" s="27"/>
      <c r="S62" s="27"/>
      <c r="T62" s="27"/>
      <c r="U62" s="30"/>
      <c r="V62" s="110"/>
      <c r="W62" s="110"/>
      <c r="X62" s="111"/>
      <c r="Y62" s="108"/>
      <c r="Z62" s="102"/>
      <c r="AA62" s="102"/>
      <c r="AB62" s="102"/>
      <c r="AC62" s="102"/>
      <c r="AD62" s="28"/>
      <c r="AE62" s="28"/>
      <c r="AF62" s="28"/>
      <c r="AG62" s="28"/>
      <c r="AH62" s="28"/>
      <c r="AI62" s="28"/>
      <c r="AJ62" s="28"/>
    </row>
    <row r="63" spans="1:46" x14ac:dyDescent="0.3">
      <c r="A63" s="26"/>
      <c r="B63" s="26"/>
      <c r="C63" s="26"/>
      <c r="D63" s="26"/>
      <c r="E63" s="26"/>
      <c r="F63" s="26"/>
      <c r="G63" s="26"/>
      <c r="H63" s="26"/>
      <c r="I63" s="26"/>
      <c r="J63" s="26"/>
      <c r="K63" s="26"/>
      <c r="U63" s="26"/>
      <c r="V63" s="105"/>
      <c r="W63" s="105"/>
      <c r="X63" s="106"/>
      <c r="Y63" s="106"/>
      <c r="Z63" s="102"/>
      <c r="AA63" s="102"/>
      <c r="AB63" s="102"/>
      <c r="AC63" s="102"/>
      <c r="AD63" s="28"/>
      <c r="AE63" s="28"/>
      <c r="AF63" s="28"/>
      <c r="AG63" s="28"/>
      <c r="AH63" s="28"/>
      <c r="AI63" s="28"/>
      <c r="AJ63" s="28"/>
    </row>
    <row r="64" spans="1:46" x14ac:dyDescent="0.3">
      <c r="A64" s="26"/>
      <c r="B64" s="26"/>
      <c r="C64" s="26"/>
      <c r="D64" s="26"/>
      <c r="E64" s="26"/>
      <c r="F64" s="26"/>
      <c r="G64" s="26"/>
      <c r="H64" s="26"/>
      <c r="I64" s="26"/>
      <c r="J64" s="26"/>
      <c r="K64" s="26"/>
      <c r="U64" s="26"/>
      <c r="V64" s="30"/>
      <c r="W64" s="30"/>
      <c r="X64" s="30"/>
      <c r="Y64" s="30"/>
      <c r="Z64" s="30"/>
      <c r="AA64" s="30"/>
      <c r="AB64" s="30"/>
      <c r="AC64" s="30"/>
      <c r="AD64" s="28"/>
      <c r="AE64" s="28"/>
      <c r="AF64" s="28"/>
      <c r="AG64" s="28"/>
      <c r="AH64" s="28"/>
      <c r="AI64" s="28"/>
      <c r="AJ64" s="28"/>
    </row>
    <row r="65" spans="1:36"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c r="AJ65" s="26"/>
    </row>
    <row r="66" spans="1:36" s="26" customFormat="1" ht="13.8" x14ac:dyDescent="0.3">
      <c r="M66" s="27"/>
      <c r="N66" s="27"/>
      <c r="O66" s="27"/>
      <c r="P66" s="27"/>
      <c r="Q66" s="27"/>
      <c r="R66" s="27"/>
      <c r="S66" s="27"/>
      <c r="T66" s="27"/>
    </row>
    <row r="67" spans="1:36" s="26" customFormat="1" ht="13.8" x14ac:dyDescent="0.3">
      <c r="M67" s="27"/>
      <c r="N67" s="27"/>
      <c r="O67" s="27"/>
      <c r="P67" s="27"/>
      <c r="Q67" s="27"/>
      <c r="R67" s="27"/>
      <c r="S67" s="27"/>
      <c r="T67" s="27"/>
    </row>
    <row r="68" spans="1:36" s="26" customFormat="1" ht="13.8" x14ac:dyDescent="0.3">
      <c r="M68" s="27"/>
      <c r="N68" s="27"/>
      <c r="O68" s="27"/>
      <c r="P68" s="27"/>
      <c r="Q68" s="27"/>
      <c r="R68" s="27"/>
      <c r="S68" s="27"/>
      <c r="T68" s="27"/>
    </row>
    <row r="69" spans="1:36" s="26" customFormat="1" ht="13.8" x14ac:dyDescent="0.3">
      <c r="M69" s="27"/>
      <c r="N69" s="27"/>
      <c r="O69" s="27"/>
      <c r="P69" s="27"/>
      <c r="Q69" s="27"/>
      <c r="R69" s="27"/>
      <c r="S69" s="27"/>
      <c r="T69" s="27"/>
    </row>
    <row r="70" spans="1:36" s="26" customFormat="1" ht="13.8" x14ac:dyDescent="0.3">
      <c r="M70" s="27"/>
      <c r="N70" s="27"/>
      <c r="O70" s="27"/>
      <c r="P70" s="27"/>
      <c r="Q70" s="27"/>
      <c r="R70" s="27"/>
      <c r="S70" s="27"/>
      <c r="T70" s="27"/>
    </row>
    <row r="71" spans="1:36" s="26" customFormat="1" ht="13.8" x14ac:dyDescent="0.3">
      <c r="M71" s="27"/>
      <c r="N71" s="27"/>
      <c r="O71" s="27"/>
      <c r="P71" s="27"/>
      <c r="Q71" s="27"/>
      <c r="R71" s="27"/>
      <c r="S71" s="27"/>
      <c r="T71" s="27"/>
    </row>
    <row r="72" spans="1:36" s="26" customFormat="1" ht="13.8" x14ac:dyDescent="0.3">
      <c r="M72" s="27"/>
      <c r="N72" s="27"/>
      <c r="O72" s="27"/>
      <c r="P72" s="27"/>
      <c r="Q72" s="27"/>
      <c r="R72" s="27"/>
      <c r="S72" s="27"/>
      <c r="T72" s="27"/>
    </row>
    <row r="73" spans="1:36" s="26" customFormat="1" ht="13.8" x14ac:dyDescent="0.3">
      <c r="M73" s="27"/>
      <c r="N73" s="27"/>
      <c r="O73" s="27"/>
      <c r="P73" s="27"/>
      <c r="Q73" s="27"/>
      <c r="R73" s="27"/>
      <c r="S73" s="27"/>
      <c r="T73" s="27"/>
    </row>
    <row r="74" spans="1:36" s="26" customFormat="1" ht="13.8" x14ac:dyDescent="0.3">
      <c r="M74" s="27"/>
      <c r="N74" s="27"/>
      <c r="O74" s="27"/>
      <c r="P74" s="27"/>
      <c r="Q74" s="27"/>
      <c r="R74" s="27"/>
      <c r="S74" s="27"/>
      <c r="T74" s="27"/>
    </row>
    <row r="75" spans="1:36" s="26" customFormat="1" ht="13.8" x14ac:dyDescent="0.3">
      <c r="M75" s="27"/>
      <c r="N75" s="27"/>
      <c r="O75" s="27"/>
      <c r="P75" s="27"/>
      <c r="Q75" s="27"/>
      <c r="R75" s="27"/>
      <c r="S75" s="27"/>
      <c r="T75" s="27"/>
    </row>
    <row r="76" spans="1:36" s="26" customFormat="1" ht="13.8" x14ac:dyDescent="0.3">
      <c r="M76" s="27"/>
      <c r="N76" s="27"/>
      <c r="O76" s="27"/>
      <c r="P76" s="27"/>
      <c r="Q76" s="27"/>
      <c r="R76" s="27"/>
      <c r="S76" s="27"/>
      <c r="T76" s="27"/>
    </row>
    <row r="77" spans="1:36" s="26" customFormat="1" ht="13.8" x14ac:dyDescent="0.3">
      <c r="M77" s="27"/>
      <c r="N77" s="27"/>
      <c r="O77" s="27"/>
      <c r="P77" s="27"/>
      <c r="Q77" s="27"/>
      <c r="R77" s="27"/>
      <c r="S77" s="27"/>
      <c r="T77" s="27"/>
    </row>
    <row r="78" spans="1:36" s="26" customFormat="1" ht="13.8" x14ac:dyDescent="0.3">
      <c r="M78" s="27"/>
      <c r="N78" s="27"/>
      <c r="O78" s="27"/>
      <c r="P78" s="27"/>
      <c r="Q78" s="27"/>
      <c r="R78" s="27"/>
      <c r="S78" s="27"/>
      <c r="T78" s="27"/>
    </row>
    <row r="79" spans="1:36" s="26" customFormat="1" ht="13.8" x14ac:dyDescent="0.3">
      <c r="M79" s="27"/>
      <c r="N79" s="27"/>
      <c r="O79" s="27"/>
      <c r="P79" s="27"/>
      <c r="Q79" s="27"/>
      <c r="R79" s="27"/>
      <c r="S79" s="27"/>
      <c r="T79" s="27"/>
    </row>
    <row r="80" spans="1:36"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mergeCells count="1">
    <mergeCell ref="D29:H29"/>
  </mergeCells>
  <hyperlinks>
    <hyperlink ref="F62" r:id="rId1"/>
    <hyperlink ref="B13" r:id="rId2"/>
  </hyperlinks>
  <pageMargins left="0.47244094488188981" right="0.23622047244094491" top="0.31496062992125984" bottom="0.98425196850393704" header="0.43307086614173229" footer="0.59055118110236227"/>
  <pageSetup scale="97" orientation="portrait" horizontalDpi="300" r:id="rId3"/>
  <headerFooter alignWithMargins="0">
    <oddFooter>&amp;C&amp;"Arial,Bold"ABBOTT AEROSPACE INC. PROPRIETARY INFORMATION&amp;"Arial,Regular"
Subject to restrictions on the cover or first page</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2016-03-02T20:36:06Z</dcterms:modified>
  <cp:category>Engineering Spreadsheets</cp:category>
</cp:coreProperties>
</file>