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 r:id="rId4"/>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AB30" i="31" l="1"/>
  <c r="X55" i="31"/>
  <c r="X47" i="31"/>
  <c r="W32" i="31" s="1"/>
  <c r="X32" i="31" s="1"/>
  <c r="X31" i="31"/>
  <c r="Y31" i="31" s="1"/>
  <c r="Y30" i="31"/>
  <c r="Z30" i="31" s="1"/>
  <c r="AA30" i="31" l="1"/>
  <c r="AC30" i="31"/>
  <c r="AD30" i="31" s="1"/>
  <c r="Z31" i="31"/>
  <c r="AA31" i="31"/>
  <c r="AB31" i="31"/>
  <c r="W34" i="31"/>
  <c r="X48" i="31" s="1"/>
  <c r="Y55" i="31"/>
  <c r="AA55" i="31" s="1"/>
  <c r="X33" i="31"/>
  <c r="Y32" i="31"/>
  <c r="AB32" i="31" s="1"/>
  <c r="AI46" i="31"/>
  <c r="Y47" i="31"/>
  <c r="AA47" i="31" s="1"/>
  <c r="AE31" i="31" l="1"/>
  <c r="AE30" i="31"/>
  <c r="AF30" i="31" s="1"/>
  <c r="AC32" i="31"/>
  <c r="AD32" i="31" s="1"/>
  <c r="AB55" i="31"/>
  <c r="Z55" i="31"/>
  <c r="Y48" i="31"/>
  <c r="Z48" i="31" s="1"/>
  <c r="AB47" i="31"/>
  <c r="AA32" i="31"/>
  <c r="X49" i="31"/>
  <c r="X50" i="31" s="1"/>
  <c r="AC31" i="31"/>
  <c r="AI47" i="31"/>
  <c r="AH46" i="31"/>
  <c r="Z47" i="31"/>
  <c r="Z32" i="31"/>
  <c r="X34" i="31"/>
  <c r="Y33" i="31"/>
  <c r="AB33" i="31" s="1"/>
  <c r="AF31" i="31" l="1"/>
  <c r="AE32" i="31"/>
  <c r="AF32" i="31" s="1"/>
  <c r="AC33" i="31"/>
  <c r="AB48" i="31"/>
  <c r="AA33" i="31"/>
  <c r="AA48" i="31"/>
  <c r="AD31" i="31"/>
  <c r="AC55" i="31"/>
  <c r="Y49" i="31"/>
  <c r="Z49" i="31" s="1"/>
  <c r="AC47" i="31"/>
  <c r="AD47" i="31" s="1"/>
  <c r="X51" i="31"/>
  <c r="Y50" i="31"/>
  <c r="AB50" i="31" s="1"/>
  <c r="Z33" i="31"/>
  <c r="X35" i="31"/>
  <c r="Y34" i="31"/>
  <c r="Z34" i="31" s="1"/>
  <c r="AE33" i="31" l="1"/>
  <c r="AE47" i="31"/>
  <c r="AF47" i="31" s="1"/>
  <c r="AE55" i="31"/>
  <c r="AF55" i="31" s="1"/>
  <c r="AH47" i="31" s="1"/>
  <c r="AF33" i="31"/>
  <c r="AC50" i="31"/>
  <c r="AD50" i="31" s="1"/>
  <c r="AC48" i="31"/>
  <c r="AD48" i="31" s="1"/>
  <c r="AD55" i="31"/>
  <c r="AB49" i="31"/>
  <c r="AA50" i="31"/>
  <c r="AA49" i="31"/>
  <c r="AA34" i="31"/>
  <c r="AB34" i="31"/>
  <c r="AD33" i="31"/>
  <c r="X52" i="31"/>
  <c r="Y51" i="31"/>
  <c r="AB51" i="31" s="1"/>
  <c r="X36" i="31"/>
  <c r="Y35" i="31"/>
  <c r="Z35" i="31" s="1"/>
  <c r="Z50" i="31"/>
  <c r="AE48" i="31" l="1"/>
  <c r="AE50" i="31"/>
  <c r="AC51" i="31"/>
  <c r="AD51" i="31" s="1"/>
  <c r="AC34" i="31"/>
  <c r="AD34" i="31" s="1"/>
  <c r="AA51" i="31"/>
  <c r="AA35" i="31"/>
  <c r="AB35" i="31"/>
  <c r="AF48" i="31"/>
  <c r="AC49" i="31"/>
  <c r="Z51" i="31"/>
  <c r="X53" i="31"/>
  <c r="Y52" i="31"/>
  <c r="AA52" i="31" s="1"/>
  <c r="X37" i="31"/>
  <c r="Y36" i="31"/>
  <c r="Z36" i="31" s="1"/>
  <c r="C27" i="31"/>
  <c r="C32" i="31" s="1"/>
  <c r="AH27" i="31" s="1"/>
  <c r="AH40" i="31" s="1"/>
  <c r="C31" i="31"/>
  <c r="AE34" i="31" l="1"/>
  <c r="AF34" i="31" s="1"/>
  <c r="AE49" i="31"/>
  <c r="AF49" i="31" s="1"/>
  <c r="AE51" i="31"/>
  <c r="AF51" i="31" s="1"/>
  <c r="AH39" i="31"/>
  <c r="AD49" i="31"/>
  <c r="AB36" i="31"/>
  <c r="AB52" i="31"/>
  <c r="AA36" i="31"/>
  <c r="AC35" i="31"/>
  <c r="AD35" i="31" s="1"/>
  <c r="AF50" i="31"/>
  <c r="Z52" i="31"/>
  <c r="X38" i="31"/>
  <c r="Y37" i="31"/>
  <c r="AB37" i="31" s="1"/>
  <c r="X54" i="31"/>
  <c r="Y53" i="31"/>
  <c r="AB53" i="31" s="1"/>
  <c r="B12" i="31"/>
  <c r="C12" i="36"/>
  <c r="AE35" i="31" l="1"/>
  <c r="AF35" i="31" s="1"/>
  <c r="AC53" i="31"/>
  <c r="AD53" i="31" s="1"/>
  <c r="AC37" i="31"/>
  <c r="AC36" i="31"/>
  <c r="AA53" i="31"/>
  <c r="AC52" i="31"/>
  <c r="AA37" i="31"/>
  <c r="Y54" i="31"/>
  <c r="Z54" i="31" s="1"/>
  <c r="Z53" i="31"/>
  <c r="Z37" i="31"/>
  <c r="X39" i="31"/>
  <c r="Y38" i="31"/>
  <c r="Z38" i="31" s="1"/>
  <c r="F11" i="31"/>
  <c r="L10" i="31"/>
  <c r="F10" i="31"/>
  <c r="J9" i="31"/>
  <c r="F9" i="31"/>
  <c r="J8" i="31"/>
  <c r="F8" i="31"/>
  <c r="X7" i="31"/>
  <c r="X6" i="31"/>
  <c r="X5" i="31"/>
  <c r="X4" i="31"/>
  <c r="X3" i="31"/>
  <c r="X2" i="31"/>
  <c r="X1" i="31"/>
  <c r="G1" i="31" s="1"/>
  <c r="J10" i="31" s="1"/>
  <c r="AE37" i="31" l="1"/>
  <c r="AE36" i="31"/>
  <c r="AF36" i="31" s="1"/>
  <c r="AE52" i="31"/>
  <c r="AF52" i="31" s="1"/>
  <c r="AE53" i="31"/>
  <c r="AF53" i="31" s="1"/>
  <c r="AD36" i="31"/>
  <c r="AD52" i="31"/>
  <c r="AA38" i="31"/>
  <c r="AF37" i="31"/>
  <c r="AB38" i="31"/>
  <c r="AD37" i="31"/>
  <c r="AB54" i="31"/>
  <c r="AA54" i="31"/>
  <c r="Y39" i="31"/>
  <c r="Z39" i="31" s="1"/>
  <c r="X40" i="31"/>
  <c r="AC54" i="31" l="1"/>
  <c r="AD54" i="31" s="1"/>
  <c r="AB39" i="31"/>
  <c r="AA39" i="31"/>
  <c r="AC38" i="31"/>
  <c r="X41" i="31"/>
  <c r="Y40" i="31"/>
  <c r="Z40" i="31" s="1"/>
  <c r="AE38" i="31" l="1"/>
  <c r="AF38" i="31" s="1"/>
  <c r="AE54" i="31"/>
  <c r="AF54" i="31" s="1"/>
  <c r="AD38" i="31"/>
  <c r="AB40" i="31"/>
  <c r="AA40" i="31"/>
  <c r="AC39" i="31"/>
  <c r="AD39" i="31" s="1"/>
  <c r="X42" i="31"/>
  <c r="Y41" i="31"/>
  <c r="AA41" i="31" s="1"/>
  <c r="AE39" i="31" l="1"/>
  <c r="AF39" i="31" s="1"/>
  <c r="AB41" i="31"/>
  <c r="AC40" i="31"/>
  <c r="X43" i="31"/>
  <c r="Y42" i="31"/>
  <c r="AB42" i="31" s="1"/>
  <c r="Z41" i="31"/>
  <c r="AE40" i="31" l="1"/>
  <c r="AF40" i="31" s="1"/>
  <c r="AD40" i="31"/>
  <c r="AC42" i="31"/>
  <c r="AD42" i="31" s="1"/>
  <c r="AA42" i="31"/>
  <c r="AE42" i="31" s="1"/>
  <c r="AC41" i="31"/>
  <c r="AE41" i="31" s="1"/>
  <c r="X44" i="31"/>
  <c r="Y43" i="31"/>
  <c r="AB43" i="31" s="1"/>
  <c r="Z42" i="31"/>
  <c r="AF41" i="31" l="1"/>
  <c r="AF42" i="31"/>
  <c r="AD41" i="31"/>
  <c r="AC43" i="31"/>
  <c r="AD43" i="31" s="1"/>
  <c r="AA43" i="31"/>
  <c r="Z43" i="31"/>
  <c r="X45" i="31"/>
  <c r="Y44" i="31"/>
  <c r="AA44" i="31" s="1"/>
  <c r="AE43" i="31" l="1"/>
  <c r="AF43" i="31" s="1"/>
  <c r="AB44" i="31"/>
  <c r="Z44" i="31"/>
  <c r="X46" i="31"/>
  <c r="Y45" i="31"/>
  <c r="AA45" i="31" s="1"/>
  <c r="AC44" i="31" l="1"/>
  <c r="AE44" i="31"/>
  <c r="AD44" i="31"/>
  <c r="AB45" i="31"/>
  <c r="Y46" i="31"/>
  <c r="AB46" i="31" s="1"/>
  <c r="Z45" i="31"/>
  <c r="AF44" i="31" l="1"/>
  <c r="AC46" i="31"/>
  <c r="AC45" i="31"/>
  <c r="AE45" i="31" s="1"/>
  <c r="AA46" i="31"/>
  <c r="AE46" i="31" s="1"/>
  <c r="Z46" i="31"/>
  <c r="AD45" i="31" l="1"/>
  <c r="AF46" i="31"/>
  <c r="AD46" i="31"/>
  <c r="AF45" i="31"/>
  <c r="AH31" i="31" s="1"/>
  <c r="AH32" i="31" l="1"/>
  <c r="AI31" i="31"/>
  <c r="AH33" i="31"/>
  <c r="AI33" i="31" l="1"/>
  <c r="AI32" i="31"/>
  <c r="AI36" i="31" l="1"/>
  <c r="D56" i="31" s="1"/>
  <c r="K56" i="31" s="1"/>
  <c r="J56" i="31"/>
  <c r="AI40" i="31" l="1"/>
  <c r="AI41" i="31"/>
</calcChain>
</file>

<file path=xl/comments1.xml><?xml version="1.0" encoding="utf-8"?>
<comments xmlns="http://schemas.openxmlformats.org/spreadsheetml/2006/main">
  <authors>
    <author>R Abbott</author>
  </authors>
  <commentList>
    <comment ref="X31" authorId="0" shapeId="0">
      <text>
        <r>
          <rPr>
            <b/>
            <sz val="8"/>
            <color indexed="81"/>
            <rFont val="Tahoma"/>
            <family val="2"/>
          </rPr>
          <t>R Abbott:</t>
        </r>
        <r>
          <rPr>
            <sz val="8"/>
            <color indexed="81"/>
            <rFont val="Tahoma"/>
            <family val="2"/>
          </rPr>
          <t xml:space="preserve">
0.7 * Fcy</t>
        </r>
      </text>
    </comment>
    <comment ref="X47" authorId="0" shapeId="0">
      <text>
        <r>
          <rPr>
            <b/>
            <sz val="8"/>
            <color indexed="81"/>
            <rFont val="Tahoma"/>
            <family val="2"/>
          </rPr>
          <t>R Abbott:</t>
        </r>
        <r>
          <rPr>
            <sz val="8"/>
            <color indexed="81"/>
            <rFont val="Tahoma"/>
            <family val="2"/>
          </rPr>
          <t xml:space="preserve">
Fcy</t>
        </r>
      </text>
    </comment>
    <comment ref="X55"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<sst xmlns="http://schemas.openxmlformats.org/spreadsheetml/2006/main" count="162" uniqueCount="119">
  <si>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</si>
  <si>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</si>
  <si>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</si>
  <si>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</si>
  <si>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</si>
  <si>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</si>
  <si>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</si>
  <si>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</si>
  <si>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</si>
  <si>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</si>
  <si>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</si>
  <si>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</si>
  <si>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</si>
  <si>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</si>
  <si>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</si>
  <si>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</si>
  <si>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</si>
  <si>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</si>
  <si>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</si>
  <si>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</si>
  <si>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</si>
  <si>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</si>
  <si>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</si>
  <si>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</si>
  <si>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</si>
  <si>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</si>
  <si>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</si>
  <si>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</si>
  <si>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</si>
  <si>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</si>
  <si>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</si>
  <si>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</si>
  <si>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</si>
  <si>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</si>
  <si>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</si>
  <si>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</si>
  <si>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</si>
  <si>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</si>
  <si>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</si>
  <si>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</si>
  <si>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</si>
  <si>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</si>
  <si>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</si>
  <si>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</si>
  <si>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</si>
  <si>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</si>
  <si>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</si>
  <si>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</si>
  <si>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</si>
  <si>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</si>
  <si>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</si>
  <si>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p =</t>
  </si>
  <si>
    <t>E =</t>
  </si>
  <si>
    <t>ν =</t>
  </si>
  <si>
    <t>psi</t>
  </si>
  <si>
    <t>η =</t>
  </si>
  <si>
    <t>e =</t>
  </si>
  <si>
    <t>v</t>
  </si>
  <si>
    <r>
      <t>t</t>
    </r>
    <r>
      <rPr>
        <vertAlign val="subscript"/>
        <sz val="10"/>
        <rFont val="Calibri"/>
        <family val="2"/>
        <scheme val="minor"/>
      </rPr>
      <t>s</t>
    </r>
    <r>
      <rPr>
        <sz val="10"/>
        <rFont val="Calibri"/>
        <family val="2"/>
        <scheme val="minor"/>
      </rPr>
      <t xml:space="preserve"> =</t>
    </r>
  </si>
  <si>
    <t>in, Sheet Thickness</t>
  </si>
  <si>
    <t>in, Fastener Pitch</t>
  </si>
  <si>
    <t>psi, Sheet Young's Modulus</t>
  </si>
  <si>
    <t>Poisson's Ratio</t>
  </si>
  <si>
    <t>Plasticity Reduction Factor</t>
  </si>
  <si>
    <t>Cladding Reduction Factor</t>
  </si>
  <si>
    <t>End Fixity Coefficient</t>
  </si>
  <si>
    <t xml:space="preserve">(NACA-TN-3785, 1957) </t>
  </si>
  <si>
    <t>INTER-RIVET BUCKLING</t>
  </si>
  <si>
    <t>Inter-rivet Buckling Stress is given by the following expression</t>
  </si>
  <si>
    <t>Fastener Type =</t>
  </si>
  <si>
    <t>Flathead Rivet</t>
  </si>
  <si>
    <t>Spotweld</t>
  </si>
  <si>
    <t>Brazier Head</t>
  </si>
  <si>
    <t>Countersunk</t>
  </si>
  <si>
    <r>
      <t>σ</t>
    </r>
    <r>
      <rPr>
        <vertAlign val="subscript"/>
        <sz val="10"/>
        <rFont val="Calibri"/>
        <family val="2"/>
        <scheme val="minor"/>
      </rPr>
      <t>i</t>
    </r>
    <r>
      <rPr>
        <sz val="10"/>
        <rFont val="Calibri"/>
        <family val="2"/>
        <scheme val="minor"/>
      </rPr>
      <t xml:space="preserve"> =</t>
    </r>
  </si>
  <si>
    <t>AA-SM-007-080</t>
  </si>
  <si>
    <t>8/7/2016</t>
  </si>
  <si>
    <r>
      <t>F</t>
    </r>
    <r>
      <rPr>
        <vertAlign val="subscript"/>
        <sz val="10"/>
        <rFont val="Calibri"/>
        <family val="2"/>
      </rPr>
      <t>cr</t>
    </r>
    <r>
      <rPr>
        <sz val="10"/>
        <rFont val="Calibri"/>
        <family val="2"/>
      </rPr>
      <t xml:space="preserve"> =</t>
    </r>
  </si>
  <si>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</si>
  <si>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</si>
  <si>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</si>
  <si>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</si>
  <si>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</si>
  <si>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</si>
  <si>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</si>
  <si>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</si>
  <si>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</si>
  <si>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</si>
  <si>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</si>
  <si>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</si>
  <si>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</si>
  <si>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</si>
  <si>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</si>
  <si>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</si>
  <si>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</si>
  <si>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</si>
  <si>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</si>
  <si>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</si>
  <si>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</si>
  <si>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</si>
  <si>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</si>
  <si>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</si>
  <si>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</si>
  <si>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</si>
  <si>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</si>
  <si>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</si>
  <si>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</si>
  <si>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</si>
  <si>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</si>
  <si>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</si>
  <si>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</si>
  <si>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</si>
  <si>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</si>
  <si>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</si>
  <si>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</si>
  <si>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Inter-Rivet Buckling Stress</t>
  </si>
  <si>
    <t>Sheet Stress =</t>
  </si>
  <si>
    <t>The plasticity correction factor for a clamped plate is used, this is conservative for all edge conditions</t>
  </si>
  <si>
    <t>Inter-Rivet Buckling Allowable corrected for Material Plasticity effects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</si>
</sst>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72"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sz val="10"/>
      <color rgb="FF0000CC"/>
      <name val="Calibri"/>
      <family val="2"/>
      <scheme val="minor"/>
    </font>
    <font>
      <vertAlign val="subscript"/>
      <sz val="10"/>
      <name val="Calibri"/>
      <family val="2"/>
      <scheme val="minor"/>
    </font>
    <font>
      <vertAlign val="subscript"/>
      <sz val="10"/>
      <name val="Calibri"/>
      <family val="2"/>
    </font>
    <font>
      <i/>
      <u/>
      <sz val="10"/>
      <color theme="10"/>
      <name val="Calibri"/>
      <family val="2"/>
    </font>
    <font>
      <b/>
      <sz val="8"/>
      <color indexed="81"/>
      <name val="Tahoma"/>
      <family val="2"/>
    </font>
    <font>
      <sz val="8"/>
      <color indexed="81"/>
      <name val="Tahoma"/>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17"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cellStyleXfs>
  <cellXfs count="18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8" fillId="0" borderId="0" xfId="7" applyFont="1" applyBorder="1" applyAlignment="1" applyProtection="1">
      <alignment horizontal="center"/>
    </xf>
    <xf numFmtId="0" fontId="17" fillId="0" borderId="0" xfId="7" applyBorder="1" applyAlignment="1">
      <alignment horizontal="center"/>
    </xf>
    <xf numFmtId="0" fontId="19"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1" fillId="0" borderId="0" xfId="0" applyFont="1" applyAlignment="1">
      <alignment horizontal="right"/>
    </xf>
    <xf numFmtId="0" fontId="21" fillId="0" borderId="0" xfId="2" applyFont="1" applyAlignment="1">
      <alignment horizontal="right"/>
    </xf>
    <xf numFmtId="165" fontId="15" fillId="0" borderId="0" xfId="2" applyNumberFormat="1" applyFont="1" applyAlignment="1">
      <alignment horizontal="right"/>
    </xf>
    <xf numFmtId="165" fontId="21" fillId="0" borderId="0" xfId="2" applyNumberFormat="1" applyFont="1"/>
    <xf numFmtId="0" fontId="15" fillId="0" borderId="0" xfId="0" applyFont="1" applyAlignment="1">
      <alignment horizontal="left"/>
    </xf>
    <xf numFmtId="0" fontId="18" fillId="0" borderId="0" xfId="7" applyFont="1"/>
    <xf numFmtId="165" fontId="3" fillId="0" borderId="0" xfId="2" applyNumberFormat="1" applyFont="1" applyAlignment="1">
      <alignment horizontal="left"/>
    </xf>
    <xf numFmtId="2" fontId="3" fillId="0" borderId="0" xfId="0" applyNumberFormat="1" applyFont="1" applyBorder="1"/>
    <xf numFmtId="0" fontId="21" fillId="0" borderId="0" xfId="0" applyFont="1" applyAlignment="1">
      <alignment horizontal="left"/>
    </xf>
    <xf numFmtId="164" fontId="15" fillId="0" borderId="0" xfId="2" applyNumberFormat="1" applyFont="1" applyAlignment="1">
      <alignment horizontal="left"/>
    </xf>
    <xf numFmtId="165" fontId="3" fillId="0" borderId="0" xfId="0" applyNumberFormat="1" applyFont="1"/>
    <xf numFmtId="0" fontId="3" fillId="0" borderId="0" xfId="8" applyFont="1"/>
    <xf numFmtId="0" fontId="3" fillId="0" borderId="0" xfId="8" applyFont="1" applyAlignment="1">
      <alignment horizontal="right"/>
    </xf>
    <xf numFmtId="0" fontId="5" fillId="0" borderId="0" xfId="8" applyFont="1" applyAlignment="1">
      <alignment horizontal="left"/>
    </xf>
    <xf numFmtId="0" fontId="3" fillId="0" borderId="1" xfId="8" applyFont="1" applyBorder="1" applyAlignment="1">
      <alignment horizontal="center"/>
    </xf>
    <xf numFmtId="0" fontId="3" fillId="0" borderId="4" xfId="8" applyFont="1" applyBorder="1" applyAlignment="1">
      <alignment horizontal="center"/>
    </xf>
    <xf numFmtId="2" fontId="3" fillId="0" borderId="0" xfId="1" applyNumberFormat="1" applyFont="1" applyBorder="1" applyAlignment="1">
      <alignment horizontal="center"/>
    </xf>
    <xf numFmtId="2" fontId="3" fillId="0" borderId="0" xfId="1" applyNumberFormat="1" applyFont="1"/>
    <xf numFmtId="165" fontId="3" fillId="0" borderId="0" xfId="1" applyNumberFormat="1" applyFont="1"/>
    <xf numFmtId="0" fontId="3" fillId="0" borderId="0" xfId="9" applyFont="1"/>
    <xf numFmtId="0" fontId="5" fillId="0" borderId="0" xfId="8" applyFont="1"/>
    <xf numFmtId="0" fontId="5" fillId="0" borderId="0" xfId="8" quotePrefix="1" applyFont="1" applyAlignment="1">
      <alignment vertical="center"/>
    </xf>
    <xf numFmtId="0" fontId="5" fillId="0" borderId="0" xfId="8" applyFont="1" applyAlignment="1">
      <alignment vertical="center"/>
    </xf>
    <xf numFmtId="0" fontId="3" fillId="0" borderId="0" xfId="8" applyFont="1" applyAlignment="1">
      <alignment horizontal="center"/>
    </xf>
    <xf numFmtId="0" fontId="3" fillId="0" borderId="1" xfId="1" applyFont="1" applyBorder="1"/>
    <xf numFmtId="0" fontId="3" fillId="0" borderId="0" xfId="1" applyFont="1" applyBorder="1"/>
    <xf numFmtId="0" fontId="3" fillId="0" borderId="1" xfId="1" applyFont="1" applyBorder="1" applyAlignment="1"/>
    <xf numFmtId="0" fontId="3" fillId="0" borderId="0" xfId="1" applyFont="1" applyBorder="1" applyAlignment="1"/>
    <xf numFmtId="0" fontId="3" fillId="0" borderId="0" xfId="1" applyFont="1" applyBorder="1" applyAlignment="1">
      <alignment horizontal="right"/>
    </xf>
    <xf numFmtId="164" fontId="3" fillId="0" borderId="0" xfId="1" applyNumberFormat="1" applyFont="1" applyBorder="1" applyAlignment="1">
      <alignment horizontal="center"/>
    </xf>
    <xf numFmtId="0" fontId="5" fillId="0" borderId="0" xfId="8" applyFont="1" applyAlignment="1">
      <alignment horizontal="right"/>
    </xf>
    <xf numFmtId="0" fontId="3" fillId="0" borderId="0" xfId="1" applyFont="1" applyProtection="1">
      <protection locked="0"/>
    </xf>
    <xf numFmtId="0" fontId="3" fillId="0" borderId="4" xfId="1" applyFont="1" applyBorder="1"/>
    <xf numFmtId="0" fontId="5" fillId="0" borderId="0" xfId="1" applyFont="1" applyFill="1" applyBorder="1" applyAlignment="1" applyProtection="1">
      <alignment horizontal="right"/>
      <protection locked="0"/>
    </xf>
    <xf numFmtId="0" fontId="5" fillId="0" borderId="0" xfId="1" applyFont="1" applyBorder="1" applyAlignment="1">
      <alignment horizontal="center"/>
    </xf>
    <xf numFmtId="0" fontId="11" fillId="0" borderId="0" xfId="1" applyFont="1" applyAlignment="1">
      <alignment vertical="top"/>
    </xf>
    <xf numFmtId="2" fontId="3" fillId="0" borderId="0" xfId="1" quotePrefix="1" applyNumberFormat="1" applyFont="1"/>
    <xf numFmtId="0" fontId="3" fillId="0" borderId="0" xfId="1" applyFont="1" applyAlignment="1" applyProtection="1">
      <alignment horizontal="right"/>
      <protection locked="0"/>
    </xf>
    <xf numFmtId="0" fontId="3" fillId="0" borderId="0" xfId="1" applyFont="1" applyFill="1" applyAlignment="1" applyProtection="1">
      <alignment horizontal="right"/>
      <protection locked="0"/>
    </xf>
    <xf numFmtId="0" fontId="3" fillId="0" borderId="0" xfId="1" applyFont="1" applyBorder="1" applyAlignment="1" applyProtection="1">
      <alignment horizontal="right"/>
      <protection locked="0"/>
    </xf>
    <xf numFmtId="0" fontId="3" fillId="0" borderId="0" xfId="1" applyFont="1" applyBorder="1" applyProtection="1">
      <protection locked="0"/>
    </xf>
    <xf numFmtId="0" fontId="20" fillId="0" borderId="0" xfId="1" applyFont="1" applyBorder="1" applyProtection="1">
      <protection locked="0"/>
    </xf>
    <xf numFmtId="0" fontId="3" fillId="0" borderId="0" xfId="8" applyFont="1" applyBorder="1" applyAlignment="1" applyProtection="1">
      <alignment vertical="top"/>
      <protection locked="0"/>
    </xf>
    <xf numFmtId="0" fontId="3" fillId="0" borderId="0" xfId="8" applyFont="1" applyBorder="1" applyAlignment="1" applyProtection="1">
      <alignment horizontal="right"/>
      <protection locked="0"/>
    </xf>
    <xf numFmtId="0" fontId="3" fillId="0" borderId="0" xfId="8" applyFont="1" applyBorder="1" applyAlignment="1" applyProtection="1">
      <protection locked="0"/>
    </xf>
    <xf numFmtId="0" fontId="20" fillId="0" borderId="0" xfId="8" applyFont="1" applyBorder="1" applyAlignment="1" applyProtection="1">
      <protection locked="0"/>
    </xf>
    <xf numFmtId="0" fontId="2" fillId="0" borderId="0" xfId="1"/>
    <xf numFmtId="0" fontId="3" fillId="0" borderId="0" xfId="1" applyFont="1" applyBorder="1" applyAlignment="1">
      <alignment horizontal="center"/>
    </xf>
    <xf numFmtId="0" fontId="3" fillId="0" borderId="0" xfId="1" applyFont="1" applyAlignment="1" applyProtection="1">
      <alignment horizontal="center"/>
      <protection locked="0"/>
    </xf>
    <xf numFmtId="1" fontId="5" fillId="0" borderId="0" xfId="1" applyNumberFormat="1" applyFont="1" applyAlignment="1" applyProtection="1">
      <alignment horizontal="right"/>
      <protection locked="0"/>
    </xf>
    <xf numFmtId="2" fontId="5" fillId="0" borderId="0" xfId="1" applyNumberFormat="1" applyFont="1" applyFill="1" applyBorder="1" applyAlignment="1" applyProtection="1">
      <alignment horizontal="center"/>
      <protection locked="0"/>
    </xf>
    <xf numFmtId="0" fontId="5" fillId="0" borderId="0" xfId="1" applyFont="1" applyAlignment="1">
      <alignment horizontal="center"/>
    </xf>
    <xf numFmtId="1" fontId="5" fillId="0" borderId="0" xfId="1" applyNumberFormat="1" applyFont="1" applyBorder="1" applyAlignment="1" applyProtection="1">
      <alignment horizontal="right"/>
      <protection locked="0"/>
    </xf>
    <xf numFmtId="0" fontId="5" fillId="0" borderId="0" xfId="1" applyFont="1" applyBorder="1" applyProtection="1">
      <protection locked="0"/>
    </xf>
    <xf numFmtId="0" fontId="13" fillId="0" borderId="0" xfId="1" applyFont="1" applyAlignment="1">
      <alignment horizontal="center"/>
    </xf>
    <xf numFmtId="0" fontId="24" fillId="0" borderId="0" xfId="4" applyFont="1" applyBorder="1" applyAlignment="1" applyProtection="1">
      <alignment horizontal="center"/>
      <protection locked="0"/>
    </xf>
    <xf numFmtId="0" fontId="11" fillId="0" borderId="0" xfId="1" applyFont="1"/>
    <xf numFmtId="0" fontId="3" fillId="0" borderId="0" xfId="1" applyFont="1" applyBorder="1" applyAlignment="1" applyProtection="1">
      <alignment vertical="top"/>
      <protection locked="0"/>
    </xf>
    <xf numFmtId="164" fontId="3" fillId="0" borderId="0" xfId="1" applyNumberFormat="1" applyFont="1" applyBorder="1" applyAlignment="1" applyProtection="1">
      <alignment horizontal="center"/>
      <protection locked="0"/>
    </xf>
    <xf numFmtId="0" fontId="20" fillId="0" borderId="0" xfId="1" applyFont="1" applyBorder="1" applyAlignment="1" applyProtection="1">
      <alignment horizontal="left"/>
      <protection locked="0"/>
    </xf>
    <xf numFmtId="0" fontId="3" fillId="0" borderId="0" xfId="1" applyFont="1" applyBorder="1" applyAlignment="1" applyProtection="1">
      <alignment horizontal="center"/>
      <protection locked="0"/>
    </xf>
    <xf numFmtId="0" fontId="3" fillId="0" borderId="0" xfId="1" applyFont="1" applyBorder="1" applyAlignment="1" applyProtection="1">
      <protection locked="0"/>
    </xf>
    <xf numFmtId="2" fontId="3" fillId="0" borderId="0" xfId="1" applyNumberFormat="1" applyFont="1" applyBorder="1" applyAlignment="1" applyProtection="1">
      <alignment horizontal="center"/>
      <protection locked="0"/>
    </xf>
    <xf numFmtId="1" fontId="3" fillId="0" borderId="0" xfId="1" applyNumberFormat="1" applyFont="1"/>
    <xf numFmtId="0" fontId="12" fillId="0" borderId="0" xfId="1" applyFont="1" applyBorder="1" applyAlignment="1" applyProtection="1">
      <alignment horizontal="center"/>
      <protection locked="0"/>
    </xf>
    <xf numFmtId="0" fontId="12" fillId="0" borderId="0" xfId="1" applyFont="1" applyBorder="1" applyAlignment="1" applyProtection="1">
      <alignment horizontal="center" shrinkToFit="1"/>
      <protection locked="0"/>
    </xf>
    <xf numFmtId="0" fontId="3" fillId="0" borderId="0" xfId="1" applyFont="1" applyBorder="1" applyAlignment="1" applyProtection="1">
      <alignment horizontal="center" shrinkToFit="1"/>
      <protection locked="0"/>
    </xf>
    <xf numFmtId="1" fontId="3" fillId="0" borderId="0" xfId="1" applyNumberFormat="1" applyFont="1" applyBorder="1" applyAlignment="1" applyProtection="1">
      <alignment horizontal="center"/>
      <protection locked="0"/>
    </xf>
    <xf numFmtId="172" fontId="3" fillId="0" borderId="0" xfId="1" applyNumberFormat="1" applyFont="1" applyBorder="1" applyAlignment="1" applyProtection="1">
      <alignment horizontal="center"/>
      <protection locked="0"/>
    </xf>
    <xf numFmtId="0" fontId="3" fillId="0" borderId="0" xfId="1" applyFont="1" applyAlignment="1">
      <alignment vertical="top"/>
    </xf>
    <xf numFmtId="165" fontId="5" fillId="0" borderId="0" xfId="1" applyNumberFormat="1" applyFont="1" applyBorder="1" applyProtection="1">
      <protection locked="0"/>
    </xf>
    <xf numFmtId="0" fontId="3" fillId="0" borderId="0" xfId="1" applyFont="1" applyFill="1" applyAlignment="1" applyProtection="1">
      <alignment horizontal="left"/>
      <protection locked="0"/>
    </xf>
    <xf numFmtId="0" fontId="3" fillId="0" borderId="0" xfId="1" applyFont="1" applyBorder="1" applyAlignment="1" applyProtection="1">
      <alignment horizontal="left"/>
      <protection locked="0"/>
    </xf>
    <xf numFmtId="166" fontId="3" fillId="0" borderId="0" xfId="1" applyNumberFormat="1" applyFont="1" applyBorder="1" applyAlignment="1">
      <alignment horizontal="center"/>
    </xf>
    <xf numFmtId="172" fontId="5" fillId="0" borderId="0" xfId="1" applyNumberFormat="1" applyFont="1" applyBorder="1" applyAlignment="1" applyProtection="1">
      <alignment horizontal="right"/>
      <protection locked="0"/>
    </xf>
    <xf numFmtId="2" fontId="5" fillId="0" borderId="0" xfId="1" applyNumberFormat="1" applyFont="1" applyBorder="1" applyAlignment="1" applyProtection="1">
      <alignment vertical="top"/>
      <protection locked="0"/>
    </xf>
    <xf numFmtId="0" fontId="3" fillId="0" borderId="0" xfId="8" applyFont="1" applyBorder="1" applyAlignment="1" applyProtection="1">
      <alignment horizontal="left"/>
      <protection locked="0"/>
    </xf>
    <xf numFmtId="1" fontId="20" fillId="0" borderId="0" xfId="8" applyNumberFormat="1" applyFont="1" applyBorder="1" applyAlignment="1" applyProtection="1">
      <protection locked="0"/>
    </xf>
    <xf numFmtId="0" fontId="3" fillId="0" borderId="0" xfId="8" applyFont="1" applyBorder="1" applyAlignment="1" applyProtection="1">
      <alignment horizontal="left" vertical="top" wrapText="1"/>
      <protection locked="0"/>
    </xf>
    <xf numFmtId="0" fontId="3" fillId="0" borderId="0" xfId="8" applyFont="1" applyBorder="1" applyAlignment="1" applyProtection="1">
      <alignment horizontal="left" vertical="top"/>
      <protection locked="0"/>
    </xf>
    <xf numFmtId="0" fontId="5" fillId="0" borderId="0" xfId="1" applyFont="1" applyBorder="1" applyAlignment="1" applyProtection="1">
      <alignment horizontal="center"/>
      <protection locked="0"/>
    </xf>
    <xf numFmtId="0" fontId="21" fillId="0" borderId="0" xfId="0" applyFont="1"/>
  </cellXfs>
  <cellStyles count="11">
    <cellStyle name="Hyperlink" xfId="7" builtinId="8"/>
    <cellStyle name="Hyperlink 2" xfId="4"/>
    <cellStyle name="Normal" xfId="0" builtinId="0"/>
    <cellStyle name="Normal 2" xfId="1"/>
    <cellStyle name="Normal 2 2" xfId="2"/>
    <cellStyle name="Normal 2 2 2" xfId="8"/>
    <cellStyle name="Normal 3" xfId="5"/>
    <cellStyle name="Normal 4" xfId="3"/>
    <cellStyle name="Normal 4 2" xfId="9"/>
    <cellStyle name="Normal 5" xfId="6"/>
    <cellStyle name="Percent 2" xfId="10"/>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Plate Compression Buckling Curve</c:v>
          </c:tx>
          <c:spPr>
            <a:ln w="19050">
              <a:solidFill>
                <a:schemeClr val="tx1"/>
              </a:solidFill>
              <a:prstDash val="solid"/>
            </a:ln>
          </c:spPr>
          <c:marker>
            <c:symbol val="none"/>
          </c:marker>
          <c:xVal>
            <c:numRef>
              <c:f>Analysis!$AF$30:$AF$55</c:f>
              <c:numCache>
                <c:formatCode>0</c:formatCode>
                <c:ptCount val="26"/>
                <c:pt idx="0">
                  <c:v>0</c:v>
                </c:pt>
                <c:pt idx="1">
                  <c:v>37220.050595362489</c:v>
                </c:pt>
                <c:pt idx="2">
                  <c:v>38291.848416520574</c:v>
                </c:pt>
                <c:pt idx="3">
                  <c:v>39409.560134547559</c:v>
                </c:pt>
                <c:pt idx="4">
                  <c:v>40596.973429985934</c:v>
                </c:pt>
                <c:pt idx="5">
                  <c:v>41887.894961273108</c:v>
                </c:pt>
                <c:pt idx="6">
                  <c:v>43328.564272015508</c:v>
                </c:pt>
                <c:pt idx="7">
                  <c:v>44979.166512402837</c:v>
                </c:pt>
                <c:pt idx="8">
                  <c:v>46913.18963595845</c:v>
                </c:pt>
                <c:pt idx="9">
                  <c:v>49213.489675853016</c:v>
                </c:pt>
                <c:pt idx="10">
                  <c:v>51965.387422499691</c:v>
                </c:pt>
                <c:pt idx="11">
                  <c:v>55250.320651080234</c:v>
                </c:pt>
                <c:pt idx="12">
                  <c:v>59147.183622809884</c:v>
                </c:pt>
                <c:pt idx="13">
                  <c:v>63749.195685658553</c:v>
                </c:pt>
                <c:pt idx="14">
                  <c:v>69199.559931328215</c:v>
                </c:pt>
                <c:pt idx="15">
                  <c:v>75741.733550466481</c:v>
                </c:pt>
                <c:pt idx="16">
                  <c:v>83776.170851645205</c:v>
                </c:pt>
                <c:pt idx="17">
                  <c:v>94776.319733741722</c:v>
                </c:pt>
                <c:pt idx="18">
                  <c:v>114545.74400003307</c:v>
                </c:pt>
                <c:pt idx="19">
                  <c:v>144565.11268875399</c:v>
                </c:pt>
                <c:pt idx="20">
                  <c:v>191191.66164686545</c:v>
                </c:pt>
                <c:pt idx="21">
                  <c:v>264278.07804115547</c:v>
                </c:pt>
                <c:pt idx="22">
                  <c:v>378962.89489620371</c:v>
                </c:pt>
                <c:pt idx="23">
                  <c:v>558302.63356927957</c:v>
                </c:pt>
                <c:pt idx="24">
                  <c:v>837107.34503374738</c:v>
                </c:pt>
                <c:pt idx="25">
                  <c:v>1267495.1090712582</c:v>
                </c:pt>
              </c:numCache>
            </c:numRef>
          </c:xVal>
          <c:yVal>
            <c:numRef>
              <c:f>Analysis!$X$30:$X$55</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BCF3-43D5-A285-FDC6657C451C}"/>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BCF3-43D5-A285-FDC6657C451C}"/>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Analysis!$AH$39:$AH$40</c:f>
              <c:numCache>
                <c:formatCode>0</c:formatCode>
                <c:ptCount val="2"/>
                <c:pt idx="0">
                  <c:v>90380.992683968507</c:v>
                </c:pt>
                <c:pt idx="1">
                  <c:v>90380.992683968507</c:v>
                </c:pt>
              </c:numCache>
            </c:numRef>
          </c:xVal>
          <c:yVal>
            <c:numRef>
              <c:f>Analysis!$AI$39:$AI$40</c:f>
              <c:numCache>
                <c:formatCode>General</c:formatCode>
                <c:ptCount val="2"/>
                <c:pt idx="0">
                  <c:v>0</c:v>
                </c:pt>
                <c:pt idx="1">
                  <c:v>52602.927532842659</c:v>
                </c:pt>
              </c:numCache>
            </c:numRef>
          </c:yVal>
          <c:smooth val="0"/>
          <c:extLst>
            <c:ext xmlns:c16="http://schemas.microsoft.com/office/drawing/2014/chart" uri="{C3380CC4-5D6E-409C-BE32-E72D297353CC}">
              <c16:uniqueId val="{00000002-BCF3-43D5-A285-FDC6657C451C}"/>
            </c:ext>
          </c:extLst>
        </c:ser>
        <c:ser>
          <c:idx val="2"/>
          <c:order val="2"/>
          <c:tx>
            <c:v>Simple Fcy Cutoff</c:v>
          </c:tx>
          <c:spPr>
            <a:ln w="19050">
              <a:solidFill>
                <a:schemeClr val="bg1">
                  <a:lumMod val="50000"/>
                </a:schemeClr>
              </a:solidFill>
              <a:prstDash val="dash"/>
            </a:ln>
          </c:spPr>
          <c:marker>
            <c:symbol val="none"/>
          </c:marker>
          <c:xVal>
            <c:numRef>
              <c:f>Analysis!$AH$45:$AH$47</c:f>
              <c:numCache>
                <c:formatCode>0</c:formatCode>
                <c:ptCount val="3"/>
                <c:pt idx="0" formatCode="General">
                  <c:v>0</c:v>
                </c:pt>
                <c:pt idx="1">
                  <c:v>53000</c:v>
                </c:pt>
                <c:pt idx="2">
                  <c:v>1267495.1090712582</c:v>
                </c:pt>
              </c:numCache>
            </c:numRef>
          </c:xVal>
          <c:yVal>
            <c:numRef>
              <c:f>Analysis!$AI$45:$AI$47</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BCF3-43D5-A285-FDC6657C451C}"/>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BCF3-43D5-A285-FDC6657C451C}"/>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Analysis!$AH$40:$AH$41</c:f>
              <c:numCache>
                <c:formatCode>General</c:formatCode>
                <c:ptCount val="2"/>
                <c:pt idx="0" formatCode="0">
                  <c:v>90380.992683968507</c:v>
                </c:pt>
                <c:pt idx="1">
                  <c:v>0</c:v>
                </c:pt>
              </c:numCache>
            </c:numRef>
          </c:xVal>
          <c:yVal>
            <c:numRef>
              <c:f>Analysis!$AI$40:$AI$41</c:f>
              <c:numCache>
                <c:formatCode>General</c:formatCode>
                <c:ptCount val="2"/>
                <c:pt idx="0">
                  <c:v>52602.927532842659</c:v>
                </c:pt>
                <c:pt idx="1">
                  <c:v>52602.927532842659</c:v>
                </c:pt>
              </c:numCache>
            </c:numRef>
          </c:yVal>
          <c:smooth val="0"/>
          <c:extLst>
            <c:ext xmlns:c16="http://schemas.microsoft.com/office/drawing/2014/chart" uri="{C3380CC4-5D6E-409C-BE32-E72D297353CC}">
              <c16:uniqueId val="{00000005-BCF3-43D5-A285-FDC6657C451C}"/>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Inter-Rivet Buckling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Inter-Rivet Buckling Stress (psi)</a:t>
                </a:r>
              </a:p>
            </c:rich>
          </c:tx>
          <c:layout>
            <c:manualLayout>
              <c:xMode val="edge"/>
              <c:yMode val="edge"/>
              <c:x val="1.1668927226193029E-2"/>
              <c:y val="0.121600579938917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58354174658239777"/>
          <c:y val="0.54831933455779747"/>
          <c:w val="0.34564589442035121"/>
          <c:h val="0.28603897897457692"/>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709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24</xdr:col>
      <xdr:colOff>227442</xdr:colOff>
      <xdr:row>14</xdr:row>
      <xdr:rowOff>118971</xdr:rowOff>
    </xdr:from>
    <xdr:to>
      <xdr:col>31</xdr:col>
      <xdr:colOff>218636</xdr:colOff>
      <xdr:row>20</xdr:row>
      <xdr:rowOff>58260</xdr:rowOff>
    </xdr:to>
    <xdr:pic>
      <xdr:nvPicPr>
        <xdr:cNvPr id="6" name="Picture 5"/>
        <xdr:cNvPicPr>
          <a:picLocks noChangeAspect="1"/>
        </xdr:cNvPicPr>
      </xdr:nvPicPr>
      <xdr:blipFill>
        <a:blip xmlns:r="http://schemas.openxmlformats.org/officeDocument/2006/relationships" r:embed="rId5"/>
        <a:stretch>
          <a:fillRect/>
        </a:stretch>
      </xdr:blipFill>
      <xdr:spPr>
        <a:xfrm>
          <a:off x="12223499" y="2579142"/>
          <a:ext cx="4334594" cy="1049632"/>
        </a:xfrm>
        <a:prstGeom prst="rect">
          <a:avLst/>
        </a:prstGeom>
      </xdr:spPr>
    </xdr:pic>
    <xdr:clientData/>
  </xdr:twoCellAnchor>
  <xdr:oneCellAnchor>
    <xdr:from>
      <xdr:col>1</xdr:col>
      <xdr:colOff>494424</xdr:colOff>
      <xdr:row>15</xdr:row>
      <xdr:rowOff>90959</xdr:rowOff>
    </xdr:from>
    <xdr:ext cx="1585947" cy="413831"/>
    <mc:AlternateContent xmlns:mc="http://schemas.openxmlformats.org/markup-compatibility/2006">
      <mc:Choice xmlns:a14="http://schemas.microsoft.com/office/drawing/2010/main" Requires="a14">
        <xdr:sp macro="" textlink="">
          <xdr:nvSpPr>
            <xdr:cNvPr id="7" name="TextBox 6"/>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ea typeface="Cambria Math" panose="02040503050406030204" pitchFamily="18" charset="0"/>
                          </a:rPr>
                          <m:t>𝜎</m:t>
                        </m:r>
                      </m:e>
                      <m:sub>
                        <m:r>
                          <a:rPr lang="en-US" sz="1100" b="0" i="1">
                            <a:latin typeface="Cambria Math" panose="02040503050406030204" pitchFamily="18" charset="0"/>
                          </a:rPr>
                          <m:t>𝑖</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𝑒</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𝜂</m:t>
                        </m:r>
                        <m:r>
                          <a:rPr lang="en-US" sz="1100" b="0" i="1">
                            <a:latin typeface="Cambria Math" panose="02040503050406030204" pitchFamily="18" charset="0"/>
                            <a:ea typeface="Cambria Math" panose="02040503050406030204" pitchFamily="18" charset="0"/>
                          </a:rPr>
                          <m:t>∙</m:t>
                        </m:r>
                        <m:acc>
                          <m:accPr>
                            <m:chr m:val="̅"/>
                            <m:ctrlPr>
                              <a:rPr lang="en-US" sz="1100" b="0" i="1">
                                <a:latin typeface="Cambria Math" panose="02040503050406030204" pitchFamily="18" charset="0"/>
                                <a:ea typeface="Cambria Math" panose="02040503050406030204" pitchFamily="18" charset="0"/>
                              </a:rPr>
                            </m:ctrlPr>
                          </m:accPr>
                          <m:e>
                            <m:r>
                              <a:rPr lang="en-US" sz="1100" b="0" i="1">
                                <a:latin typeface="Cambria Math" panose="02040503050406030204" pitchFamily="18" charset="0"/>
                                <a:ea typeface="Cambria Math" panose="02040503050406030204" pitchFamily="18" charset="0"/>
                              </a:rPr>
                              <m:t>𝜂</m:t>
                            </m:r>
                          </m:e>
                        </m:acc>
                        <m:r>
                          <a:rPr lang="en-US" sz="110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rPr>
                          <m:t>𝐸</m:t>
                        </m:r>
                      </m:num>
                      <m:den>
                        <m:r>
                          <a:rPr lang="en-US" sz="1100" b="0" i="1">
                            <a:latin typeface="Cambria Math" panose="02040503050406030204" pitchFamily="18" charset="0"/>
                          </a:rPr>
                          <m:t>12</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𝜈</m:t>
                                </m:r>
                              </m:e>
                              <m:sup>
                                <m:r>
                                  <a:rPr lang="en-US" sz="1100" b="0" i="1">
                                    <a:latin typeface="Cambria Math" panose="02040503050406030204" pitchFamily="18" charset="0"/>
                                    <a:ea typeface="Cambria Math" panose="02040503050406030204" pitchFamily="18" charset="0"/>
                                  </a:rPr>
                                  <m:t>2</m:t>
                                </m:r>
                              </m:sup>
                            </m:sSup>
                          </m:e>
                        </m:d>
                      </m:den>
                    </m:f>
                    <m:sSup>
                      <m:sSupPr>
                        <m:ctrlPr>
                          <a:rPr lang="en-US" sz="1100" b="0" i="1">
                            <a:latin typeface="Cambria Math" panose="02040503050406030204" pitchFamily="18" charset="0"/>
                          </a:rPr>
                        </m:ctrlPr>
                      </m:sSupPr>
                      <m:e>
                        <m:d>
                          <m:dPr>
                            <m:ctrlPr>
                              <a:rPr lang="en-US" sz="1100" b="0" i="1">
                                <a:solidFill>
                                  <a:schemeClr val="tx1"/>
                                </a:solidFill>
                                <a:effectLst/>
                                <a:latin typeface="+mn-lt"/>
                                <a:ea typeface="+mn-ea"/>
                                <a:cs typeface="+mn-cs"/>
                              </a:rPr>
                            </m:ctrlPr>
                          </m:dPr>
                          <m:e>
                            <m:f>
                              <m:fPr>
                                <m:ctrlPr>
                                  <a:rPr lang="en-US" sz="1100" b="0" i="1">
                                    <a:solidFill>
                                      <a:schemeClr val="tx1"/>
                                    </a:solidFill>
                                    <a:effectLst/>
                                    <a:latin typeface="+mn-lt"/>
                                    <a:ea typeface="+mn-ea"/>
                                    <a:cs typeface="+mn-cs"/>
                                  </a:rPr>
                                </m:ctrlPr>
                              </m:fPr>
                              <m:num>
                                <m:sSub>
                                  <m:sSubPr>
                                    <m:ctrlPr>
                                      <a:rPr lang="en-US" sz="1100" b="0" i="1">
                                        <a:solidFill>
                                          <a:schemeClr val="tx1"/>
                                        </a:solidFill>
                                        <a:effectLst/>
                                        <a:latin typeface="+mn-lt"/>
                                        <a:ea typeface="+mn-ea"/>
                                        <a:cs typeface="+mn-cs"/>
                                      </a:rPr>
                                    </m:ctrlPr>
                                  </m:sSubPr>
                                  <m:e>
                                    <m:r>
                                      <a:rPr lang="en-US" sz="1100" b="0" i="1">
                                        <a:solidFill>
                                          <a:schemeClr val="tx1"/>
                                        </a:solidFill>
                                        <a:effectLst/>
                                        <a:latin typeface="+mn-lt"/>
                                        <a:ea typeface="+mn-ea"/>
                                        <a:cs typeface="+mn-cs"/>
                                      </a:rPr>
                                      <m:t>𝑡</m:t>
                                    </m:r>
                                  </m:e>
                                  <m:sub>
                                    <m:r>
                                      <a:rPr lang="en-US" sz="1100" b="0" i="1">
                                        <a:solidFill>
                                          <a:schemeClr val="tx1"/>
                                        </a:solidFill>
                                        <a:effectLst/>
                                        <a:latin typeface="+mn-lt"/>
                                        <a:ea typeface="+mn-ea"/>
                                        <a:cs typeface="+mn-cs"/>
                                      </a:rPr>
                                      <m:t>𝑠</m:t>
                                    </m:r>
                                  </m:sub>
                                </m:sSub>
                              </m:num>
                              <m:den>
                                <m:r>
                                  <a:rPr lang="en-US" sz="1100" b="0" i="1">
                                    <a:solidFill>
                                      <a:schemeClr val="tx1"/>
                                    </a:solidFill>
                                    <a:effectLst/>
                                    <a:latin typeface="+mn-lt"/>
                                    <a:ea typeface="+mn-ea"/>
                                    <a:cs typeface="+mn-cs"/>
                                  </a:rPr>
                                  <m:t>𝑝</m:t>
                                </m:r>
                              </m:den>
                            </m:f>
                          </m:e>
                        </m:d>
                      </m:e>
                      <m:sup>
                        <m:r>
                          <a:rPr lang="en-US" sz="1100" b="0" i="1">
                            <a:latin typeface="Cambria Math" panose="02040503050406030204" pitchFamily="18" charset="0"/>
                          </a:rPr>
                          <m:t>2</m:t>
                        </m:r>
                      </m:sup>
                    </m:sSup>
                  </m:oMath>
                </m:oMathPara>
              </a14:m>
              <a:endParaRPr lang="en-US" sz="1100"/>
            </a:p>
          </xdr:txBody>
        </xdr:sp>
      </mc:Choice>
      <mc:Fallback>
        <xdr:sp macro="" textlink="">
          <xdr:nvSpPr>
            <xdr:cNvPr id="7" name="TextBox 6"/>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𝜎_</a:t>
              </a:r>
              <a:r>
                <a:rPr lang="en-US" sz="1100" b="0" i="0">
                  <a:latin typeface="Cambria Math" panose="02040503050406030204" pitchFamily="18" charset="0"/>
                </a:rPr>
                <a:t>𝑖=(𝑒</a:t>
              </a:r>
              <a:r>
                <a:rPr lang="en-US" sz="1100" b="0" i="0">
                  <a:latin typeface="Cambria Math" panose="02040503050406030204" pitchFamily="18" charset="0"/>
                  <a:ea typeface="Cambria Math" panose="02040503050406030204" pitchFamily="18" charset="0"/>
                </a:rPr>
                <a:t>∙𝜋^2∙𝜂∙𝜂 ̅</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𝐸)/(12</a:t>
              </a:r>
              <a:r>
                <a:rPr lang="en-US" sz="1100" b="0" i="0">
                  <a:latin typeface="Cambria Math" panose="02040503050406030204" pitchFamily="18" charset="0"/>
                  <a:ea typeface="Cambria Math" panose="02040503050406030204" pitchFamily="18" charset="0"/>
                </a:rPr>
                <a:t>∙(1−𝜈^2 ) ) </a:t>
              </a:r>
              <a:r>
                <a:rPr lang="en-US" sz="1100" b="0" i="0">
                  <a:solidFill>
                    <a:schemeClr val="tx1"/>
                  </a:solidFill>
                  <a:effectLst/>
                  <a:latin typeface="+mn-lt"/>
                  <a:ea typeface="+mn-ea"/>
                  <a:cs typeface="+mn-cs"/>
                </a:rPr>
                <a:t>(𝑡_𝑠/𝑝)</a:t>
              </a:r>
              <a:r>
                <a:rPr lang="en-US" sz="1100" b="0" i="0">
                  <a:solidFill>
                    <a:schemeClr val="tx1"/>
                  </a:solidFill>
                  <a:effectLst/>
                  <a:latin typeface="Cambria Math" panose="02040503050406030204" pitchFamily="18" charset="0"/>
                  <a:ea typeface="+mn-ea"/>
                  <a:cs typeface="+mn-cs"/>
                </a:rPr>
                <a:t>^</a:t>
              </a:r>
              <a:r>
                <a:rPr lang="en-US" sz="1100" b="0" i="0">
                  <a:latin typeface="Cambria Math" panose="02040503050406030204" pitchFamily="18" charset="0"/>
                </a:rPr>
                <a:t>2</a:t>
              </a:r>
              <a:endParaRPr lang="en-US" sz="1100"/>
            </a:p>
          </xdr:txBody>
        </xdr:sp>
      </mc:Fallback>
    </mc:AlternateContent>
    <xdr:clientData/>
  </xdr:oneCellAnchor>
  <xdr:twoCellAnchor>
    <xdr:from>
      <xdr:col>1</xdr:col>
      <xdr:colOff>457202</xdr:colOff>
      <xdr:row>24</xdr:row>
      <xdr:rowOff>52139</xdr:rowOff>
    </xdr:from>
    <xdr:to>
      <xdr:col>1</xdr:col>
      <xdr:colOff>533402</xdr:colOff>
      <xdr:row>24</xdr:row>
      <xdr:rowOff>52139</xdr:rowOff>
    </xdr:to>
    <xdr:cxnSp macro="">
      <xdr:nvCxnSpPr>
        <xdr:cNvPr id="10" name="Straight Connector 9"/>
        <xdr:cNvCxnSpPr/>
      </xdr:nvCxnSpPr>
      <xdr:spPr bwMode="auto">
        <a:xfrm>
          <a:off x="1082844" y="3962402"/>
          <a:ext cx="762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oneCellAnchor>
        <xdr:from>
          <xdr:col>5</xdr:col>
          <xdr:colOff>76200</xdr:colOff>
          <xdr:row>82</xdr:row>
          <xdr:rowOff>152400</xdr:rowOff>
        </xdr:from>
        <xdr:ext cx="22860" cy="0"/>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1</xdr:col>
      <xdr:colOff>0</xdr:colOff>
      <xdr:row>37</xdr:row>
      <xdr:rowOff>116157</xdr:rowOff>
    </xdr:from>
    <xdr:to>
      <xdr:col>10</xdr:col>
      <xdr:colOff>0</xdr:colOff>
      <xdr:row>53</xdr:row>
      <xdr:rowOff>99061</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2</xdr:col>
      <xdr:colOff>359229</xdr:colOff>
      <xdr:row>34</xdr:row>
      <xdr:rowOff>141515</xdr:rowOff>
    </xdr:from>
    <xdr:to>
      <xdr:col>8</xdr:col>
      <xdr:colOff>357052</xdr:colOff>
      <xdr:row>37</xdr:row>
      <xdr:rowOff>156756</xdr:rowOff>
    </xdr:to>
    <xdr:pic>
      <xdr:nvPicPr>
        <xdr:cNvPr id="17" name="Picture 1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1972" y="6346372"/>
          <a:ext cx="3753394" cy="53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SM-007-033%20Buckling%20of%20Flat%20Isotropic%20Flanges%20-%20Plastic%20Compression%20Buckl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lat Plates (2)"/>
    </sheetNames>
    <sheetDataSet>
      <sheetData sheetId="0" refreshError="1"/>
      <sheetData sheetId="1">
        <row r="13">
          <cell r="Y13">
            <v>0.4</v>
          </cell>
          <cell r="Z13">
            <v>6.6694697002792784</v>
          </cell>
          <cell r="AB13">
            <v>2.6666666666666665</v>
          </cell>
          <cell r="AC13">
            <v>0</v>
          </cell>
        </row>
        <row r="14">
          <cell r="Y14">
            <v>0.5</v>
          </cell>
          <cell r="Z14">
            <v>4.4194697002792784</v>
          </cell>
          <cell r="AB14">
            <v>2.6666666666666665</v>
          </cell>
          <cell r="AC14">
            <v>0.56009470027927832</v>
          </cell>
        </row>
        <row r="15">
          <cell r="Y15">
            <v>0.6</v>
          </cell>
          <cell r="Z15">
            <v>3.1972474780570561</v>
          </cell>
          <cell r="AB15">
            <v>0</v>
          </cell>
          <cell r="AC15">
            <v>0.56009470027927832</v>
          </cell>
        </row>
        <row r="16">
          <cell r="Y16">
            <v>0.7</v>
          </cell>
          <cell r="Z16">
            <v>2.4602860268098903</v>
          </cell>
        </row>
        <row r="17">
          <cell r="Y17">
            <v>0.8</v>
          </cell>
          <cell r="Z17">
            <v>1.9819697002792784</v>
          </cell>
        </row>
        <row r="18">
          <cell r="Y18">
            <v>0.9</v>
          </cell>
          <cell r="Z18">
            <v>1.6540376015138463</v>
          </cell>
        </row>
        <row r="19">
          <cell r="Y19">
            <v>1</v>
          </cell>
          <cell r="Z19">
            <v>1.4194697002792782</v>
          </cell>
        </row>
        <row r="20">
          <cell r="Y20">
            <v>1.1000000000000001</v>
          </cell>
          <cell r="Z20">
            <v>1.2459159812710137</v>
          </cell>
        </row>
        <row r="21">
          <cell r="Y21">
            <v>1.2</v>
          </cell>
          <cell r="Z21">
            <v>1.1139141447237229</v>
          </cell>
        </row>
        <row r="22">
          <cell r="Y22">
            <v>1.3</v>
          </cell>
          <cell r="Z22">
            <v>1.0111856766106393</v>
          </cell>
        </row>
        <row r="23">
          <cell r="Y23">
            <v>1.4</v>
          </cell>
          <cell r="Z23">
            <v>0.92967378191193129</v>
          </cell>
        </row>
        <row r="24">
          <cell r="Y24">
            <v>1.5</v>
          </cell>
          <cell r="Z24">
            <v>0.86391414472372274</v>
          </cell>
        </row>
        <row r="25">
          <cell r="Y25">
            <v>1.6</v>
          </cell>
          <cell r="Z25">
            <v>0.81009470027927832</v>
          </cell>
          <cell r="AC25">
            <v>0.5</v>
          </cell>
          <cell r="AE25">
            <v>1</v>
          </cell>
        </row>
        <row r="26">
          <cell r="Y26">
            <v>1.7</v>
          </cell>
          <cell r="Z26">
            <v>0.76549046152495304</v>
          </cell>
          <cell r="AC26">
            <v>1</v>
          </cell>
          <cell r="AE26">
            <v>1.06</v>
          </cell>
        </row>
        <row r="27">
          <cell r="Y27">
            <v>1.8</v>
          </cell>
          <cell r="Z27">
            <v>0.72811167558792034</v>
          </cell>
          <cell r="AC27">
            <v>2</v>
          </cell>
          <cell r="AE27">
            <v>1.1399999999999999</v>
          </cell>
        </row>
        <row r="28">
          <cell r="Y28">
            <v>1.9</v>
          </cell>
          <cell r="Z28">
            <v>0.69647801052858582</v>
          </cell>
          <cell r="AC28">
            <v>3</v>
          </cell>
          <cell r="AE28">
            <v>1.2</v>
          </cell>
          <cell r="AI28">
            <v>6.0689393580200077</v>
          </cell>
          <cell r="AJ28">
            <v>0</v>
          </cell>
        </row>
        <row r="29">
          <cell r="Y29">
            <v>2</v>
          </cell>
          <cell r="Z29">
            <v>0.66946970027927843</v>
          </cell>
          <cell r="AC29">
            <v>4</v>
          </cell>
          <cell r="AE29">
            <v>1.26</v>
          </cell>
          <cell r="AI29">
            <v>6.0689393580200077</v>
          </cell>
          <cell r="AJ29">
            <v>1.3524128775307003</v>
          </cell>
        </row>
        <row r="30">
          <cell r="Y30">
            <v>2.1</v>
          </cell>
          <cell r="Z30">
            <v>0.64622706989379075</v>
          </cell>
          <cell r="AC30">
            <v>6</v>
          </cell>
          <cell r="AE30">
            <v>1.35</v>
          </cell>
          <cell r="AI30">
            <v>0.1</v>
          </cell>
          <cell r="AJ30">
            <v>1.3524128775307003</v>
          </cell>
        </row>
        <row r="31">
          <cell r="Y31">
            <v>2.2000000000000002</v>
          </cell>
          <cell r="Z31">
            <v>0.62608127052721219</v>
          </cell>
          <cell r="AC31">
            <v>8</v>
          </cell>
          <cell r="AE31">
            <v>1.42</v>
          </cell>
        </row>
        <row r="32">
          <cell r="Y32">
            <v>2.2999999999999998</v>
          </cell>
          <cell r="Z32">
            <v>0.60850561710347495</v>
          </cell>
          <cell r="AC32">
            <v>10</v>
          </cell>
          <cell r="AE32">
            <v>1.5</v>
          </cell>
        </row>
        <row r="33">
          <cell r="Y33">
            <v>2.4</v>
          </cell>
          <cell r="Z33">
            <v>0.59308081139038948</v>
          </cell>
          <cell r="AC33">
            <v>12</v>
          </cell>
          <cell r="AE33">
            <v>1.56</v>
          </cell>
        </row>
        <row r="34">
          <cell r="Y34">
            <v>2.5</v>
          </cell>
          <cell r="Z34">
            <v>0.57946970027927835</v>
          </cell>
          <cell r="AC34">
            <v>16</v>
          </cell>
          <cell r="AE34">
            <v>1.64</v>
          </cell>
        </row>
        <row r="35">
          <cell r="Y35">
            <v>2.6</v>
          </cell>
          <cell r="Z35">
            <v>0.56739869436211854</v>
          </cell>
          <cell r="AC35">
            <v>20</v>
          </cell>
          <cell r="AE35">
            <v>1.72</v>
          </cell>
        </row>
        <row r="36">
          <cell r="Y36">
            <v>2.7</v>
          </cell>
          <cell r="Z36">
            <v>0.55664391152756365</v>
          </cell>
          <cell r="AC36">
            <v>30</v>
          </cell>
          <cell r="AE36">
            <v>1.86</v>
          </cell>
        </row>
        <row r="37">
          <cell r="Y37">
            <v>2.8</v>
          </cell>
          <cell r="Z37">
            <v>0.54702072068744156</v>
          </cell>
          <cell r="AC37">
            <v>40</v>
          </cell>
          <cell r="AE37">
            <v>1.96</v>
          </cell>
        </row>
        <row r="38">
          <cell r="Y38">
            <v>2.9</v>
          </cell>
          <cell r="Z38">
            <v>0.53837576448855307</v>
          </cell>
          <cell r="AC38">
            <v>70</v>
          </cell>
          <cell r="AE38">
            <v>2.14</v>
          </cell>
        </row>
        <row r="39">
          <cell r="Y39">
            <v>3</v>
          </cell>
          <cell r="Z39">
            <v>0.53058081139038948</v>
          </cell>
          <cell r="AC39">
            <v>100</v>
          </cell>
          <cell r="AE39">
            <v>2.2400000000000002</v>
          </cell>
        </row>
        <row r="40">
          <cell r="Y40">
            <v>3.1</v>
          </cell>
          <cell r="Z40">
            <v>0.52352797291195263</v>
          </cell>
          <cell r="AC40">
            <v>200</v>
          </cell>
          <cell r="AE40">
            <v>2.4</v>
          </cell>
        </row>
        <row r="41">
          <cell r="Y41">
            <v>3.2</v>
          </cell>
          <cell r="Z41">
            <v>0.51712595027927832</v>
          </cell>
          <cell r="AC41">
            <v>500</v>
          </cell>
          <cell r="AE41">
            <v>2.5</v>
          </cell>
        </row>
        <row r="42">
          <cell r="Y42">
            <v>3.3</v>
          </cell>
          <cell r="Z42">
            <v>0.51129706483391568</v>
          </cell>
        </row>
        <row r="43">
          <cell r="Y43">
            <v>3.4</v>
          </cell>
          <cell r="Z43">
            <v>0.505974890590697</v>
          </cell>
        </row>
        <row r="44">
          <cell r="Y44">
            <v>3.5</v>
          </cell>
          <cell r="Z44">
            <v>0.50110235334050279</v>
          </cell>
        </row>
        <row r="45">
          <cell r="Y45">
            <v>3.6</v>
          </cell>
          <cell r="Z45">
            <v>0.49663019410643883</v>
          </cell>
        </row>
        <row r="46">
          <cell r="Y46">
            <v>3.7</v>
          </cell>
          <cell r="Z46">
            <v>0.49251571927124327</v>
          </cell>
        </row>
        <row r="47">
          <cell r="Y47">
            <v>3.8</v>
          </cell>
          <cell r="Z47">
            <v>0.4887217778416052</v>
          </cell>
        </row>
        <row r="48">
          <cell r="Y48">
            <v>3.9</v>
          </cell>
          <cell r="Z48">
            <v>0.4852159198716518</v>
          </cell>
        </row>
        <row r="49">
          <cell r="Y49">
            <v>4</v>
          </cell>
          <cell r="Z49">
            <v>0.48196970027927832</v>
          </cell>
        </row>
        <row r="50">
          <cell r="Y50">
            <v>4.2</v>
          </cell>
          <cell r="Z50">
            <v>0.47615904268290649</v>
          </cell>
        </row>
        <row r="51">
          <cell r="Y51">
            <v>4.4000000000000004</v>
          </cell>
          <cell r="Z51">
            <v>0.47112259284126179</v>
          </cell>
        </row>
        <row r="52">
          <cell r="Y52">
            <v>4.5999999999999996</v>
          </cell>
          <cell r="Z52">
            <v>0.46672867948532754</v>
          </cell>
        </row>
        <row r="53">
          <cell r="Y53">
            <v>4.8</v>
          </cell>
          <cell r="Z53">
            <v>0.46287247805705617</v>
          </cell>
        </row>
        <row r="54">
          <cell r="Y54">
            <v>5</v>
          </cell>
          <cell r="Z54">
            <v>0.4594697002792783</v>
          </cell>
        </row>
        <row r="55">
          <cell r="Y55">
            <v>5.2</v>
          </cell>
          <cell r="Z55">
            <v>0.45645194879998841</v>
          </cell>
        </row>
        <row r="56">
          <cell r="Y56">
            <v>5.4</v>
          </cell>
          <cell r="Z56">
            <v>0.45376325309134968</v>
          </cell>
        </row>
        <row r="57">
          <cell r="Y57">
            <v>5.6</v>
          </cell>
          <cell r="Z57">
            <v>0.45135745538131916</v>
          </cell>
        </row>
        <row r="58">
          <cell r="Y58">
            <v>6</v>
          </cell>
          <cell r="Z58">
            <v>0.44724747805705617</v>
          </cell>
        </row>
        <row r="78">
          <cell r="X78">
            <v>0</v>
          </cell>
          <cell r="AF78">
            <v>0</v>
          </cell>
        </row>
        <row r="79">
          <cell r="X79">
            <v>37100</v>
          </cell>
          <cell r="AF79">
            <v>37229.837669566296</v>
          </cell>
        </row>
        <row r="80">
          <cell r="X80">
            <v>38093.75</v>
          </cell>
          <cell r="AF80">
            <v>38307.950096871587</v>
          </cell>
        </row>
        <row r="81">
          <cell r="X81">
            <v>39087.5</v>
          </cell>
          <cell r="AF81">
            <v>39435.633973981399</v>
          </cell>
        </row>
        <row r="82">
          <cell r="X82">
            <v>40081.25</v>
          </cell>
          <cell r="AF82">
            <v>40638.50178865542</v>
          </cell>
        </row>
        <row r="83">
          <cell r="X83">
            <v>41075</v>
          </cell>
          <cell r="AF83">
            <v>41952.87009335684</v>
          </cell>
        </row>
        <row r="84">
          <cell r="X84">
            <v>42068.75</v>
          </cell>
          <cell r="AF84">
            <v>43428.244763579438</v>
          </cell>
        </row>
        <row r="85">
          <cell r="X85">
            <v>43062.5</v>
          </cell>
          <cell r="AF85">
            <v>45128.752118357705</v>
          </cell>
        </row>
        <row r="86">
          <cell r="X86">
            <v>44056.25</v>
          </cell>
          <cell r="AF86">
            <v>47132.165667675654</v>
          </cell>
        </row>
        <row r="87">
          <cell r="X87">
            <v>45050</v>
          </cell>
          <cell r="AF87">
            <v>49525.385210029912</v>
          </cell>
          <cell r="AH87">
            <v>32164.414829030375</v>
          </cell>
          <cell r="AI87">
            <v>0</v>
          </cell>
        </row>
        <row r="88">
          <cell r="X88">
            <v>46043.75</v>
          </cell>
          <cell r="AF88">
            <v>52396.920424433672</v>
          </cell>
          <cell r="AH88">
            <v>32164.414829030375</v>
          </cell>
          <cell r="AI88">
            <v>32052.242632594003</v>
          </cell>
        </row>
        <row r="89">
          <cell r="X89">
            <v>47037.5</v>
          </cell>
          <cell r="AF89">
            <v>55830.437905879771</v>
          </cell>
          <cell r="AH89">
            <v>0</v>
          </cell>
          <cell r="AI89">
            <v>32052.242632594003</v>
          </cell>
        </row>
        <row r="90">
          <cell r="X90">
            <v>48031.25</v>
          </cell>
          <cell r="AF90">
            <v>59907.135423662563</v>
          </cell>
        </row>
        <row r="91">
          <cell r="X91">
            <v>49025</v>
          </cell>
          <cell r="AF91">
            <v>64725.036725692808</v>
          </cell>
        </row>
        <row r="92">
          <cell r="X92">
            <v>50018.75</v>
          </cell>
          <cell r="AF92">
            <v>70438.025826315614</v>
          </cell>
        </row>
        <row r="93">
          <cell r="X93">
            <v>51012.5</v>
          </cell>
          <cell r="AF93">
            <v>77309.612951141287</v>
          </cell>
          <cell r="AH93">
            <v>0</v>
          </cell>
          <cell r="AI93">
            <v>0</v>
          </cell>
        </row>
        <row r="94">
          <cell r="X94">
            <v>52006.25</v>
          </cell>
          <cell r="AF94">
            <v>85772.81315538942</v>
          </cell>
          <cell r="AH94">
            <v>53000</v>
          </cell>
          <cell r="AI94">
            <v>53000</v>
          </cell>
        </row>
        <row r="95">
          <cell r="X95">
            <v>53000</v>
          </cell>
          <cell r="AF95">
            <v>97397.678488220306</v>
          </cell>
          <cell r="AH95">
            <v>1353831.3127986884</v>
          </cell>
          <cell r="AI95">
            <v>53000</v>
          </cell>
        </row>
        <row r="96">
          <cell r="X96">
            <v>54250</v>
          </cell>
          <cell r="AF96">
            <v>118388.27523941857</v>
          </cell>
        </row>
        <row r="97">
          <cell r="X97">
            <v>55500</v>
          </cell>
          <cell r="AF97">
            <v>150376.66310458316</v>
          </cell>
        </row>
        <row r="98">
          <cell r="X98">
            <v>56750</v>
          </cell>
          <cell r="AF98">
            <v>200187.19983728896</v>
          </cell>
        </row>
        <row r="99">
          <cell r="X99">
            <v>58000</v>
          </cell>
          <cell r="AF99">
            <v>278393.09065919271</v>
          </cell>
        </row>
        <row r="100">
          <cell r="X100">
            <v>59250</v>
          </cell>
          <cell r="AF100">
            <v>401234.59832852945</v>
          </cell>
        </row>
        <row r="101">
          <cell r="X101">
            <v>60500</v>
          </cell>
          <cell r="AF101">
            <v>593440.6745729706</v>
          </cell>
        </row>
        <row r="102">
          <cell r="X102">
            <v>61750</v>
          </cell>
          <cell r="AF102">
            <v>892342.60452646972</v>
          </cell>
        </row>
        <row r="103">
          <cell r="X103">
            <v>63000</v>
          </cell>
          <cell r="AF103">
            <v>1353831.3127986884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naca-tn-3785-handbook-of-structural-stability-part-v-compressive-strength-of-flat-stiffened-panel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1" customWidth="1"/>
    <col min="18" max="19" width="5.33203125" style="62" customWidth="1"/>
    <col min="20" max="25" width="9.109375" style="64"/>
    <col min="26" max="16384" width="9.109375" style="20"/>
  </cols>
  <sheetData>
    <row r="1" spans="1:25" s="5" customFormat="1" ht="13.8" x14ac:dyDescent="0.3">
      <c r="A1" s="1"/>
      <c r="B1" s="2" t="s">
        <v>1</v>
      </c>
      <c r="C1" s="3" t="s">
        <v>0</v>
      </c>
      <c r="D1" s="1"/>
      <c r="E1" s="1"/>
      <c r="F1" s="2" t="s">
        <v>11</v>
      </c>
      <c r="G1" s="4"/>
      <c r="H1" s="1"/>
      <c r="I1" s="1"/>
      <c r="J1" s="1"/>
      <c r="K1" s="1"/>
      <c r="M1" s="57"/>
      <c r="N1" s="57"/>
      <c r="O1" s="57"/>
      <c r="P1" s="57"/>
      <c r="Q1" s="57"/>
      <c r="R1" s="57"/>
      <c r="S1" s="57"/>
      <c r="T1" s="58"/>
      <c r="U1" s="58"/>
      <c r="V1" s="58"/>
      <c r="W1" s="59"/>
      <c r="X1" s="60"/>
      <c r="Y1" s="58"/>
    </row>
    <row r="2" spans="1:25" s="5" customFormat="1" ht="13.8" x14ac:dyDescent="0.3">
      <c r="A2" s="1"/>
      <c r="B2" s="2" t="s">
        <v>2</v>
      </c>
      <c r="C2" s="3" t="s">
        <v>10</v>
      </c>
      <c r="D2" s="1"/>
      <c r="E2" s="1"/>
      <c r="F2" s="2" t="s">
        <v>5</v>
      </c>
      <c r="G2" s="3"/>
      <c r="H2" s="1"/>
      <c r="I2" s="1"/>
      <c r="J2" s="1"/>
      <c r="K2" s="1"/>
      <c r="M2" s="57"/>
      <c r="N2" s="57"/>
      <c r="O2" s="57"/>
      <c r="P2" s="57"/>
      <c r="Q2" s="57"/>
      <c r="R2" s="57"/>
      <c r="S2" s="57"/>
      <c r="T2" s="58"/>
      <c r="U2" s="58"/>
      <c r="V2" s="58"/>
      <c r="W2" s="59"/>
      <c r="X2" s="60"/>
      <c r="Y2" s="58"/>
    </row>
    <row r="3" spans="1:25" s="5" customFormat="1" ht="13.8" x14ac:dyDescent="0.3">
      <c r="A3" s="1"/>
      <c r="B3" s="2" t="s">
        <v>3</v>
      </c>
      <c r="C3" s="10"/>
      <c r="D3" s="1"/>
      <c r="E3" s="1"/>
      <c r="F3" s="2" t="s">
        <v>4</v>
      </c>
      <c r="G3" s="3"/>
      <c r="H3" s="1"/>
      <c r="I3" s="1"/>
      <c r="J3" s="1"/>
      <c r="K3" s="1"/>
      <c r="M3" s="57"/>
      <c r="N3" s="57"/>
      <c r="O3" s="57"/>
      <c r="P3" s="57"/>
      <c r="Q3" s="57"/>
      <c r="R3" s="57"/>
      <c r="S3" s="57"/>
      <c r="T3" s="58"/>
      <c r="U3" s="58"/>
      <c r="V3" s="58"/>
      <c r="W3" s="59"/>
      <c r="X3" s="60"/>
      <c r="Y3" s="58"/>
    </row>
    <row r="4" spans="1:25" s="5" customFormat="1" ht="13.8" x14ac:dyDescent="0.3">
      <c r="A4" s="1"/>
      <c r="B4" s="2" t="s">
        <v>23</v>
      </c>
      <c r="C4" s="4"/>
      <c r="D4" s="1"/>
      <c r="E4" s="1"/>
      <c r="F4" s="2" t="s">
        <v>24</v>
      </c>
      <c r="G4" s="3" t="s">
        <v>25</v>
      </c>
      <c r="H4" s="1"/>
      <c r="I4" s="1"/>
      <c r="J4" s="1"/>
      <c r="K4" s="1"/>
      <c r="M4" s="57"/>
      <c r="N4" s="57"/>
      <c r="O4" s="57"/>
      <c r="P4" s="57"/>
      <c r="Q4" s="61"/>
      <c r="R4" s="62"/>
      <c r="S4" s="62"/>
      <c r="T4" s="58"/>
      <c r="U4" s="58"/>
      <c r="V4" s="58"/>
      <c r="W4" s="59"/>
      <c r="X4" s="60"/>
      <c r="Y4" s="58"/>
    </row>
    <row r="5" spans="1:25" s="5" customFormat="1" ht="13.8" x14ac:dyDescent="0.3">
      <c r="A5" s="1"/>
      <c r="B5" s="2" t="s">
        <v>26</v>
      </c>
      <c r="C5" s="4"/>
      <c r="D5" s="1"/>
      <c r="E5" s="2"/>
      <c r="F5" s="1"/>
      <c r="G5" s="1"/>
      <c r="H5" s="1"/>
      <c r="I5" s="1"/>
      <c r="J5" s="1"/>
      <c r="K5" s="1"/>
      <c r="M5" s="57"/>
      <c r="N5" s="57"/>
      <c r="O5" s="57"/>
      <c r="P5" s="57"/>
      <c r="Q5" s="61"/>
      <c r="R5" s="62"/>
      <c r="S5" s="62"/>
      <c r="T5" s="58"/>
      <c r="U5" s="58"/>
      <c r="V5" s="58"/>
      <c r="W5" s="59"/>
      <c r="X5" s="60"/>
      <c r="Y5" s="58"/>
    </row>
    <row r="6" spans="1:25" s="5" customFormat="1" ht="13.8" x14ac:dyDescent="0.3">
      <c r="A6" s="1"/>
      <c r="B6" s="1" t="s">
        <v>7</v>
      </c>
      <c r="C6" s="13"/>
      <c r="D6" s="1"/>
      <c r="E6" s="1"/>
      <c r="F6" s="1"/>
      <c r="G6" s="1"/>
      <c r="H6" s="1"/>
      <c r="I6" s="1"/>
      <c r="J6" s="1"/>
      <c r="K6" s="1"/>
      <c r="M6" s="57"/>
      <c r="N6" s="57"/>
      <c r="O6" s="57"/>
      <c r="P6" s="57"/>
      <c r="Q6" s="61"/>
      <c r="R6" s="62"/>
      <c r="S6" s="62"/>
      <c r="T6" s="58"/>
      <c r="U6" s="58"/>
      <c r="V6" s="58"/>
      <c r="W6" s="59"/>
      <c r="X6" s="60"/>
      <c r="Y6" s="58"/>
    </row>
    <row r="7" spans="1:25" s="5" customFormat="1" ht="13.8" x14ac:dyDescent="0.3">
      <c r="A7" s="1"/>
      <c r="B7" s="1"/>
      <c r="C7" s="1"/>
      <c r="D7" s="1"/>
      <c r="E7" s="1"/>
      <c r="F7" s="1"/>
      <c r="G7" s="1"/>
      <c r="H7" s="1"/>
      <c r="I7" s="1"/>
      <c r="J7" s="1"/>
      <c r="K7" s="1"/>
      <c r="M7" s="57"/>
      <c r="N7" s="57"/>
      <c r="O7" s="57"/>
      <c r="P7" s="57"/>
      <c r="Q7" s="61"/>
      <c r="R7" s="62"/>
      <c r="S7" s="62"/>
      <c r="T7" s="58"/>
      <c r="U7" s="58"/>
      <c r="V7" s="58"/>
      <c r="W7" s="59"/>
      <c r="X7" s="60"/>
      <c r="Y7" s="58"/>
    </row>
    <row r="8" spans="1:25" s="5" customFormat="1" ht="13.8" x14ac:dyDescent="0.3">
      <c r="A8" s="14"/>
      <c r="E8" s="7"/>
      <c r="F8" s="8"/>
      <c r="H8" s="15"/>
      <c r="I8" s="7"/>
      <c r="J8" s="16"/>
      <c r="K8" s="17"/>
      <c r="L8" s="18"/>
      <c r="M8" s="57"/>
      <c r="N8" s="57"/>
      <c r="O8" s="57"/>
      <c r="P8" s="57"/>
      <c r="Q8" s="61"/>
      <c r="R8" s="62"/>
      <c r="S8" s="62"/>
      <c r="T8" s="58"/>
      <c r="U8" s="58"/>
      <c r="V8" s="58"/>
      <c r="W8" s="58"/>
      <c r="X8" s="58"/>
      <c r="Y8" s="58"/>
    </row>
    <row r="9" spans="1:25" s="5" customFormat="1" ht="13.8" x14ac:dyDescent="0.3">
      <c r="E9" s="7"/>
      <c r="F9" s="15"/>
      <c r="H9" s="15"/>
      <c r="I9" s="7"/>
      <c r="J9" s="17"/>
      <c r="K9" s="17"/>
      <c r="L9" s="18"/>
      <c r="M9" s="57"/>
      <c r="N9" s="57"/>
      <c r="O9" s="57"/>
      <c r="P9" s="57"/>
      <c r="Q9" s="61"/>
      <c r="R9" s="62"/>
      <c r="S9" s="62"/>
      <c r="T9" s="58"/>
      <c r="U9" s="58"/>
      <c r="V9" s="58"/>
      <c r="W9" s="58"/>
      <c r="X9" s="58"/>
      <c r="Y9" s="58"/>
    </row>
    <row r="10" spans="1:25" s="5" customFormat="1" ht="13.8" x14ac:dyDescent="0.3">
      <c r="E10" s="7"/>
      <c r="F10" s="15"/>
      <c r="H10" s="15"/>
      <c r="I10" s="7"/>
      <c r="J10" s="8"/>
      <c r="K10" s="15"/>
      <c r="L10" s="18"/>
      <c r="M10" s="57"/>
      <c r="N10" s="57"/>
      <c r="O10" s="57"/>
      <c r="P10" s="57"/>
      <c r="Q10" s="61"/>
      <c r="R10" s="62"/>
      <c r="S10" s="62"/>
      <c r="T10" s="58"/>
      <c r="U10" s="58"/>
      <c r="V10" s="58"/>
      <c r="W10" s="58"/>
      <c r="X10" s="58"/>
      <c r="Y10" s="58"/>
    </row>
    <row r="11" spans="1:25" s="5" customFormat="1" ht="13.8" x14ac:dyDescent="0.3">
      <c r="E11" s="7"/>
      <c r="F11" s="15"/>
      <c r="I11" s="19"/>
      <c r="J11" s="8"/>
      <c r="M11" s="57"/>
      <c r="N11" s="57"/>
      <c r="O11" s="57"/>
      <c r="P11" s="57"/>
      <c r="Q11" s="57"/>
      <c r="R11" s="57"/>
      <c r="S11" s="57"/>
      <c r="T11" s="58"/>
      <c r="U11" s="58"/>
      <c r="V11" s="58"/>
      <c r="W11" s="58"/>
      <c r="X11" s="58"/>
      <c r="Y11" s="58"/>
    </row>
    <row r="12" spans="1:25" x14ac:dyDescent="0.3">
      <c r="C12" s="21" t="str">
        <f>G4</f>
        <v>IMPORTANT INFORMATION</v>
      </c>
      <c r="M12" s="57"/>
      <c r="N12" s="57"/>
      <c r="O12" s="57"/>
      <c r="P12" s="57"/>
      <c r="Q12" s="63"/>
      <c r="R12" s="63"/>
      <c r="S12" s="63"/>
    </row>
    <row r="13" spans="1:25" s="5" customFormat="1" ht="13.8" x14ac:dyDescent="0.3">
      <c r="M13" s="57"/>
      <c r="N13" s="57"/>
      <c r="O13" s="57"/>
      <c r="P13" s="57"/>
      <c r="Q13" s="57"/>
      <c r="R13" s="57"/>
      <c r="S13" s="57"/>
      <c r="T13" s="58"/>
      <c r="U13" s="58"/>
      <c r="V13" s="58"/>
      <c r="W13" s="58"/>
      <c r="X13" s="58"/>
      <c r="Y13" s="58"/>
    </row>
    <row r="14" spans="1:25" s="5" customFormat="1" ht="13.8" x14ac:dyDescent="0.3">
      <c r="B14" s="22" t="s">
        <v>30</v>
      </c>
      <c r="M14" s="57"/>
      <c r="N14" s="57"/>
      <c r="O14" s="57"/>
      <c r="P14" s="57"/>
      <c r="Q14" s="57"/>
      <c r="R14" s="57"/>
      <c r="S14" s="57"/>
      <c r="T14" s="58"/>
      <c r="U14" s="58"/>
      <c r="V14" s="58"/>
      <c r="W14" s="58"/>
      <c r="X14" s="58"/>
      <c r="Y14" s="58"/>
    </row>
    <row r="15" spans="1:25" s="5" customFormat="1" ht="13.8" x14ac:dyDescent="0.3">
      <c r="A15" s="23"/>
      <c r="K15" s="23"/>
      <c r="M15" s="61"/>
      <c r="N15" s="61"/>
      <c r="O15" s="61"/>
      <c r="P15" s="61"/>
      <c r="Q15" s="61"/>
      <c r="R15" s="62"/>
      <c r="S15" s="62"/>
      <c r="T15" s="58"/>
      <c r="U15" s="58"/>
      <c r="V15" s="58"/>
      <c r="W15" s="58"/>
      <c r="X15" s="58"/>
      <c r="Y15" s="58"/>
    </row>
    <row r="16" spans="1:25" s="5" customFormat="1" ht="12.75" customHeight="1" x14ac:dyDescent="0.3">
      <c r="B16" s="97" t="s">
        <v>37</v>
      </c>
      <c r="C16" s="97"/>
      <c r="D16" s="97"/>
      <c r="E16" s="97"/>
      <c r="F16" s="97"/>
      <c r="G16" s="97"/>
      <c r="H16" s="97"/>
      <c r="I16" s="97"/>
      <c r="J16" s="97"/>
      <c r="M16" s="61"/>
      <c r="N16" s="61"/>
      <c r="O16" s="61"/>
      <c r="P16" s="61"/>
      <c r="Q16" s="61"/>
      <c r="R16" s="62"/>
      <c r="S16" s="62"/>
      <c r="T16" s="58"/>
      <c r="U16" s="58"/>
      <c r="V16" s="58"/>
      <c r="W16" s="58"/>
      <c r="X16" s="58"/>
      <c r="Y16" s="58"/>
    </row>
    <row r="17" spans="1:25" s="5" customFormat="1" ht="13.8" x14ac:dyDescent="0.3">
      <c r="B17" s="97"/>
      <c r="C17" s="97"/>
      <c r="D17" s="97"/>
      <c r="E17" s="97"/>
      <c r="F17" s="97"/>
      <c r="G17" s="97"/>
      <c r="H17" s="97"/>
      <c r="I17" s="97"/>
      <c r="J17" s="97"/>
      <c r="M17" s="61"/>
      <c r="N17" s="61"/>
      <c r="O17" s="61"/>
      <c r="P17" s="61"/>
      <c r="Q17" s="61"/>
      <c r="R17" s="62"/>
      <c r="S17" s="62"/>
      <c r="T17" s="58"/>
      <c r="U17" s="58"/>
      <c r="V17" s="58"/>
      <c r="W17" s="58"/>
      <c r="X17" s="58"/>
      <c r="Y17" s="58"/>
    </row>
    <row r="18" spans="1:25" s="5" customFormat="1" ht="13.8" x14ac:dyDescent="0.3">
      <c r="B18" s="97"/>
      <c r="C18" s="97"/>
      <c r="D18" s="97"/>
      <c r="E18" s="97"/>
      <c r="F18" s="97"/>
      <c r="G18" s="97"/>
      <c r="H18" s="97"/>
      <c r="I18" s="97"/>
      <c r="J18" s="97"/>
      <c r="M18" s="61"/>
      <c r="N18" s="61"/>
      <c r="O18" s="61"/>
      <c r="P18" s="61"/>
      <c r="Q18" s="61"/>
      <c r="R18" s="62"/>
      <c r="S18" s="62"/>
      <c r="T18" s="58"/>
      <c r="U18" s="58"/>
      <c r="V18" s="58"/>
      <c r="W18" s="58"/>
      <c r="X18" s="58"/>
      <c r="Y18" s="58"/>
    </row>
    <row r="19" spans="1:25" s="5" customFormat="1" ht="13.8" x14ac:dyDescent="0.3">
      <c r="B19" s="97"/>
      <c r="C19" s="97"/>
      <c r="D19" s="97"/>
      <c r="E19" s="97"/>
      <c r="F19" s="97"/>
      <c r="G19" s="97"/>
      <c r="H19" s="97"/>
      <c r="I19" s="97"/>
      <c r="J19" s="97"/>
      <c r="M19" s="61"/>
      <c r="N19" s="61"/>
      <c r="O19" s="61"/>
      <c r="P19" s="61"/>
      <c r="Q19" s="61"/>
      <c r="R19" s="62"/>
      <c r="S19" s="62"/>
      <c r="T19" s="58"/>
      <c r="U19" s="58"/>
      <c r="V19" s="58"/>
      <c r="W19" s="58"/>
      <c r="X19" s="58"/>
      <c r="Y19" s="58"/>
    </row>
    <row r="20" spans="1:25" s="5" customFormat="1" ht="12.75" customHeight="1" x14ac:dyDescent="0.3">
      <c r="A20" s="23"/>
      <c r="B20" s="24" t="s">
        <v>35</v>
      </c>
      <c r="C20" s="23"/>
      <c r="D20" s="23"/>
      <c r="E20" s="23"/>
      <c r="F20" s="23"/>
      <c r="G20" s="23"/>
      <c r="H20" s="23"/>
      <c r="I20" s="23"/>
      <c r="J20" s="23"/>
      <c r="K20" s="23"/>
      <c r="M20" s="61"/>
      <c r="N20" s="61"/>
      <c r="O20" s="61"/>
      <c r="P20" s="61"/>
      <c r="Q20" s="61"/>
      <c r="R20" s="62"/>
      <c r="S20" s="62"/>
      <c r="T20" s="58"/>
      <c r="U20" s="58"/>
      <c r="V20" s="58"/>
      <c r="W20" s="58"/>
      <c r="X20" s="58"/>
      <c r="Y20" s="58"/>
    </row>
    <row r="21" spans="1:25" s="5" customFormat="1" ht="13.8" x14ac:dyDescent="0.3">
      <c r="A21" s="23"/>
      <c r="B21" s="24"/>
      <c r="C21" s="23"/>
      <c r="D21" s="23"/>
      <c r="E21" s="23"/>
      <c r="F21" s="23"/>
      <c r="G21" s="23"/>
      <c r="H21" s="23"/>
      <c r="I21" s="23"/>
      <c r="J21" s="23"/>
      <c r="K21" s="23"/>
      <c r="M21" s="61"/>
      <c r="N21" s="61"/>
      <c r="O21" s="61"/>
      <c r="P21" s="61"/>
      <c r="Q21" s="61"/>
      <c r="R21" s="62"/>
      <c r="S21" s="62"/>
      <c r="T21" s="58"/>
      <c r="U21" s="58"/>
      <c r="V21" s="58"/>
      <c r="W21" s="58"/>
      <c r="X21" s="58"/>
      <c r="Y21" s="58"/>
    </row>
    <row r="22" spans="1:25" s="5" customFormat="1" ht="13.8" x14ac:dyDescent="0.3">
      <c r="A22" s="23"/>
      <c r="B22" s="97" t="s">
        <v>38</v>
      </c>
      <c r="C22" s="97"/>
      <c r="D22" s="97"/>
      <c r="E22" s="97"/>
      <c r="F22" s="97"/>
      <c r="G22" s="97"/>
      <c r="H22" s="97"/>
      <c r="I22" s="97"/>
      <c r="J22" s="97"/>
      <c r="K22" s="23"/>
      <c r="M22" s="61"/>
      <c r="N22" s="61"/>
      <c r="O22" s="61"/>
      <c r="P22" s="61"/>
      <c r="Q22" s="61"/>
      <c r="R22" s="62"/>
      <c r="S22" s="62"/>
      <c r="T22" s="58"/>
      <c r="U22" s="58"/>
      <c r="V22" s="58"/>
      <c r="W22" s="58"/>
      <c r="X22" s="58"/>
      <c r="Y22" s="58"/>
    </row>
    <row r="23" spans="1:25" s="5" customFormat="1" ht="13.8" x14ac:dyDescent="0.3">
      <c r="A23" s="23"/>
      <c r="B23" s="97"/>
      <c r="C23" s="97"/>
      <c r="D23" s="97"/>
      <c r="E23" s="97"/>
      <c r="F23" s="97"/>
      <c r="G23" s="97"/>
      <c r="H23" s="97"/>
      <c r="I23" s="97"/>
      <c r="J23" s="97"/>
      <c r="K23" s="23"/>
      <c r="M23" s="61"/>
      <c r="N23" s="61"/>
      <c r="O23" s="61"/>
      <c r="P23" s="61"/>
      <c r="Q23" s="61"/>
      <c r="R23" s="62"/>
      <c r="S23" s="65"/>
      <c r="T23" s="58"/>
      <c r="U23" s="58"/>
      <c r="V23" s="58"/>
      <c r="W23" s="58"/>
      <c r="X23" s="58"/>
      <c r="Y23" s="58"/>
    </row>
    <row r="24" spans="1:25" s="5" customFormat="1" ht="13.8" x14ac:dyDescent="0.3">
      <c r="A24" s="23"/>
      <c r="B24" s="97"/>
      <c r="C24" s="97"/>
      <c r="D24" s="97"/>
      <c r="E24" s="97"/>
      <c r="F24" s="97"/>
      <c r="G24" s="97"/>
      <c r="H24" s="97"/>
      <c r="I24" s="97"/>
      <c r="J24" s="97"/>
      <c r="K24" s="23"/>
      <c r="M24" s="61"/>
      <c r="N24" s="61"/>
      <c r="O24" s="61"/>
      <c r="P24" s="61"/>
      <c r="Q24" s="61"/>
      <c r="R24" s="62"/>
      <c r="S24" s="65"/>
      <c r="T24" s="58"/>
      <c r="U24" s="58"/>
      <c r="V24" s="58"/>
      <c r="W24" s="58"/>
      <c r="X24" s="58"/>
      <c r="Y24" s="58"/>
    </row>
    <row r="25" spans="1:25" s="5" customFormat="1" ht="12.75" customHeight="1" x14ac:dyDescent="0.3">
      <c r="A25" s="23"/>
      <c r="B25" s="67"/>
      <c r="C25" s="67"/>
      <c r="D25" s="67"/>
      <c r="E25" s="67"/>
      <c r="F25" s="88" t="s">
        <v>50</v>
      </c>
      <c r="G25" s="67"/>
      <c r="H25" s="67"/>
      <c r="I25" s="67"/>
      <c r="J25" s="67"/>
      <c r="K25" s="23"/>
      <c r="M25" s="61"/>
      <c r="N25" s="61"/>
      <c r="O25" s="61"/>
      <c r="P25" s="61"/>
      <c r="Q25" s="61"/>
      <c r="R25" s="62"/>
      <c r="S25" s="62"/>
      <c r="T25" s="58"/>
      <c r="U25" s="58"/>
      <c r="V25" s="58"/>
      <c r="W25" s="58"/>
      <c r="X25" s="58"/>
      <c r="Y25" s="58"/>
    </row>
    <row r="26" spans="1:25" s="5" customFormat="1" ht="13.8" x14ac:dyDescent="0.3">
      <c r="A26" s="23"/>
      <c r="B26" s="97" t="s">
        <v>39</v>
      </c>
      <c r="C26" s="97"/>
      <c r="D26" s="97"/>
      <c r="E26" s="97"/>
      <c r="F26" s="97"/>
      <c r="G26" s="97"/>
      <c r="H26" s="97"/>
      <c r="I26" s="97"/>
      <c r="J26" s="97"/>
      <c r="K26" s="23"/>
      <c r="M26" s="61"/>
      <c r="N26" s="61"/>
      <c r="O26" s="61"/>
      <c r="P26" s="61"/>
      <c r="Q26" s="61"/>
      <c r="R26" s="62"/>
      <c r="S26" s="62"/>
      <c r="T26" s="58"/>
      <c r="U26" s="58"/>
      <c r="V26" s="58"/>
      <c r="W26" s="58"/>
      <c r="X26" s="58"/>
      <c r="Y26" s="58"/>
    </row>
    <row r="27" spans="1:25" s="5" customFormat="1" ht="13.8" x14ac:dyDescent="0.3">
      <c r="A27" s="23"/>
      <c r="B27" s="97"/>
      <c r="C27" s="97"/>
      <c r="D27" s="97"/>
      <c r="E27" s="97"/>
      <c r="F27" s="97"/>
      <c r="G27" s="97"/>
      <c r="H27" s="97"/>
      <c r="I27" s="97"/>
      <c r="J27" s="97"/>
      <c r="K27" s="23"/>
      <c r="M27" s="61"/>
      <c r="N27" s="61"/>
      <c r="O27" s="61"/>
      <c r="P27" s="61"/>
      <c r="Q27" s="61"/>
      <c r="R27" s="62"/>
      <c r="S27" s="62"/>
      <c r="T27" s="58"/>
      <c r="U27" s="58"/>
      <c r="V27" s="58"/>
      <c r="W27" s="58"/>
      <c r="X27" s="58"/>
      <c r="Y27" s="58"/>
    </row>
    <row r="28" spans="1:25" s="5" customFormat="1" ht="13.8" x14ac:dyDescent="0.3">
      <c r="A28" s="23"/>
      <c r="B28" s="67"/>
      <c r="C28" s="67"/>
      <c r="D28" s="67"/>
      <c r="E28" s="67"/>
      <c r="F28" s="67"/>
      <c r="G28" s="67"/>
      <c r="H28" s="67"/>
      <c r="I28" s="67"/>
      <c r="J28" s="67"/>
      <c r="K28" s="23"/>
      <c r="M28" s="61"/>
      <c r="N28" s="61"/>
      <c r="O28" s="61"/>
      <c r="P28" s="61"/>
      <c r="Q28" s="61"/>
      <c r="R28" s="62"/>
      <c r="S28" s="62"/>
      <c r="T28" s="58"/>
      <c r="U28" s="58"/>
      <c r="V28" s="58"/>
      <c r="W28" s="58"/>
      <c r="X28" s="58"/>
      <c r="Y28" s="58"/>
    </row>
    <row r="29" spans="1:25" s="5" customFormat="1" ht="13.8" x14ac:dyDescent="0.3">
      <c r="A29" s="23"/>
      <c r="B29" s="97" t="s">
        <v>40</v>
      </c>
      <c r="C29" s="97"/>
      <c r="D29" s="97"/>
      <c r="E29" s="97"/>
      <c r="F29" s="97"/>
      <c r="G29" s="97"/>
      <c r="H29" s="97"/>
      <c r="I29" s="97"/>
      <c r="J29" s="97"/>
      <c r="K29" s="23"/>
      <c r="M29" s="61"/>
      <c r="N29" s="61"/>
      <c r="O29" s="61"/>
      <c r="P29" s="61"/>
      <c r="Q29" s="61"/>
      <c r="R29" s="62"/>
      <c r="S29" s="62"/>
      <c r="T29" s="58"/>
      <c r="U29" s="58"/>
      <c r="V29" s="58"/>
      <c r="W29" s="58"/>
      <c r="X29" s="58"/>
      <c r="Y29" s="58"/>
    </row>
    <row r="30" spans="1:25" s="5" customFormat="1" ht="13.8" x14ac:dyDescent="0.3">
      <c r="A30" s="23"/>
      <c r="B30" s="97"/>
      <c r="C30" s="97"/>
      <c r="D30" s="97"/>
      <c r="E30" s="97"/>
      <c r="F30" s="97"/>
      <c r="G30" s="97"/>
      <c r="H30" s="97"/>
      <c r="I30" s="97"/>
      <c r="J30" s="97"/>
      <c r="K30" s="23"/>
      <c r="M30" s="61"/>
      <c r="N30" s="61"/>
      <c r="O30" s="61"/>
      <c r="P30" s="61"/>
      <c r="Q30" s="61"/>
      <c r="R30" s="62"/>
      <c r="S30" s="62"/>
      <c r="T30" s="58"/>
      <c r="U30" s="58"/>
      <c r="V30" s="58"/>
      <c r="W30" s="58"/>
      <c r="X30" s="58"/>
      <c r="Y30" s="58"/>
    </row>
    <row r="31" spans="1:25" s="5" customFormat="1" ht="12.75" customHeight="1" x14ac:dyDescent="0.3">
      <c r="A31" s="23"/>
      <c r="B31" s="97"/>
      <c r="C31" s="97"/>
      <c r="D31" s="97"/>
      <c r="E31" s="97"/>
      <c r="F31" s="97"/>
      <c r="G31" s="97"/>
      <c r="H31" s="97"/>
      <c r="I31" s="97"/>
      <c r="J31" s="97"/>
      <c r="K31" s="23"/>
      <c r="M31" s="61"/>
      <c r="N31" s="61"/>
      <c r="O31" s="61"/>
      <c r="P31" s="61"/>
      <c r="Q31" s="61"/>
      <c r="R31" s="62"/>
      <c r="S31" s="62"/>
      <c r="T31" s="58"/>
      <c r="U31" s="58"/>
      <c r="V31" s="58"/>
      <c r="W31" s="58"/>
      <c r="X31" s="58"/>
      <c r="Y31" s="58"/>
    </row>
    <row r="32" spans="1:25" s="5" customFormat="1" ht="13.8" x14ac:dyDescent="0.3">
      <c r="A32" s="23"/>
      <c r="B32" s="97"/>
      <c r="C32" s="97"/>
      <c r="D32" s="97"/>
      <c r="E32" s="97"/>
      <c r="F32" s="97"/>
      <c r="G32" s="97"/>
      <c r="H32" s="97"/>
      <c r="I32" s="97"/>
      <c r="J32" s="97"/>
      <c r="K32" s="23"/>
      <c r="M32" s="61"/>
      <c r="N32" s="61"/>
      <c r="O32" s="61"/>
      <c r="P32" s="61"/>
      <c r="Q32" s="61"/>
      <c r="R32" s="62"/>
      <c r="S32" s="62"/>
      <c r="T32" s="58"/>
      <c r="U32" s="58"/>
      <c r="V32" s="58"/>
      <c r="W32" s="58"/>
      <c r="X32" s="58"/>
      <c r="Y32" s="58"/>
    </row>
    <row r="33" spans="1:25" s="5" customFormat="1" ht="12.75" customHeight="1" x14ac:dyDescent="0.3">
      <c r="A33" s="23"/>
      <c r="B33" s="97"/>
      <c r="C33" s="97"/>
      <c r="D33" s="97"/>
      <c r="E33" s="97"/>
      <c r="F33" s="97"/>
      <c r="G33" s="97"/>
      <c r="H33" s="97"/>
      <c r="I33" s="97"/>
      <c r="J33" s="97"/>
      <c r="K33" s="23"/>
      <c r="M33" s="61"/>
      <c r="N33" s="61"/>
      <c r="O33" s="61"/>
      <c r="P33" s="61"/>
      <c r="Q33" s="61"/>
      <c r="R33" s="62"/>
      <c r="S33" s="62"/>
      <c r="T33" s="58"/>
      <c r="U33" s="58"/>
      <c r="V33" s="58"/>
      <c r="W33" s="58"/>
      <c r="X33" s="58"/>
      <c r="Y33" s="58"/>
    </row>
    <row r="34" spans="1:25" s="5" customFormat="1" ht="13.8" x14ac:dyDescent="0.3">
      <c r="A34" s="23"/>
      <c r="B34" s="67"/>
      <c r="C34" s="67"/>
      <c r="D34" s="99" t="s">
        <v>31</v>
      </c>
      <c r="E34" s="99"/>
      <c r="F34" s="99"/>
      <c r="G34" s="99"/>
      <c r="H34" s="99"/>
      <c r="I34" s="67"/>
      <c r="J34" s="67"/>
      <c r="K34" s="23"/>
      <c r="M34" s="61"/>
      <c r="N34" s="61"/>
      <c r="O34" s="61"/>
      <c r="P34" s="61"/>
      <c r="Q34" s="61"/>
      <c r="R34" s="62"/>
      <c r="S34" s="65"/>
      <c r="T34" s="58"/>
      <c r="U34" s="58"/>
      <c r="V34" s="58"/>
      <c r="W34" s="58"/>
      <c r="X34" s="58"/>
      <c r="Y34" s="58"/>
    </row>
    <row r="35" spans="1:25" s="5" customFormat="1" ht="13.8" x14ac:dyDescent="0.3">
      <c r="A35" s="23"/>
      <c r="B35" s="23"/>
      <c r="C35" s="23"/>
      <c r="I35" s="23"/>
      <c r="J35" s="23"/>
      <c r="K35" s="23"/>
      <c r="M35" s="61"/>
      <c r="N35" s="61"/>
      <c r="O35" s="61"/>
      <c r="P35" s="61"/>
      <c r="Q35" s="61"/>
      <c r="R35" s="62"/>
      <c r="S35" s="65"/>
      <c r="T35" s="58"/>
      <c r="U35" s="58"/>
      <c r="V35" s="58"/>
      <c r="W35" s="58"/>
      <c r="X35" s="58"/>
      <c r="Y35" s="58"/>
    </row>
    <row r="36" spans="1:25" s="5" customFormat="1" ht="12.75" customHeight="1" x14ac:dyDescent="0.3">
      <c r="A36" s="23"/>
      <c r="B36" s="24" t="s">
        <v>32</v>
      </c>
      <c r="C36" s="23"/>
      <c r="D36" s="23"/>
      <c r="E36" s="23"/>
      <c r="F36" s="66"/>
      <c r="G36" s="23"/>
      <c r="H36" s="23"/>
      <c r="I36" s="23"/>
      <c r="J36" s="23"/>
      <c r="K36" s="23"/>
      <c r="M36" s="61"/>
      <c r="N36" s="61"/>
      <c r="O36" s="61"/>
      <c r="P36" s="61"/>
      <c r="Q36" s="61"/>
      <c r="R36" s="62"/>
      <c r="S36" s="62"/>
      <c r="T36" s="58"/>
      <c r="U36" s="58"/>
      <c r="V36" s="58"/>
      <c r="W36" s="58"/>
      <c r="X36" s="58"/>
      <c r="Y36" s="58"/>
    </row>
    <row r="37" spans="1:25" s="5" customFormat="1" ht="13.8" x14ac:dyDescent="0.3">
      <c r="A37" s="23"/>
      <c r="B37" s="24"/>
      <c r="C37" s="23"/>
      <c r="D37" s="23"/>
      <c r="E37" s="23"/>
      <c r="F37" s="66"/>
      <c r="G37" s="23"/>
      <c r="H37" s="23"/>
      <c r="I37" s="23"/>
      <c r="J37" s="23"/>
      <c r="K37" s="23"/>
      <c r="M37" s="61"/>
      <c r="N37" s="61"/>
      <c r="O37" s="61"/>
      <c r="P37" s="61"/>
      <c r="Q37" s="61"/>
      <c r="R37" s="62"/>
      <c r="S37" s="62"/>
      <c r="T37" s="58"/>
      <c r="U37" s="58"/>
      <c r="V37" s="58"/>
      <c r="W37" s="58"/>
      <c r="X37" s="58"/>
      <c r="Y37" s="58"/>
    </row>
    <row r="38" spans="1:25" s="5" customFormat="1" ht="13.8" x14ac:dyDescent="0.3">
      <c r="A38" s="23"/>
      <c r="B38" s="97" t="s">
        <v>41</v>
      </c>
      <c r="C38" s="97"/>
      <c r="D38" s="97"/>
      <c r="E38" s="97"/>
      <c r="F38" s="97"/>
      <c r="G38" s="97"/>
      <c r="H38" s="97"/>
      <c r="I38" s="97"/>
      <c r="J38" s="97"/>
      <c r="K38" s="23"/>
      <c r="M38" s="61"/>
      <c r="N38" s="61"/>
      <c r="O38" s="61"/>
      <c r="P38" s="61"/>
      <c r="Q38" s="61"/>
      <c r="R38" s="62"/>
      <c r="S38" s="62"/>
      <c r="T38" s="58"/>
      <c r="U38" s="58"/>
      <c r="V38" s="58"/>
      <c r="W38" s="58"/>
      <c r="X38" s="58"/>
      <c r="Y38" s="58"/>
    </row>
    <row r="39" spans="1:25" s="5" customFormat="1" ht="13.8" x14ac:dyDescent="0.3">
      <c r="A39" s="23"/>
      <c r="B39" s="97"/>
      <c r="C39" s="97"/>
      <c r="D39" s="97"/>
      <c r="E39" s="97"/>
      <c r="F39" s="97"/>
      <c r="G39" s="97"/>
      <c r="H39" s="97"/>
      <c r="I39" s="97"/>
      <c r="J39" s="97"/>
      <c r="K39" s="23"/>
      <c r="M39" s="61"/>
      <c r="N39" s="61"/>
      <c r="O39" s="61"/>
      <c r="P39" s="61"/>
      <c r="Q39" s="61"/>
      <c r="R39" s="62"/>
      <c r="S39" s="62"/>
      <c r="T39" s="58"/>
      <c r="U39" s="58"/>
      <c r="V39" s="58"/>
      <c r="W39" s="58"/>
      <c r="X39" s="58"/>
      <c r="Y39" s="58"/>
    </row>
    <row r="40" spans="1:25" s="5" customFormat="1" ht="13.8" x14ac:dyDescent="0.3">
      <c r="A40" s="23"/>
      <c r="B40" s="67"/>
      <c r="C40" s="67"/>
      <c r="D40" s="67"/>
      <c r="E40" s="67"/>
      <c r="F40" s="67"/>
      <c r="G40" s="67"/>
      <c r="H40" s="67"/>
      <c r="I40" s="67"/>
      <c r="J40" s="67"/>
      <c r="K40" s="23"/>
      <c r="M40" s="61"/>
      <c r="N40" s="61"/>
      <c r="O40" s="61"/>
      <c r="P40" s="61"/>
      <c r="Q40" s="61"/>
      <c r="R40" s="62"/>
      <c r="S40" s="62"/>
      <c r="T40" s="58"/>
      <c r="U40" s="58"/>
      <c r="V40" s="58"/>
      <c r="W40" s="58"/>
      <c r="X40" s="58"/>
      <c r="Y40" s="58"/>
    </row>
    <row r="41" spans="1:25" s="5" customFormat="1" ht="13.8" x14ac:dyDescent="0.3">
      <c r="A41" s="23"/>
      <c r="B41" s="97" t="s">
        <v>42</v>
      </c>
      <c r="C41" s="97"/>
      <c r="D41" s="97"/>
      <c r="E41" s="97"/>
      <c r="F41" s="97"/>
      <c r="G41" s="97"/>
      <c r="H41" s="97"/>
      <c r="I41" s="97"/>
      <c r="J41" s="97"/>
      <c r="K41" s="23"/>
      <c r="M41" s="61"/>
      <c r="N41" s="61"/>
      <c r="O41" s="61"/>
      <c r="P41" s="61"/>
      <c r="Q41" s="61"/>
      <c r="R41" s="62"/>
      <c r="S41" s="62"/>
      <c r="T41" s="58"/>
      <c r="U41" s="58"/>
      <c r="V41" s="58"/>
      <c r="W41" s="58"/>
      <c r="X41" s="58"/>
      <c r="Y41" s="58"/>
    </row>
    <row r="42" spans="1:25" s="5" customFormat="1" ht="13.8" x14ac:dyDescent="0.3">
      <c r="A42" s="23"/>
      <c r="B42" s="97"/>
      <c r="C42" s="97"/>
      <c r="D42" s="97"/>
      <c r="E42" s="97"/>
      <c r="F42" s="97"/>
      <c r="G42" s="97"/>
      <c r="H42" s="97"/>
      <c r="I42" s="97"/>
      <c r="J42" s="97"/>
      <c r="K42" s="23"/>
      <c r="M42" s="61"/>
      <c r="N42" s="61"/>
      <c r="O42" s="61"/>
      <c r="P42" s="61"/>
      <c r="Q42" s="61"/>
      <c r="R42" s="62"/>
      <c r="S42" s="62"/>
      <c r="T42" s="58"/>
      <c r="U42" s="58"/>
      <c r="V42" s="58"/>
      <c r="W42" s="58"/>
      <c r="X42" s="58"/>
      <c r="Y42" s="58"/>
    </row>
    <row r="43" spans="1:25" s="5" customFormat="1" ht="13.8" x14ac:dyDescent="0.3">
      <c r="A43" s="23"/>
      <c r="B43" s="97"/>
      <c r="C43" s="97"/>
      <c r="D43" s="97"/>
      <c r="E43" s="97"/>
      <c r="F43" s="97"/>
      <c r="G43" s="97"/>
      <c r="H43" s="97"/>
      <c r="I43" s="97"/>
      <c r="J43" s="97"/>
      <c r="K43" s="23"/>
      <c r="M43" s="61"/>
      <c r="N43" s="61"/>
      <c r="O43" s="61"/>
      <c r="P43" s="61"/>
      <c r="Q43" s="61"/>
      <c r="R43" s="62"/>
      <c r="S43" s="62"/>
      <c r="T43" s="58"/>
      <c r="U43" s="58"/>
      <c r="V43" s="58"/>
      <c r="W43" s="58"/>
      <c r="X43" s="58"/>
      <c r="Y43" s="58"/>
    </row>
    <row r="44" spans="1:25" s="5" customFormat="1" ht="13.8" x14ac:dyDescent="0.3">
      <c r="A44" s="23"/>
      <c r="B44" s="67"/>
      <c r="C44" s="67"/>
      <c r="D44" s="67"/>
      <c r="E44" s="67"/>
      <c r="F44" s="67"/>
      <c r="G44" s="67"/>
      <c r="H44" s="67"/>
      <c r="I44" s="67"/>
      <c r="J44" s="67"/>
      <c r="K44" s="23"/>
      <c r="M44" s="61"/>
      <c r="N44" s="61"/>
      <c r="O44" s="61"/>
      <c r="P44" s="61"/>
      <c r="Q44" s="61"/>
      <c r="R44" s="62"/>
      <c r="S44" s="62"/>
      <c r="T44" s="58"/>
      <c r="U44" s="58"/>
      <c r="V44" s="58"/>
      <c r="W44" s="58"/>
      <c r="X44" s="58"/>
      <c r="Y44" s="58"/>
    </row>
    <row r="45" spans="1:25" s="5" customFormat="1" ht="12.75" customHeight="1" x14ac:dyDescent="0.3">
      <c r="A45" s="23"/>
      <c r="B45" s="97" t="s">
        <v>36</v>
      </c>
      <c r="C45" s="97"/>
      <c r="D45" s="97"/>
      <c r="E45" s="97"/>
      <c r="F45" s="97"/>
      <c r="G45" s="97"/>
      <c r="H45" s="97"/>
      <c r="I45" s="97"/>
      <c r="J45" s="97"/>
      <c r="K45" s="23"/>
      <c r="M45" s="61"/>
      <c r="N45" s="61"/>
      <c r="O45" s="61"/>
      <c r="P45" s="61"/>
      <c r="Q45" s="61"/>
      <c r="R45" s="62"/>
      <c r="S45" s="62"/>
      <c r="T45" s="58"/>
      <c r="U45" s="58"/>
      <c r="V45" s="58"/>
      <c r="W45" s="58"/>
      <c r="X45" s="58"/>
      <c r="Y45" s="58"/>
    </row>
    <row r="46" spans="1:25" s="5" customFormat="1" ht="13.8" x14ac:dyDescent="0.3">
      <c r="A46" s="23"/>
      <c r="B46" s="97"/>
      <c r="C46" s="97"/>
      <c r="D46" s="97"/>
      <c r="E46" s="97"/>
      <c r="F46" s="97"/>
      <c r="G46" s="97"/>
      <c r="H46" s="97"/>
      <c r="I46" s="97"/>
      <c r="J46" s="97"/>
      <c r="K46" s="23"/>
      <c r="M46" s="61"/>
      <c r="N46" s="61"/>
      <c r="O46" s="61"/>
      <c r="P46" s="61"/>
      <c r="Q46" s="61"/>
      <c r="R46" s="62"/>
      <c r="S46" s="62"/>
      <c r="T46" s="58"/>
      <c r="U46" s="58"/>
      <c r="V46" s="58"/>
      <c r="W46" s="58"/>
      <c r="X46" s="58"/>
      <c r="Y46" s="58"/>
    </row>
    <row r="47" spans="1:25" s="5" customFormat="1" ht="13.8" x14ac:dyDescent="0.3">
      <c r="A47" s="23"/>
      <c r="B47" s="97"/>
      <c r="C47" s="97"/>
      <c r="D47" s="97"/>
      <c r="E47" s="97"/>
      <c r="F47" s="97"/>
      <c r="G47" s="97"/>
      <c r="H47" s="97"/>
      <c r="I47" s="97"/>
      <c r="J47" s="97"/>
      <c r="K47" s="23"/>
      <c r="M47" s="61"/>
      <c r="N47" s="61"/>
      <c r="O47" s="61"/>
      <c r="P47" s="61"/>
      <c r="Q47" s="61"/>
      <c r="R47" s="62"/>
      <c r="S47" s="62"/>
      <c r="T47" s="58"/>
      <c r="U47" s="58"/>
      <c r="V47" s="58"/>
      <c r="W47" s="58"/>
      <c r="X47" s="58"/>
      <c r="Y47" s="58"/>
    </row>
    <row r="48" spans="1:25" s="5" customFormat="1" ht="12.75" customHeight="1" x14ac:dyDescent="0.3">
      <c r="A48" s="23"/>
      <c r="B48" s="97"/>
      <c r="C48" s="97"/>
      <c r="D48" s="97"/>
      <c r="E48" s="97"/>
      <c r="F48" s="97"/>
      <c r="G48" s="97"/>
      <c r="H48" s="97"/>
      <c r="I48" s="97"/>
      <c r="J48" s="97"/>
      <c r="K48" s="23"/>
      <c r="M48" s="61"/>
      <c r="N48" s="61"/>
      <c r="O48" s="61"/>
      <c r="P48" s="61"/>
      <c r="Q48" s="61"/>
      <c r="R48" s="62"/>
      <c r="S48" s="62"/>
      <c r="T48" s="58"/>
      <c r="U48" s="58"/>
      <c r="V48" s="58"/>
      <c r="W48" s="58"/>
      <c r="X48" s="58"/>
      <c r="Y48" s="58"/>
    </row>
    <row r="49" spans="1:25" s="5" customFormat="1" ht="13.8" x14ac:dyDescent="0.3">
      <c r="A49" s="23"/>
      <c r="B49" s="23" t="s">
        <v>43</v>
      </c>
      <c r="C49" s="23"/>
      <c r="D49" s="23"/>
      <c r="E49" s="23"/>
      <c r="F49" s="23"/>
      <c r="G49" s="23"/>
      <c r="H49" s="23"/>
      <c r="I49" s="23"/>
      <c r="J49" s="23"/>
      <c r="K49" s="23"/>
      <c r="M49" s="61"/>
      <c r="N49" s="61"/>
      <c r="O49" s="61"/>
      <c r="P49" s="61"/>
      <c r="Q49" s="61"/>
      <c r="R49" s="62"/>
      <c r="S49" s="62"/>
      <c r="T49" s="58"/>
      <c r="U49" s="58"/>
      <c r="V49" s="58"/>
      <c r="W49" s="58"/>
      <c r="X49" s="58"/>
      <c r="Y49" s="58"/>
    </row>
    <row r="50" spans="1:25" s="5" customFormat="1" ht="13.8" x14ac:dyDescent="0.3">
      <c r="A50" s="23"/>
      <c r="B50" s="23"/>
      <c r="C50" s="23"/>
      <c r="D50" s="23"/>
      <c r="F50" s="88" t="s">
        <v>49</v>
      </c>
      <c r="G50" s="66"/>
      <c r="H50" s="23"/>
      <c r="I50" s="23"/>
      <c r="J50" s="23"/>
      <c r="K50" s="23"/>
      <c r="M50" s="61"/>
      <c r="N50" s="61"/>
      <c r="O50" s="61"/>
      <c r="P50" s="61"/>
      <c r="Q50" s="61"/>
      <c r="R50" s="62"/>
      <c r="S50" s="62"/>
      <c r="T50" s="58"/>
      <c r="U50" s="58"/>
      <c r="V50" s="58"/>
      <c r="W50" s="58"/>
      <c r="X50" s="58"/>
      <c r="Y50" s="58"/>
    </row>
    <row r="51" spans="1:25" s="5" customFormat="1" ht="13.8" x14ac:dyDescent="0.3">
      <c r="A51" s="23"/>
      <c r="B51" s="23"/>
      <c r="C51" s="23"/>
      <c r="D51" s="23"/>
      <c r="E51" s="23"/>
      <c r="F51" s="23"/>
      <c r="G51" s="23"/>
      <c r="H51" s="23"/>
      <c r="I51" s="23"/>
      <c r="J51" s="23"/>
      <c r="K51" s="23"/>
      <c r="M51" s="61"/>
      <c r="N51" s="61"/>
      <c r="O51" s="61"/>
      <c r="P51" s="61"/>
      <c r="Q51" s="61"/>
      <c r="R51" s="62"/>
      <c r="S51" s="62"/>
      <c r="T51" s="58"/>
      <c r="U51" s="58"/>
      <c r="V51" s="58"/>
      <c r="W51" s="58"/>
      <c r="X51" s="58"/>
      <c r="Y51" s="58"/>
    </row>
    <row r="52" spans="1:25" s="5" customFormat="1" ht="12.75" customHeight="1" x14ac:dyDescent="0.3">
      <c r="A52" s="23"/>
      <c r="B52" s="24" t="s">
        <v>44</v>
      </c>
      <c r="C52" s="23"/>
      <c r="D52" s="23"/>
      <c r="E52" s="23"/>
      <c r="F52" s="23"/>
      <c r="G52" s="23"/>
      <c r="H52" s="23"/>
      <c r="I52" s="23"/>
      <c r="J52" s="23"/>
      <c r="K52" s="23"/>
      <c r="M52" s="61"/>
      <c r="N52" s="61"/>
      <c r="O52" s="61"/>
      <c r="P52" s="61"/>
      <c r="Q52" s="61"/>
      <c r="R52" s="62"/>
      <c r="S52" s="62"/>
      <c r="T52" s="58"/>
      <c r="U52" s="58"/>
      <c r="V52" s="58"/>
      <c r="W52" s="58"/>
      <c r="X52" s="58"/>
      <c r="Y52" s="58"/>
    </row>
    <row r="53" spans="1:25" s="5" customFormat="1" ht="13.8" x14ac:dyDescent="0.3">
      <c r="A53" s="23"/>
      <c r="B53" s="23"/>
      <c r="C53" s="23"/>
      <c r="D53" s="23"/>
      <c r="E53" s="23"/>
      <c r="F53" s="23"/>
      <c r="G53" s="23"/>
      <c r="H53" s="23"/>
      <c r="I53" s="23"/>
      <c r="J53" s="23"/>
      <c r="K53" s="23"/>
      <c r="M53" s="61"/>
      <c r="N53" s="61"/>
      <c r="O53" s="61"/>
      <c r="P53" s="61"/>
      <c r="Q53" s="61"/>
      <c r="R53" s="62"/>
      <c r="S53" s="62"/>
      <c r="T53" s="58"/>
      <c r="U53" s="58"/>
      <c r="V53" s="58"/>
      <c r="W53" s="58"/>
      <c r="X53" s="58"/>
      <c r="Y53" s="58"/>
    </row>
    <row r="54" spans="1:25" s="5" customFormat="1" ht="13.8" x14ac:dyDescent="0.3">
      <c r="A54" s="23"/>
      <c r="B54" s="98" t="s">
        <v>45</v>
      </c>
      <c r="C54" s="98"/>
      <c r="D54" s="98"/>
      <c r="E54" s="98"/>
      <c r="F54" s="98"/>
      <c r="G54" s="98"/>
      <c r="H54" s="98"/>
      <c r="I54" s="98"/>
      <c r="J54" s="98"/>
      <c r="K54" s="23"/>
      <c r="M54" s="61"/>
      <c r="N54" s="61"/>
      <c r="O54" s="61"/>
      <c r="P54" s="61"/>
      <c r="Q54" s="61"/>
      <c r="R54" s="62"/>
      <c r="S54" s="62"/>
      <c r="T54" s="58"/>
      <c r="U54" s="58"/>
      <c r="V54" s="58"/>
      <c r="W54" s="58"/>
      <c r="X54" s="58"/>
      <c r="Y54" s="58"/>
    </row>
    <row r="55" spans="1:25" s="5" customFormat="1" ht="13.8" x14ac:dyDescent="0.3">
      <c r="A55" s="23"/>
      <c r="B55" s="98"/>
      <c r="C55" s="98"/>
      <c r="D55" s="98"/>
      <c r="E55" s="98"/>
      <c r="F55" s="98"/>
      <c r="G55" s="98"/>
      <c r="H55" s="98"/>
      <c r="I55" s="98"/>
      <c r="J55" s="98"/>
      <c r="K55" s="23"/>
      <c r="M55" s="61"/>
      <c r="N55" s="61"/>
      <c r="O55" s="61"/>
      <c r="P55" s="61"/>
      <c r="Q55" s="61"/>
      <c r="R55" s="62"/>
      <c r="S55" s="62"/>
      <c r="T55" s="58"/>
      <c r="U55" s="58"/>
      <c r="V55" s="58"/>
      <c r="W55" s="58"/>
      <c r="X55" s="58"/>
      <c r="Y55" s="58"/>
    </row>
    <row r="56" spans="1:25" s="5" customFormat="1" ht="13.8" x14ac:dyDescent="0.3">
      <c r="A56" s="23"/>
      <c r="B56" s="98"/>
      <c r="C56" s="98"/>
      <c r="D56" s="98"/>
      <c r="E56" s="98"/>
      <c r="F56" s="98"/>
      <c r="G56" s="98"/>
      <c r="H56" s="98"/>
      <c r="I56" s="98"/>
      <c r="J56" s="98"/>
      <c r="K56" s="23"/>
      <c r="M56" s="61"/>
      <c r="N56" s="61"/>
      <c r="O56"/>
      <c r="P56" s="61"/>
      <c r="Q56" s="61"/>
      <c r="R56" s="62"/>
      <c r="S56" s="62"/>
      <c r="T56" s="58"/>
      <c r="U56" s="58"/>
      <c r="V56" s="58"/>
      <c r="W56" s="58"/>
      <c r="X56" s="58"/>
      <c r="Y56" s="58"/>
    </row>
    <row r="57" spans="1:25" s="5" customFormat="1" ht="13.8" x14ac:dyDescent="0.3">
      <c r="A57" s="23"/>
      <c r="B57" s="23"/>
      <c r="C57" s="23"/>
      <c r="D57" s="23"/>
      <c r="F57" s="66"/>
      <c r="G57" s="23"/>
      <c r="H57" s="23"/>
      <c r="I57" s="23"/>
      <c r="J57" s="23"/>
      <c r="K57" s="23"/>
      <c r="M57" s="61"/>
      <c r="N57" s="61"/>
      <c r="O57" s="61"/>
      <c r="P57" s="61"/>
      <c r="Q57" s="61"/>
      <c r="R57" s="62"/>
      <c r="S57" s="62"/>
      <c r="T57" s="58"/>
      <c r="U57" s="58"/>
      <c r="V57" s="58"/>
      <c r="W57" s="58"/>
      <c r="X57" s="58"/>
      <c r="Y57" s="58"/>
    </row>
    <row r="58" spans="1:25" s="5" customFormat="1" ht="13.8" x14ac:dyDescent="0.3">
      <c r="A58" s="23"/>
      <c r="B58" s="23"/>
      <c r="C58" s="23"/>
      <c r="D58" s="23"/>
      <c r="E58" s="23"/>
      <c r="F58" s="23"/>
      <c r="G58" s="23"/>
      <c r="H58" s="23"/>
      <c r="I58" s="23"/>
      <c r="J58" s="23"/>
      <c r="K58" s="23"/>
      <c r="M58" s="61"/>
      <c r="N58" s="61"/>
      <c r="O58" s="61"/>
      <c r="P58" s="61"/>
      <c r="Q58" s="61"/>
      <c r="R58" s="62"/>
      <c r="S58" s="62"/>
      <c r="T58" s="58"/>
      <c r="U58" s="58"/>
      <c r="V58" s="58"/>
      <c r="W58" s="58"/>
      <c r="X58" s="58"/>
      <c r="Y58" s="58"/>
    </row>
    <row r="59" spans="1:25" s="5" customFormat="1" ht="13.8" x14ac:dyDescent="0.3">
      <c r="K59" s="23"/>
      <c r="M59" s="61"/>
      <c r="N59" s="61"/>
      <c r="O59" s="89"/>
      <c r="P59" s="61"/>
      <c r="Q59" s="61"/>
      <c r="R59" s="62"/>
      <c r="S59" s="62"/>
      <c r="T59" s="58"/>
      <c r="U59" s="58"/>
      <c r="V59" s="58"/>
      <c r="W59" s="58"/>
      <c r="X59" s="58"/>
      <c r="Y59" s="58"/>
    </row>
    <row r="60" spans="1:25" s="5" customFormat="1" ht="13.8" x14ac:dyDescent="0.3">
      <c r="A60" s="23"/>
      <c r="B60" s="23" t="s">
        <v>46</v>
      </c>
      <c r="C60" s="23"/>
      <c r="D60" s="23"/>
      <c r="E60" s="23"/>
      <c r="F60" s="23"/>
      <c r="G60" s="23"/>
      <c r="H60" s="23"/>
      <c r="I60" s="23"/>
      <c r="J60" s="23"/>
      <c r="K60" s="23"/>
      <c r="M60" s="61"/>
      <c r="N60" s="61"/>
      <c r="O60" s="61"/>
      <c r="P60" s="61"/>
      <c r="Q60" s="61"/>
      <c r="R60" s="62"/>
      <c r="S60" s="62"/>
      <c r="T60" s="58"/>
      <c r="U60" s="58"/>
      <c r="V60" s="58"/>
      <c r="W60" s="58"/>
      <c r="X60" s="58"/>
      <c r="Y60" s="58"/>
    </row>
    <row r="61" spans="1:25" s="5" customFormat="1" ht="13.8" x14ac:dyDescent="0.3">
      <c r="A61" s="23"/>
      <c r="C61" s="23"/>
      <c r="D61" s="23"/>
      <c r="F61" s="88" t="s">
        <v>48</v>
      </c>
      <c r="G61" s="50"/>
      <c r="H61" s="23"/>
      <c r="I61" s="23"/>
      <c r="J61" s="23"/>
      <c r="K61" s="23"/>
      <c r="M61" s="61"/>
      <c r="N61" s="61"/>
      <c r="O61" s="61"/>
      <c r="P61" s="61"/>
      <c r="Q61" s="61"/>
      <c r="R61" s="62"/>
      <c r="S61" s="62"/>
      <c r="T61" s="58"/>
      <c r="U61" s="58"/>
      <c r="V61" s="58"/>
      <c r="W61" s="58"/>
      <c r="X61" s="58"/>
      <c r="Y61" s="58"/>
    </row>
    <row r="62" spans="1:25" s="5" customFormat="1" ht="13.8" x14ac:dyDescent="0.3">
      <c r="A62" s="23"/>
      <c r="B62" s="23"/>
      <c r="C62" s="23"/>
      <c r="D62" s="23"/>
      <c r="E62" s="23"/>
      <c r="F62" s="23"/>
      <c r="G62" s="23"/>
      <c r="H62" s="23"/>
      <c r="I62" s="23"/>
      <c r="J62" s="23"/>
      <c r="K62" s="23"/>
      <c r="M62" s="61"/>
      <c r="N62" s="61"/>
      <c r="O62" s="61"/>
      <c r="P62" s="61"/>
      <c r="Q62" s="61"/>
      <c r="R62" s="62"/>
      <c r="S62" s="62"/>
      <c r="T62" s="58"/>
      <c r="U62" s="58"/>
      <c r="V62" s="58"/>
      <c r="W62" s="58"/>
      <c r="X62" s="58"/>
      <c r="Y62" s="5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Y7756"/>
  <sheetViews>
    <sheetView tabSelected="1" view="pageBreakPreview" zoomScaleNormal="100" zoomScaleSheetLayoutView="100" workbookViewId="0">
      <selection activeCell="H70" sqref="H70"/>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75</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76</v>
      </c>
      <c r="D3" s="1"/>
      <c r="E3" s="1"/>
      <c r="F3" s="2" t="s">
        <v>4</v>
      </c>
      <c r="G3" s="3" t="s">
        <v>21</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67</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AA-SM-007-080</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8/7/2016</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68"/>
      <c r="B12" s="21" t="str">
        <f>$G$4</f>
        <v>INTER-RIVET BUCKLING</v>
      </c>
      <c r="C12" s="69"/>
      <c r="D12" s="69"/>
      <c r="E12" s="70"/>
      <c r="F12" s="69"/>
      <c r="G12" s="69"/>
      <c r="H12" s="69"/>
      <c r="I12" s="69"/>
      <c r="J12" s="69"/>
      <c r="K12" s="69"/>
      <c r="L12" s="30"/>
      <c r="M12" s="37"/>
      <c r="N12" s="38"/>
      <c r="O12" s="38"/>
      <c r="P12" s="38"/>
      <c r="Q12" s="38"/>
      <c r="R12" s="37"/>
      <c r="S12" s="37"/>
      <c r="T12" s="39"/>
    </row>
    <row r="13" spans="1:35" s="26" customFormat="1" ht="13.8" x14ac:dyDescent="0.3">
      <c r="B13" s="105" t="s">
        <v>66</v>
      </c>
      <c r="L13" s="29"/>
      <c r="M13" s="27"/>
      <c r="N13" s="27"/>
      <c r="O13" s="27"/>
      <c r="P13" s="27"/>
      <c r="Q13" s="27"/>
      <c r="R13" s="27"/>
      <c r="S13" s="27"/>
      <c r="T13" s="27"/>
    </row>
    <row r="14" spans="1:35" s="26" customFormat="1" ht="13.8" x14ac:dyDescent="0.3">
      <c r="A14" s="71"/>
      <c r="K14" s="71"/>
      <c r="M14" s="27"/>
      <c r="N14" s="27"/>
      <c r="O14" s="27"/>
      <c r="P14" s="27"/>
      <c r="Q14" s="27"/>
      <c r="R14" s="27"/>
      <c r="S14" s="27"/>
      <c r="T14" s="27"/>
    </row>
    <row r="15" spans="1:35" s="26" customFormat="1" ht="13.8" x14ac:dyDescent="0.3">
      <c r="B15" s="26" t="s">
        <v>68</v>
      </c>
      <c r="M15" s="27"/>
      <c r="N15" s="27"/>
      <c r="O15" s="27"/>
      <c r="P15" s="27"/>
      <c r="Q15" s="27"/>
      <c r="R15" s="27"/>
      <c r="S15" s="27"/>
      <c r="T15" s="27"/>
      <c r="V15" s="40"/>
      <c r="W15" s="40"/>
      <c r="Y15" s="5"/>
      <c r="Z15" s="5"/>
      <c r="AA15" s="5"/>
      <c r="AB15" s="5"/>
      <c r="AC15" s="7"/>
      <c r="AD15" s="5"/>
      <c r="AE15" s="5"/>
      <c r="AF15" s="5"/>
      <c r="AG15" s="5"/>
      <c r="AH15" s="5"/>
      <c r="AI15" s="5"/>
    </row>
    <row r="16" spans="1:35" s="28" customFormat="1" ht="13.8" x14ac:dyDescent="0.3">
      <c r="A16" s="71"/>
      <c r="K16" s="74"/>
      <c r="L16" s="30"/>
      <c r="M16" s="27"/>
      <c r="N16" s="27"/>
      <c r="O16" s="27"/>
      <c r="P16" s="27"/>
      <c r="Q16" s="27"/>
      <c r="R16" s="27"/>
      <c r="S16" s="27"/>
      <c r="T16" s="27"/>
      <c r="U16" s="30"/>
      <c r="Z16" s="42"/>
      <c r="AA16" s="29"/>
      <c r="AB16" s="31"/>
      <c r="AC16" s="43"/>
      <c r="AD16" s="43"/>
      <c r="AE16" s="43"/>
      <c r="AF16" s="43"/>
      <c r="AG16" s="43"/>
      <c r="AH16" s="43"/>
      <c r="AI16" s="23"/>
    </row>
    <row r="17" spans="1:35" s="28" customFormat="1" ht="13.8" x14ac:dyDescent="0.3">
      <c r="G17" s="26"/>
      <c r="H17" s="143" t="s">
        <v>78</v>
      </c>
      <c r="I17" s="141">
        <v>0.1</v>
      </c>
      <c r="J17" s="142"/>
      <c r="K17" s="71"/>
      <c r="L17" s="30"/>
      <c r="M17" s="27"/>
      <c r="N17" s="27"/>
      <c r="O17" s="27"/>
      <c r="P17" s="27"/>
      <c r="Q17" s="27"/>
      <c r="R17" s="27"/>
      <c r="S17" s="27"/>
      <c r="T17" s="27"/>
      <c r="U17" s="30"/>
      <c r="V17" s="106" t="s">
        <v>70</v>
      </c>
      <c r="W17" s="40"/>
      <c r="X17" s="107">
        <v>4</v>
      </c>
      <c r="Z17" s="45"/>
      <c r="AA17" s="29"/>
      <c r="AB17" s="31"/>
      <c r="AC17" s="46"/>
      <c r="AD17" s="46"/>
      <c r="AE17" s="46"/>
      <c r="AF17" s="46"/>
      <c r="AG17" s="46"/>
      <c r="AH17" s="46"/>
      <c r="AI17" s="23"/>
    </row>
    <row r="18" spans="1:35" s="28" customFormat="1" ht="15" x14ac:dyDescent="0.35">
      <c r="G18" s="143" t="s">
        <v>79</v>
      </c>
      <c r="H18" s="143" t="s">
        <v>80</v>
      </c>
      <c r="I18" s="141">
        <v>65000</v>
      </c>
      <c r="J18" s="144" t="s">
        <v>54</v>
      </c>
      <c r="K18" s="71"/>
      <c r="L18" s="30"/>
      <c r="M18" s="27"/>
      <c r="N18" s="27"/>
      <c r="O18" s="27"/>
      <c r="P18" s="27"/>
      <c r="Q18" s="27"/>
      <c r="R18" s="27"/>
      <c r="S18" s="27"/>
      <c r="T18" s="27"/>
      <c r="U18" s="30"/>
      <c r="V18" s="106" t="s">
        <v>71</v>
      </c>
      <c r="W18" s="40"/>
      <c r="X18" s="107">
        <v>3.5</v>
      </c>
      <c r="Z18" s="42"/>
      <c r="AA18" s="18"/>
      <c r="AB18" s="41"/>
      <c r="AC18" s="5"/>
      <c r="AD18" s="5"/>
      <c r="AE18" s="5"/>
      <c r="AF18" s="5"/>
      <c r="AG18" s="5"/>
      <c r="AH18" s="5"/>
      <c r="AI18" s="5"/>
    </row>
    <row r="19" spans="1:35" s="28" customFormat="1" ht="15" x14ac:dyDescent="0.35">
      <c r="G19" s="143"/>
      <c r="H19" s="143" t="s">
        <v>82</v>
      </c>
      <c r="I19" s="141">
        <v>63000</v>
      </c>
      <c r="J19" s="144" t="s">
        <v>54</v>
      </c>
      <c r="K19" s="71"/>
      <c r="L19" s="30"/>
      <c r="M19" s="27"/>
      <c r="N19" s="27"/>
      <c r="O19" s="27"/>
      <c r="P19" s="27"/>
      <c r="Q19" s="27"/>
      <c r="R19" s="27"/>
      <c r="S19" s="27"/>
      <c r="T19" s="27"/>
      <c r="U19" s="30"/>
      <c r="V19" s="106" t="s">
        <v>72</v>
      </c>
      <c r="W19" s="40"/>
      <c r="X19" s="107">
        <v>3</v>
      </c>
      <c r="Z19" s="5"/>
      <c r="AA19" s="46"/>
      <c r="AB19" s="5"/>
      <c r="AC19" s="5"/>
      <c r="AD19" s="5"/>
      <c r="AE19" s="5"/>
      <c r="AF19" s="5"/>
      <c r="AG19" s="5"/>
      <c r="AH19" s="46"/>
      <c r="AI19" s="5"/>
    </row>
    <row r="20" spans="1:35" s="28" customFormat="1" ht="15" x14ac:dyDescent="0.35">
      <c r="A20" s="71"/>
      <c r="B20" s="92" t="s">
        <v>58</v>
      </c>
      <c r="C20" s="100">
        <v>0.05</v>
      </c>
      <c r="D20" s="28" t="s">
        <v>59</v>
      </c>
      <c r="G20" s="143" t="s">
        <v>84</v>
      </c>
      <c r="H20" s="143" t="s">
        <v>85</v>
      </c>
      <c r="I20" s="141">
        <v>52000</v>
      </c>
      <c r="J20" s="144" t="s">
        <v>54</v>
      </c>
      <c r="K20" s="71"/>
      <c r="L20" s="30"/>
      <c r="M20" s="27"/>
      <c r="N20" s="27"/>
      <c r="O20" s="27"/>
      <c r="P20" s="27"/>
      <c r="Q20" s="27"/>
      <c r="R20" s="27"/>
      <c r="S20" s="27"/>
      <c r="T20" s="27"/>
      <c r="U20" s="30"/>
      <c r="V20" s="106" t="s">
        <v>73</v>
      </c>
      <c r="W20" s="40"/>
      <c r="X20" s="107">
        <v>1</v>
      </c>
      <c r="Y20" s="5"/>
      <c r="Z20" s="5"/>
      <c r="AA20" s="18"/>
      <c r="AB20" s="18"/>
      <c r="AC20" s="18"/>
      <c r="AD20" s="18"/>
      <c r="AE20" s="18"/>
      <c r="AF20" s="18"/>
      <c r="AG20" s="18"/>
      <c r="AH20" s="46"/>
      <c r="AI20" s="5"/>
    </row>
    <row r="21" spans="1:35" s="28" customFormat="1" ht="15" x14ac:dyDescent="0.35">
      <c r="A21" s="74"/>
      <c r="B21" s="92" t="s">
        <v>51</v>
      </c>
      <c r="C21" s="101">
        <v>1</v>
      </c>
      <c r="D21" s="28" t="s">
        <v>60</v>
      </c>
      <c r="E21" s="71"/>
      <c r="F21" s="26"/>
      <c r="G21" s="143"/>
      <c r="H21" s="143" t="s">
        <v>89</v>
      </c>
      <c r="I21" s="141">
        <v>51000</v>
      </c>
      <c r="J21" s="144" t="s">
        <v>54</v>
      </c>
      <c r="K21" s="71"/>
      <c r="L21" s="30"/>
      <c r="M21" s="27"/>
      <c r="N21" s="27"/>
      <c r="O21" s="27"/>
      <c r="P21" s="27"/>
      <c r="Q21" s="27"/>
      <c r="R21" s="27"/>
      <c r="S21" s="27"/>
      <c r="T21" s="27"/>
      <c r="U21" s="30"/>
      <c r="Y21" s="23"/>
      <c r="Z21" s="5"/>
      <c r="AA21" s="47"/>
      <c r="AB21" s="18"/>
      <c r="AC21" s="18"/>
      <c r="AD21" s="18"/>
      <c r="AE21" s="18"/>
      <c r="AF21" s="18"/>
      <c r="AG21" s="18"/>
      <c r="AH21" s="46"/>
      <c r="AI21" s="5"/>
    </row>
    <row r="22" spans="1:35" s="28" customFormat="1" ht="15" x14ac:dyDescent="0.35">
      <c r="A22" s="71"/>
      <c r="B22" s="92" t="s">
        <v>52</v>
      </c>
      <c r="C22" s="100">
        <v>10000000</v>
      </c>
      <c r="D22" s="28" t="s">
        <v>61</v>
      </c>
      <c r="E22" s="71"/>
      <c r="G22" s="143" t="s">
        <v>96</v>
      </c>
      <c r="H22" s="143" t="s">
        <v>97</v>
      </c>
      <c r="I22" s="141">
        <v>55000</v>
      </c>
      <c r="J22" s="144" t="s">
        <v>54</v>
      </c>
      <c r="K22" s="71"/>
      <c r="L22" s="30"/>
      <c r="M22" s="27"/>
      <c r="N22" s="27"/>
      <c r="O22" s="27"/>
      <c r="P22" s="27"/>
      <c r="Q22" s="27"/>
      <c r="R22" s="27"/>
      <c r="S22" s="27"/>
      <c r="T22" s="27"/>
      <c r="U22" s="30"/>
      <c r="Y22" s="23"/>
      <c r="Z22" s="5"/>
      <c r="AA22" s="47"/>
      <c r="AB22" s="18"/>
      <c r="AC22" s="18"/>
      <c r="AD22" s="18"/>
      <c r="AE22" s="18"/>
      <c r="AF22" s="18"/>
      <c r="AG22" s="18"/>
      <c r="AH22" s="5"/>
      <c r="AI22" s="5"/>
    </row>
    <row r="23" spans="1:35" s="28" customFormat="1" ht="15" x14ac:dyDescent="0.35">
      <c r="A23" s="71"/>
      <c r="B23" s="96" t="s">
        <v>53</v>
      </c>
      <c r="C23" s="101">
        <v>0.3</v>
      </c>
      <c r="D23" s="81" t="s">
        <v>62</v>
      </c>
      <c r="E23" s="74"/>
      <c r="F23" s="74"/>
      <c r="G23" s="144"/>
      <c r="H23" s="143" t="s">
        <v>105</v>
      </c>
      <c r="I23" s="141">
        <v>53000</v>
      </c>
      <c r="J23" s="144" t="s">
        <v>54</v>
      </c>
      <c r="K23" s="71"/>
      <c r="L23" s="30"/>
      <c r="M23" s="27"/>
      <c r="N23" s="27"/>
      <c r="O23" s="27"/>
      <c r="P23" s="27"/>
      <c r="Q23" s="27"/>
      <c r="R23" s="27"/>
      <c r="S23" s="27"/>
      <c r="T23" s="27"/>
      <c r="U23" s="30"/>
      <c r="Y23" s="5"/>
      <c r="Z23" s="5"/>
      <c r="AA23" s="18"/>
      <c r="AB23" s="18"/>
      <c r="AC23" s="18"/>
      <c r="AD23" s="18"/>
      <c r="AE23" s="18"/>
      <c r="AF23" s="18"/>
      <c r="AG23" s="18"/>
      <c r="AH23" s="5"/>
      <c r="AI23" s="5"/>
    </row>
    <row r="24" spans="1:35" s="28" customFormat="1" ht="15" x14ac:dyDescent="0.35">
      <c r="A24" s="75"/>
      <c r="B24" s="92" t="s">
        <v>55</v>
      </c>
      <c r="C24" s="103">
        <v>1</v>
      </c>
      <c r="D24" s="81" t="s">
        <v>63</v>
      </c>
      <c r="E24" s="71"/>
      <c r="G24" s="143" t="s">
        <v>109</v>
      </c>
      <c r="H24" s="143" t="s">
        <v>110</v>
      </c>
      <c r="I24" s="141">
        <v>46000</v>
      </c>
      <c r="J24" s="144" t="s">
        <v>54</v>
      </c>
      <c r="K24" s="75"/>
      <c r="L24" s="30"/>
      <c r="M24" s="27"/>
      <c r="N24" s="27"/>
      <c r="O24" s="27"/>
      <c r="P24" s="27"/>
      <c r="Q24" s="27"/>
      <c r="R24" s="27"/>
      <c r="S24" s="27"/>
      <c r="T24" s="27"/>
      <c r="U24" s="30"/>
      <c r="W24" s="26"/>
      <c r="X24" s="160" t="s">
        <v>87</v>
      </c>
      <c r="Y24" s="140"/>
      <c r="Z24" s="160"/>
      <c r="AA24" s="160"/>
      <c r="AB24" s="140"/>
      <c r="AC24" s="140"/>
      <c r="AD24" s="140"/>
      <c r="AE24" s="26"/>
      <c r="AF24" s="160" t="s">
        <v>88</v>
      </c>
      <c r="AG24" s="26"/>
      <c r="AH24" s="26"/>
      <c r="AI24" s="26"/>
    </row>
    <row r="25" spans="1:35" s="28" customFormat="1" ht="15" x14ac:dyDescent="0.35">
      <c r="A25" s="75"/>
      <c r="B25" s="92" t="s">
        <v>55</v>
      </c>
      <c r="C25" s="103">
        <v>1</v>
      </c>
      <c r="D25" s="81" t="s">
        <v>64</v>
      </c>
      <c r="E25" s="71"/>
      <c r="F25" s="71"/>
      <c r="H25" s="139" t="s">
        <v>81</v>
      </c>
      <c r="I25" s="159">
        <v>50</v>
      </c>
      <c r="J25" s="74"/>
      <c r="K25" s="75"/>
      <c r="L25" s="30"/>
      <c r="M25" s="27"/>
      <c r="N25" s="27"/>
      <c r="O25" s="27"/>
      <c r="P25" s="27"/>
      <c r="Q25" s="27"/>
      <c r="R25" s="27"/>
      <c r="S25" s="27"/>
      <c r="T25" s="27"/>
      <c r="U25" s="30"/>
      <c r="V25" s="40"/>
      <c r="W25" s="26"/>
      <c r="X25" s="160" t="s">
        <v>91</v>
      </c>
      <c r="Y25" s="140"/>
      <c r="Z25" s="160" t="s">
        <v>92</v>
      </c>
      <c r="AA25" s="160" t="s">
        <v>93</v>
      </c>
      <c r="AB25" s="160" t="s">
        <v>94</v>
      </c>
      <c r="AC25" s="160" t="s">
        <v>57</v>
      </c>
      <c r="AD25" s="180" t="s">
        <v>95</v>
      </c>
      <c r="AE25" s="180"/>
      <c r="AF25" s="160" t="s">
        <v>91</v>
      </c>
      <c r="AG25" s="26"/>
      <c r="AH25" s="26"/>
      <c r="AI25" s="26"/>
    </row>
    <row r="26" spans="1:35" s="28" customFormat="1" ht="15" x14ac:dyDescent="0.35">
      <c r="A26" s="75"/>
      <c r="B26" s="92" t="s">
        <v>69</v>
      </c>
      <c r="C26" s="108" t="s">
        <v>70</v>
      </c>
      <c r="D26" s="108"/>
      <c r="H26" s="139" t="s">
        <v>83</v>
      </c>
      <c r="I26" s="159">
        <v>20</v>
      </c>
      <c r="J26" s="157"/>
      <c r="K26" s="125"/>
      <c r="L26" s="30"/>
      <c r="M26" s="27"/>
      <c r="N26" s="27"/>
      <c r="O26" s="27"/>
      <c r="P26" s="27"/>
      <c r="Q26" s="27"/>
      <c r="R26" s="27"/>
      <c r="S26" s="27"/>
      <c r="T26" s="27"/>
      <c r="U26" s="30"/>
      <c r="V26" s="40"/>
      <c r="W26" s="26"/>
      <c r="X26" s="160" t="s">
        <v>88</v>
      </c>
      <c r="Y26" s="160" t="s">
        <v>99</v>
      </c>
      <c r="Z26" s="160" t="s">
        <v>100</v>
      </c>
      <c r="AA26" s="160" t="s">
        <v>101</v>
      </c>
      <c r="AB26" s="160" t="s">
        <v>101</v>
      </c>
      <c r="AC26" s="160" t="s">
        <v>102</v>
      </c>
      <c r="AD26" s="180" t="s">
        <v>103</v>
      </c>
      <c r="AE26" s="180"/>
      <c r="AF26" s="160" t="s">
        <v>104</v>
      </c>
      <c r="AG26" s="26"/>
      <c r="AH26" s="26"/>
      <c r="AI26" s="26"/>
    </row>
    <row r="27" spans="1:35" s="28" customFormat="1" ht="15" x14ac:dyDescent="0.35">
      <c r="A27" s="75"/>
      <c r="B27" s="96" t="s">
        <v>56</v>
      </c>
      <c r="C27" s="102">
        <f>INDEX(X17:X20,MATCH(C26,V17:V20,0))</f>
        <v>4</v>
      </c>
      <c r="D27" s="104" t="s">
        <v>65</v>
      </c>
      <c r="E27" s="71"/>
      <c r="F27" s="71"/>
      <c r="H27" s="139" t="s">
        <v>86</v>
      </c>
      <c r="I27" s="159">
        <v>25</v>
      </c>
      <c r="J27" s="140"/>
      <c r="K27" s="125" t="s">
        <v>10</v>
      </c>
      <c r="L27" s="30"/>
      <c r="M27" s="27"/>
      <c r="N27" s="27"/>
      <c r="O27" s="27"/>
      <c r="P27" s="27"/>
      <c r="Q27" s="27"/>
      <c r="R27" s="27"/>
      <c r="S27" s="27"/>
      <c r="T27" s="27"/>
      <c r="U27" s="30"/>
      <c r="V27" s="40"/>
      <c r="W27" s="26"/>
      <c r="X27" s="160" t="s">
        <v>106</v>
      </c>
      <c r="Y27" s="160"/>
      <c r="Z27" s="160" t="s">
        <v>107</v>
      </c>
      <c r="AA27" s="160"/>
      <c r="AB27" s="160"/>
      <c r="AC27" s="140"/>
      <c r="AD27" s="180" t="s">
        <v>108</v>
      </c>
      <c r="AE27" s="180"/>
      <c r="AF27" s="160" t="s">
        <v>106</v>
      </c>
      <c r="AG27" s="26"/>
      <c r="AH27" s="163">
        <f>C32</f>
        <v>90380.992683968507</v>
      </c>
      <c r="AI27" s="26"/>
    </row>
    <row r="28" spans="1:35" s="28" customFormat="1" ht="15" x14ac:dyDescent="0.35">
      <c r="B28" s="92" t="s">
        <v>116</v>
      </c>
      <c r="C28" s="181">
        <v>25000</v>
      </c>
      <c r="D28" s="28" t="s">
        <v>54</v>
      </c>
      <c r="H28" s="139" t="s">
        <v>90</v>
      </c>
      <c r="I28" s="159">
        <v>20</v>
      </c>
      <c r="J28" s="26"/>
      <c r="K28" s="26"/>
      <c r="L28" s="30"/>
      <c r="M28" s="27"/>
      <c r="N28" s="27"/>
      <c r="O28" s="27"/>
      <c r="P28" s="27"/>
      <c r="Q28" s="27"/>
      <c r="R28" s="27"/>
      <c r="S28" s="27"/>
      <c r="T28" s="27"/>
      <c r="U28" s="30"/>
      <c r="V28" s="40"/>
      <c r="W28" s="26"/>
      <c r="X28" s="164"/>
      <c r="Y28" s="165"/>
      <c r="Z28" s="165"/>
      <c r="AA28" s="165"/>
      <c r="AB28" s="165"/>
      <c r="AC28" s="165"/>
      <c r="AD28" s="166" t="s">
        <v>111</v>
      </c>
      <c r="AE28" s="26" t="s">
        <v>112</v>
      </c>
      <c r="AF28" s="164"/>
      <c r="AG28" s="125"/>
      <c r="AH28" s="26"/>
      <c r="AI28" s="26"/>
    </row>
    <row r="29" spans="1:35" s="28" customFormat="1" ht="13.8" x14ac:dyDescent="0.3">
      <c r="G29" s="157" t="s">
        <v>98</v>
      </c>
      <c r="H29" s="157"/>
      <c r="I29" s="157"/>
      <c r="J29" s="157"/>
      <c r="K29" s="29"/>
      <c r="L29" s="30"/>
      <c r="M29" s="27"/>
      <c r="N29" s="27"/>
      <c r="O29" s="27"/>
      <c r="P29" s="27"/>
      <c r="Q29" s="27"/>
      <c r="R29" s="27"/>
      <c r="S29" s="27"/>
      <c r="T29" s="27"/>
      <c r="U29" s="30"/>
      <c r="V29" s="40"/>
      <c r="W29" s="26"/>
      <c r="X29" s="160" t="s">
        <v>113</v>
      </c>
      <c r="Y29" s="160"/>
      <c r="Z29" s="140"/>
      <c r="AA29" s="160" t="s">
        <v>113</v>
      </c>
      <c r="AB29" s="160" t="s">
        <v>113</v>
      </c>
      <c r="AC29" s="140"/>
      <c r="AD29" s="140" t="s">
        <v>114</v>
      </c>
      <c r="AE29" s="26"/>
      <c r="AF29" s="160" t="s">
        <v>113</v>
      </c>
      <c r="AG29" s="125"/>
      <c r="AH29" s="26"/>
      <c r="AI29" s="26"/>
    </row>
    <row r="30" spans="1:35" s="28" customFormat="1" ht="13.8" x14ac:dyDescent="0.3">
      <c r="A30" s="75"/>
      <c r="B30" s="28" t="s">
        <v>115</v>
      </c>
      <c r="F30" s="71"/>
      <c r="G30" s="73"/>
      <c r="I30" s="71"/>
      <c r="J30" s="71"/>
      <c r="K30" s="71"/>
      <c r="L30" s="30"/>
      <c r="M30" s="27"/>
      <c r="N30" s="27"/>
      <c r="O30" s="27"/>
      <c r="P30" s="27"/>
      <c r="Q30" s="27"/>
      <c r="R30" s="27"/>
      <c r="S30" s="27"/>
      <c r="T30" s="27"/>
      <c r="U30" s="30"/>
      <c r="V30" s="40"/>
      <c r="W30" s="26"/>
      <c r="X30" s="167">
        <v>0</v>
      </c>
      <c r="Y30" s="162">
        <f>IF(X30&lt;MIN($I$22:$I$23),MIN($I$25:$I$28),(LOG(($I$17)/0.002))/(LOG(MIN($I$18:$I$19)/MIN($I$22:$I$23))))</f>
        <v>20</v>
      </c>
      <c r="Z30" s="168" t="e">
        <f>(X30/MIN(#REF!))+0.002*(X30/MIN($I$22:$I$23))^Y30</f>
        <v>#REF!</v>
      </c>
      <c r="AA30" s="167">
        <f>AB30</f>
        <v>10000000</v>
      </c>
      <c r="AB30" s="167">
        <f>C22</f>
        <v>10000000</v>
      </c>
      <c r="AC30" s="162">
        <f>0.5-((0.5-$C$23)*(AB30/$C$22))</f>
        <v>0.3</v>
      </c>
      <c r="AD30" s="162">
        <f>((AB30/$C$22)*(1-$C$23^2)/(1-AC30^2))</f>
        <v>1</v>
      </c>
      <c r="AE30" s="31">
        <f>((AB30/$C$22)*(1-$C$23^2)/(1-AC30^2))*(0.352+0.324*(1+((3*AA30)/AB30))^0.5)</f>
        <v>1</v>
      </c>
      <c r="AF30" s="167">
        <f>X30/AE30</f>
        <v>0</v>
      </c>
      <c r="AG30" s="125">
        <v>1</v>
      </c>
      <c r="AH30" s="26"/>
      <c r="AI30" s="26"/>
    </row>
    <row r="31" spans="1:35" s="28" customFormat="1" ht="15" x14ac:dyDescent="0.35">
      <c r="A31" s="75"/>
      <c r="B31" s="92" t="s">
        <v>74</v>
      </c>
      <c r="C31" s="28" t="str">
        <f>[1]!xln(C32,2)</f>
        <v>4 × π² × 1 × 1 × 10000000 / (12 × (1 - 0.3²)) × (0.05 / 1)²</v>
      </c>
      <c r="D31" s="79"/>
      <c r="E31" s="71"/>
      <c r="F31" s="77"/>
      <c r="G31" s="73"/>
      <c r="H31" s="93"/>
      <c r="I31" s="74"/>
      <c r="J31" s="74"/>
      <c r="K31" s="71"/>
      <c r="L31" s="30"/>
      <c r="M31" s="27"/>
      <c r="N31" s="27"/>
      <c r="O31" s="27"/>
      <c r="P31" s="27"/>
      <c r="Q31" s="27"/>
      <c r="R31" s="27"/>
      <c r="S31" s="27"/>
      <c r="T31" s="27"/>
      <c r="U31" s="30"/>
      <c r="V31" s="40"/>
      <c r="W31" s="131"/>
      <c r="X31" s="167">
        <f>MIN(I22:I23)*0.7</f>
        <v>37100</v>
      </c>
      <c r="Y31" s="162">
        <f>IF(X31&lt;MIN($I$22:$I$23),MIN($I$25:$I$28),(LOG(($I$17)/0.002))/(LOG(MIN($I$18:$I$19)/MIN($I$22:$I$23))))</f>
        <v>20</v>
      </c>
      <c r="Z31" s="168" t="e">
        <f>(X31/MIN(#REF!))+0.002*(X31/MIN($I$22:$I$23))^Y31</f>
        <v>#REF!</v>
      </c>
      <c r="AA31" s="167">
        <f>X31/((X31/$C$22)+0.002*Y31*(X31/MIN($I$22:$I$23))^(Y31-1))</f>
        <v>9878592.9428202957</v>
      </c>
      <c r="AB31" s="167">
        <f>X31/((X31/$C$22)+0.002*(X31/MIN($I$22:$I$23))^Y31)</f>
        <v>9995700.3795874976</v>
      </c>
      <c r="AC31" s="162">
        <f>0.5-((0.5-$C$23)*(AB31/$C$22))</f>
        <v>0.30008599240825007</v>
      </c>
      <c r="AD31" s="162">
        <f>((AB31/$C$22)*(1-$C$23^2)/(1-AC31^2))</f>
        <v>0.99962672320875179</v>
      </c>
      <c r="AE31" s="31">
        <f t="shared" ref="AE31:AE55" si="0">((AB31/$C$22)*(1-$C$23^2)/(1-AC31^2))*(0.352+0.324*(1+((3*AA31)/AB31))^0.5)</f>
        <v>0.99677457194597563</v>
      </c>
      <c r="AF31" s="167">
        <f>X31/AE31</f>
        <v>37220.050595362489</v>
      </c>
      <c r="AG31" s="125">
        <v>2</v>
      </c>
      <c r="AH31" s="26">
        <f>MATCH(AH27,AF30:AF55)</f>
        <v>17</v>
      </c>
      <c r="AI31" s="26">
        <f>AH31+1</f>
        <v>18</v>
      </c>
    </row>
    <row r="32" spans="1:35" s="28" customFormat="1" ht="13.8" x14ac:dyDescent="0.3">
      <c r="A32" s="75"/>
      <c r="B32" s="75"/>
      <c r="C32" s="110">
        <f>C27*PI()^2*C25*C24*C22/(12*(1-C23^2))*(C20/C21)^2</f>
        <v>90380.992683968507</v>
      </c>
      <c r="D32" s="109" t="s">
        <v>54</v>
      </c>
      <c r="E32" s="71"/>
      <c r="F32" s="77"/>
      <c r="G32" s="71"/>
      <c r="H32" s="94"/>
      <c r="I32" s="74"/>
      <c r="J32" s="74"/>
      <c r="K32" s="71"/>
      <c r="L32" s="30"/>
      <c r="M32" s="27"/>
      <c r="N32" s="27"/>
      <c r="O32" s="27"/>
      <c r="P32" s="27"/>
      <c r="Q32" s="27"/>
      <c r="R32" s="27"/>
      <c r="S32" s="27"/>
      <c r="T32" s="27"/>
      <c r="U32" s="30"/>
      <c r="V32" s="40"/>
      <c r="W32" s="26">
        <f>(X47-X31)/16</f>
        <v>993.75</v>
      </c>
      <c r="X32" s="167">
        <f>X31+$W$32</f>
        <v>38093.75</v>
      </c>
      <c r="Y32" s="162">
        <f>IF(X32&lt;MIN($I$22:$I$23),MIN($I$25:$I$28),(LOG(($I$17)/0.002))/(LOG(MIN($I$18:$I$19)/MIN($I$22:$I$23))))</f>
        <v>20</v>
      </c>
      <c r="Z32" s="168" t="e">
        <f>(X32/MIN(#REF!))+0.002*(X32/MIN($I$22:$I$23))^Y32</f>
        <v>#REF!</v>
      </c>
      <c r="AA32" s="167">
        <f>X32/((X32/$C$22)+0.002*Y32*(X32/MIN($I$22:$I$23))^(Y32-1))</f>
        <v>9806054.4318870511</v>
      </c>
      <c r="AB32" s="167">
        <f>X32/((X32/$C$22)+0.002*(X32/MIN($I$22:$I$23))^Y32)</f>
        <v>9992897.2775314357</v>
      </c>
      <c r="AC32" s="162">
        <f>0.5-((0.5-$C$23)*(AB32/$C$22))</f>
        <v>0.30014205444937125</v>
      </c>
      <c r="AD32" s="162">
        <f>((AB32/$C$22)*(1-$C$23^2)/(1-AC32^2))</f>
        <v>0.99938335443259174</v>
      </c>
      <c r="AE32" s="31">
        <f t="shared" si="0"/>
        <v>0.99482661650684101</v>
      </c>
      <c r="AF32" s="167">
        <f>X32/AE32</f>
        <v>38291.848416520574</v>
      </c>
      <c r="AG32" s="125">
        <v>3</v>
      </c>
      <c r="AH32" s="163">
        <f>INDEX(AF30:AF55,AH31)</f>
        <v>83776.170851645205</v>
      </c>
      <c r="AI32" s="163">
        <f>INDEX(AF30:AF55,AI31)</f>
        <v>94776.319733741722</v>
      </c>
    </row>
    <row r="33" spans="1:35" s="28" customFormat="1" ht="13.8" x14ac:dyDescent="0.3">
      <c r="A33" s="71"/>
      <c r="B33" s="71"/>
      <c r="C33" s="78"/>
      <c r="D33" s="79"/>
      <c r="E33" s="71"/>
      <c r="F33" s="79"/>
      <c r="G33" s="73"/>
      <c r="H33" s="95"/>
      <c r="I33" s="74"/>
      <c r="J33" s="74"/>
      <c r="K33" s="71"/>
      <c r="L33" s="30"/>
      <c r="M33" s="27"/>
      <c r="N33" s="27"/>
      <c r="O33" s="27"/>
      <c r="P33" s="27"/>
      <c r="Q33" s="27"/>
      <c r="R33" s="27"/>
      <c r="S33" s="27"/>
      <c r="T33" s="27"/>
      <c r="U33" s="30"/>
      <c r="V33" s="40"/>
      <c r="W33" s="26"/>
      <c r="X33" s="167">
        <f>X32+$W$32</f>
        <v>39087.5</v>
      </c>
      <c r="Y33" s="162">
        <f>IF(X33&lt;MIN($I$22:$I$23),MIN($I$25:$I$28),(LOG(($I$17)/0.002))/(LOG(MIN($I$18:$I$19)/MIN($I$22:$I$23))))</f>
        <v>20</v>
      </c>
      <c r="Z33" s="168" t="e">
        <f>(X33/MIN(#REF!))+0.002*(X33/MIN($I$22:$I$23))^Y33</f>
        <v>#REF!</v>
      </c>
      <c r="AA33" s="167">
        <f>X33/((X33/$C$22)+0.002*Y33*(X33/MIN($I$22:$I$23))^(Y33-1))</f>
        <v>9695171.1650383156</v>
      </c>
      <c r="AB33" s="167">
        <f>X33/((X33/$C$22)+0.002*(X33/MIN($I$22:$I$23))^Y33)</f>
        <v>9988419.4452040326</v>
      </c>
      <c r="AC33" s="162">
        <f>0.5-((0.5-$C$23)*(AB33/$C$22))</f>
        <v>0.30023161109591934</v>
      </c>
      <c r="AD33" s="162">
        <f>((AB33/$C$22)*(1-$C$23^2)/(1-AC33^2))</f>
        <v>0.99899456048166324</v>
      </c>
      <c r="AE33" s="31">
        <f t="shared" si="0"/>
        <v>0.99182786782070087</v>
      </c>
      <c r="AF33" s="167">
        <f>X33/AE33</f>
        <v>39409.560134547559</v>
      </c>
      <c r="AG33" s="125">
        <v>4</v>
      </c>
      <c r="AH33" s="163">
        <f>INDEX(X30:X55,AH31)</f>
        <v>52006.25</v>
      </c>
      <c r="AI33" s="163">
        <f>INDEX(X30:X55,AI31)</f>
        <v>53000</v>
      </c>
    </row>
    <row r="34" spans="1:35" s="28" customFormat="1" ht="13.8" x14ac:dyDescent="0.3">
      <c r="A34" s="26"/>
      <c r="B34" s="179" t="s">
        <v>117</v>
      </c>
      <c r="C34" s="178"/>
      <c r="D34" s="178"/>
      <c r="E34" s="178"/>
      <c r="F34" s="178"/>
      <c r="G34" s="178"/>
      <c r="H34" s="178"/>
      <c r="I34" s="178"/>
      <c r="J34" s="178"/>
      <c r="K34" s="71"/>
      <c r="L34" s="30"/>
      <c r="M34" s="27"/>
      <c r="N34" s="27"/>
      <c r="O34" s="27"/>
      <c r="P34" s="27"/>
      <c r="Q34" s="27"/>
      <c r="R34" s="27"/>
      <c r="S34" s="27"/>
      <c r="T34" s="27"/>
      <c r="U34" s="30"/>
      <c r="V34" s="40"/>
      <c r="W34" s="26">
        <f>(X55-X47)/8</f>
        <v>1250</v>
      </c>
      <c r="X34" s="167">
        <f>X33+$W$32</f>
        <v>40081.25</v>
      </c>
      <c r="Y34" s="162">
        <f>IF(X34&lt;MIN($I$22:$I$23),MIN($I$25:$I$28),(LOG(($I$17)/0.002))/(LOG(MIN($I$18:$I$19)/MIN($I$22:$I$23))))</f>
        <v>20</v>
      </c>
      <c r="Z34" s="168" t="e">
        <f>(X34/MIN(#REF!))+0.002*(X34/MIN($I$22:$I$23))^Y34</f>
        <v>#REF!</v>
      </c>
      <c r="AA34" s="167">
        <f>X34/((X34/$C$22)+0.002*Y34*(X34/MIN($I$22:$I$23))^(Y34-1))</f>
        <v>9529219.536584571</v>
      </c>
      <c r="AB34" s="167">
        <f>X34/((X34/$C$22)+0.002*(X34/MIN($I$22:$I$23))^Y34)</f>
        <v>9981353.9884150922</v>
      </c>
      <c r="AC34" s="162">
        <f>0.5-((0.5-$C$23)*(AB34/$C$22))</f>
        <v>0.30037292023169815</v>
      </c>
      <c r="AD34" s="162">
        <f>((AB34/$C$22)*(1-$C$23^2)/(1-AC34^2))</f>
        <v>0.99838103481562612</v>
      </c>
      <c r="AE34" s="31">
        <f t="shared" si="0"/>
        <v>0.9872965054679419</v>
      </c>
      <c r="AF34" s="167">
        <f>X34/AE34</f>
        <v>40596.973429985934</v>
      </c>
      <c r="AG34" s="125">
        <v>5</v>
      </c>
      <c r="AH34" s="26"/>
      <c r="AI34" s="26"/>
    </row>
    <row r="35" spans="1:35" s="28" customFormat="1" ht="13.8" x14ac:dyDescent="0.3">
      <c r="A35" s="26"/>
      <c r="B35" s="178"/>
      <c r="C35" s="178"/>
      <c r="D35" s="178"/>
      <c r="E35" s="178"/>
      <c r="F35" s="178"/>
      <c r="G35" s="178"/>
      <c r="H35" s="178"/>
      <c r="I35" s="178"/>
      <c r="J35" s="178"/>
      <c r="K35" s="71"/>
      <c r="L35" s="30"/>
      <c r="M35" s="27"/>
      <c r="N35" s="27"/>
      <c r="O35" s="27"/>
      <c r="P35" s="27"/>
      <c r="Q35" s="27"/>
      <c r="R35" s="27"/>
      <c r="S35" s="27"/>
      <c r="T35" s="27"/>
      <c r="U35" s="30"/>
      <c r="V35" s="40"/>
      <c r="W35" s="26"/>
      <c r="X35" s="167">
        <f>X34+$W$32</f>
        <v>41075</v>
      </c>
      <c r="Y35" s="162">
        <f>IF(X35&lt;MIN($I$22:$I$23),MIN($I$25:$I$28),(LOG(($I$17)/0.002))/(LOG(MIN($I$18:$I$19)/MIN($I$22:$I$23))))</f>
        <v>20</v>
      </c>
      <c r="Z35" s="168" t="e">
        <f>(X35/MIN(#REF!))+0.002*(X35/MIN($I$22:$I$23))^Y35</f>
        <v>#REF!</v>
      </c>
      <c r="AA35" s="167">
        <f>X35/((X35/$C$22)+0.002*Y35*(X35/MIN($I$22:$I$23))^(Y35-1))</f>
        <v>9286998.9593442008</v>
      </c>
      <c r="AB35" s="167">
        <f>X35/((X35/$C$22)+0.002*(X35/MIN($I$22:$I$23))^Y35)</f>
        <v>9970338.2775265574</v>
      </c>
      <c r="AC35" s="162">
        <f>0.5-((0.5-$C$23)*(AB35/$C$22))</f>
        <v>0.30059323444946884</v>
      </c>
      <c r="AD35" s="162">
        <f>((AB35/$C$22)*(1-$C$23^2)/(1-AC35^2))</f>
        <v>0.99742434963357418</v>
      </c>
      <c r="AE35" s="31">
        <f t="shared" si="0"/>
        <v>0.9805935590216539</v>
      </c>
      <c r="AF35" s="167">
        <f>X35/AE35</f>
        <v>41887.894961273108</v>
      </c>
      <c r="AG35" s="125">
        <v>6</v>
      </c>
      <c r="AH35" s="26"/>
      <c r="AI35" s="26"/>
    </row>
    <row r="36" spans="1:35" s="28" customFormat="1" ht="13.8" customHeight="1" x14ac:dyDescent="0.3">
      <c r="A36" s="140"/>
      <c r="B36" s="146"/>
      <c r="C36" s="146"/>
      <c r="D36" s="169"/>
      <c r="E36" s="169"/>
      <c r="F36" s="169"/>
      <c r="G36" s="161"/>
      <c r="H36" s="161"/>
      <c r="I36" s="125"/>
      <c r="J36" s="146"/>
      <c r="K36" s="75"/>
      <c r="L36" s="30"/>
      <c r="M36" s="27"/>
      <c r="N36" s="27"/>
      <c r="O36" s="27"/>
      <c r="P36" s="27"/>
      <c r="Q36" s="27"/>
      <c r="R36" s="27"/>
      <c r="S36" s="27"/>
      <c r="T36" s="27"/>
      <c r="U36" s="30"/>
      <c r="V36" s="40"/>
      <c r="W36" s="131"/>
      <c r="X36" s="167">
        <f>X35+$W$32</f>
        <v>42068.75</v>
      </c>
      <c r="Y36" s="162">
        <f>IF(X36&lt;MIN($I$22:$I$23),MIN($I$25:$I$28),(LOG(($I$17)/0.002))/(LOG(MIN($I$18:$I$19)/MIN($I$22:$I$23))))</f>
        <v>20</v>
      </c>
      <c r="Z36" s="168" t="e">
        <f>(X36/MIN(#REF!))+0.002*(X36/MIN($I$22:$I$23))^Y36</f>
        <v>#REF!</v>
      </c>
      <c r="AA36" s="167">
        <f>X36/((X36/$C$22)+0.002*Y36*(X36/MIN($I$22:$I$23))^(Y36-1))</f>
        <v>8944088.5454140492</v>
      </c>
      <c r="AB36" s="167">
        <f>X36/((X36/$C$22)+0.002*(X36/MIN($I$22:$I$23))^Y36)</f>
        <v>9953364.6683443952</v>
      </c>
      <c r="AC36" s="162">
        <f>0.5-((0.5-$C$23)*(AB36/$C$22))</f>
        <v>0.30093270663311211</v>
      </c>
      <c r="AD36" s="162">
        <f>((AB36/$C$22)*(1-$C$23^2)/(1-AC36^2))</f>
        <v>0.99594989965301617</v>
      </c>
      <c r="AE36" s="31">
        <f t="shared" si="0"/>
        <v>0.97092416300465378</v>
      </c>
      <c r="AF36" s="167">
        <f>X36/AE36</f>
        <v>43328.564272015508</v>
      </c>
      <c r="AG36" s="125">
        <v>7</v>
      </c>
      <c r="AH36" s="26"/>
      <c r="AI36" s="26">
        <f>(AI33-AH33)/(AI32-AH32)*(AH27-AH32)+AH33</f>
        <v>52602.927532842659</v>
      </c>
    </row>
    <row r="37" spans="1:35" s="28" customFormat="1" ht="13.8" x14ac:dyDescent="0.3">
      <c r="A37" s="140"/>
      <c r="B37" s="139"/>
      <c r="C37" s="170"/>
      <c r="D37" s="140"/>
      <c r="E37" s="157"/>
      <c r="F37" s="157"/>
      <c r="G37" s="161"/>
      <c r="H37" s="161"/>
      <c r="I37" s="125"/>
      <c r="J37" s="125"/>
      <c r="K37" s="75"/>
      <c r="L37" s="30"/>
      <c r="M37" s="27"/>
      <c r="N37" s="27"/>
      <c r="O37" s="27"/>
      <c r="P37" s="27"/>
      <c r="Q37" s="27"/>
      <c r="R37" s="27"/>
      <c r="S37" s="27"/>
      <c r="T37" s="27"/>
      <c r="U37" s="30"/>
      <c r="V37" s="40"/>
      <c r="W37" s="131"/>
      <c r="X37" s="167">
        <f>X36+$W$32</f>
        <v>43062.5</v>
      </c>
      <c r="Y37" s="162">
        <f>IF(X37&lt;MIN($I$22:$I$23),MIN($I$25:$I$28),(LOG(($I$17)/0.002))/(LOG(MIN($I$18:$I$19)/MIN($I$22:$I$23))))</f>
        <v>20</v>
      </c>
      <c r="Z37" s="168" t="e">
        <f>(X37/MIN(#REF!))+0.002*(X37/MIN($I$22:$I$23))^Y37</f>
        <v>#REF!</v>
      </c>
      <c r="AA37" s="167">
        <f>X37/((X37/$C$22)+0.002*Y37*(X37/MIN($I$22:$I$23))^(Y37-1))</f>
        <v>8476562.7906079087</v>
      </c>
      <c r="AB37" s="167">
        <f>X37/((X37/$C$22)+0.002*(X37/MIN($I$22:$I$23))^Y37)</f>
        <v>9927516.5644372348</v>
      </c>
      <c r="AC37" s="162">
        <f>0.5-((0.5-$C$23)*(AB37/$C$22))</f>
        <v>0.30144966871125534</v>
      </c>
      <c r="AD37" s="162">
        <f>((AB37/$C$22)*(1-$C$23^2)/(1-AC37^2))</f>
        <v>0.99370375870297889</v>
      </c>
      <c r="AE37" s="31">
        <f t="shared" si="0"/>
        <v>0.95738768276476793</v>
      </c>
      <c r="AF37" s="167">
        <f>X37/AE37</f>
        <v>44979.166512402837</v>
      </c>
      <c r="AG37" s="125">
        <v>8</v>
      </c>
      <c r="AH37" s="26"/>
      <c r="AI37" s="26"/>
    </row>
    <row r="38" spans="1:35" s="28" customFormat="1" ht="13.8" x14ac:dyDescent="0.3">
      <c r="A38" s="140"/>
      <c r="B38" s="26"/>
      <c r="C38" s="26"/>
      <c r="D38" s="26"/>
      <c r="E38" s="26"/>
      <c r="F38" s="26"/>
      <c r="G38" s="26"/>
      <c r="H38" s="26"/>
      <c r="I38" s="26"/>
      <c r="J38" s="26"/>
      <c r="K38" s="75"/>
      <c r="L38" s="30"/>
      <c r="M38" s="27"/>
      <c r="N38" s="27"/>
      <c r="O38" s="27"/>
      <c r="P38" s="27"/>
      <c r="Q38" s="27"/>
      <c r="R38" s="27"/>
      <c r="S38" s="27"/>
      <c r="T38" s="27"/>
      <c r="U38" s="30"/>
      <c r="V38" s="40"/>
      <c r="W38" s="26"/>
      <c r="X38" s="167">
        <f>X37+$W$32</f>
        <v>44056.25</v>
      </c>
      <c r="Y38" s="162">
        <f>IF(X38&lt;MIN($I$22:$I$23),MIN($I$25:$I$28),(LOG(($I$17)/0.002))/(LOG(MIN($I$18:$I$19)/MIN($I$22:$I$23))))</f>
        <v>20</v>
      </c>
      <c r="Z38" s="168" t="e">
        <f>(X38/MIN(#REF!))+0.002*(X38/MIN($I$22:$I$23))^Y38</f>
        <v>#REF!</v>
      </c>
      <c r="AA38" s="167">
        <f>X38/((X38/$C$22)+0.002*Y38*(X38/MIN($I$22:$I$23))^(Y38-1))</f>
        <v>7867879.7882979969</v>
      </c>
      <c r="AB38" s="167">
        <f>X38/((X38/$C$22)+0.002*(X38/MIN($I$22:$I$23))^Y38)</f>
        <v>9888624.0300836712</v>
      </c>
      <c r="AC38" s="162">
        <f>0.5-((0.5-$C$23)*(AB38/$C$22))</f>
        <v>0.30222751939832659</v>
      </c>
      <c r="AD38" s="162">
        <f>((AB38/$C$22)*(1-$C$23^2)/(1-AC38^2))</f>
        <v>0.99032228331756866</v>
      </c>
      <c r="AE38" s="31">
        <f t="shared" si="0"/>
        <v>0.93910156912953457</v>
      </c>
      <c r="AF38" s="167">
        <f>X38/AE38</f>
        <v>46913.18963595845</v>
      </c>
      <c r="AG38" s="125">
        <v>9</v>
      </c>
      <c r="AH38" s="26"/>
      <c r="AI38" s="26"/>
    </row>
    <row r="39" spans="1:35" s="28" customFormat="1" ht="13.8" x14ac:dyDescent="0.3">
      <c r="L39" s="30"/>
      <c r="M39" s="27"/>
      <c r="N39" s="27"/>
      <c r="O39" s="27"/>
      <c r="P39" s="27"/>
      <c r="Q39" s="27"/>
      <c r="R39" s="27"/>
      <c r="S39" s="27"/>
      <c r="T39" s="27"/>
      <c r="U39" s="30"/>
      <c r="V39" s="40"/>
      <c r="W39" s="26"/>
      <c r="X39" s="167">
        <f>X38+$W$32</f>
        <v>45050</v>
      </c>
      <c r="Y39" s="162">
        <f>IF(X39&lt;MIN($I$22:$I$23),MIN($I$25:$I$28),(LOG(($I$17)/0.002))/(LOG(MIN($I$18:$I$19)/MIN($I$22:$I$23))))</f>
        <v>20</v>
      </c>
      <c r="Z39" s="168" t="e">
        <f>(X39/MIN(#REF!))+0.002*(X39/MIN($I$22:$I$23))^Y39</f>
        <v>#REF!</v>
      </c>
      <c r="AA39" s="167">
        <f>X39/((X39/$C$22)+0.002*Y39*(X39/MIN($I$22:$I$23))^(Y39-1))</f>
        <v>7118052.9422193067</v>
      </c>
      <c r="AB39" s="167">
        <f>X39/((X39/$C$22)+0.002*(X39/MIN($I$22:$I$23))^Y39)</f>
        <v>9830837.447444601</v>
      </c>
      <c r="AC39" s="162">
        <f>0.5-((0.5-$C$23)*(AB39/$C$22))</f>
        <v>0.30338325105110797</v>
      </c>
      <c r="AD39" s="162">
        <f>((AB39/$C$22)*(1-$C$23^2)/(1-AC39^2))</f>
        <v>0.98529404840666357</v>
      </c>
      <c r="AE39" s="31">
        <f t="shared" si="0"/>
        <v>0.91539942192118384</v>
      </c>
      <c r="AF39" s="167">
        <f>X39/AE39</f>
        <v>49213.489675853016</v>
      </c>
      <c r="AG39" s="125">
        <v>10</v>
      </c>
      <c r="AH39" s="163">
        <f>AH27</f>
        <v>90380.992683968507</v>
      </c>
      <c r="AI39" s="26">
        <v>0</v>
      </c>
    </row>
    <row r="40" spans="1:35" s="28" customFormat="1" ht="13.8" x14ac:dyDescent="0.3">
      <c r="L40" s="30"/>
      <c r="M40" s="27"/>
      <c r="N40" s="27"/>
      <c r="O40" s="27"/>
      <c r="P40" s="27"/>
      <c r="Q40" s="27"/>
      <c r="R40" s="27"/>
      <c r="S40" s="27"/>
      <c r="T40" s="27"/>
      <c r="U40" s="30"/>
      <c r="V40" s="40"/>
      <c r="W40" s="26"/>
      <c r="X40" s="167">
        <f>X39+$W$32</f>
        <v>46043.75</v>
      </c>
      <c r="Y40" s="162">
        <f>IF(X40&lt;MIN($I$22:$I$23),MIN($I$25:$I$28),(LOG(($I$17)/0.002))/(LOG(MIN($I$18:$I$19)/MIN($I$22:$I$23))))</f>
        <v>20</v>
      </c>
      <c r="Z40" s="168" t="e">
        <f>(X40/MIN(#REF!))+0.002*(X40/MIN($I$22:$I$23))^Y40</f>
        <v>#REF!</v>
      </c>
      <c r="AA40" s="167">
        <f>X40/((X40/$C$22)+0.002*Y40*(X40/MIN($I$22:$I$23))^(Y40-1))</f>
        <v>6251405.2552583329</v>
      </c>
      <c r="AB40" s="167">
        <f>X40/((X40/$C$22)+0.002*(X40/MIN($I$22:$I$23))^Y40)</f>
        <v>9746143.400889514</v>
      </c>
      <c r="AC40" s="162">
        <f>0.5-((0.5-$C$23)*(AB40/$C$22))</f>
        <v>0.3050771319822097</v>
      </c>
      <c r="AD40" s="162">
        <f>((AB40/$C$22)*(1-$C$23^2)/(1-AC40^2))</f>
        <v>0.97791567212897668</v>
      </c>
      <c r="AE40" s="31">
        <f t="shared" si="0"/>
        <v>0.88604650679587216</v>
      </c>
      <c r="AF40" s="167">
        <f>X40/AE40</f>
        <v>51965.387422499691</v>
      </c>
      <c r="AG40" s="125">
        <v>11</v>
      </c>
      <c r="AH40" s="163">
        <f>AH27</f>
        <v>90380.992683968507</v>
      </c>
      <c r="AI40" s="26">
        <f>AI36</f>
        <v>52602.927532842659</v>
      </c>
    </row>
    <row r="41" spans="1:35" s="28" customFormat="1" ht="13.8" x14ac:dyDescent="0.3">
      <c r="A41" s="140"/>
      <c r="B41" s="26"/>
      <c r="C41" s="26"/>
      <c r="D41" s="26"/>
      <c r="E41" s="26"/>
      <c r="F41" s="26"/>
      <c r="G41" s="26"/>
      <c r="H41" s="26"/>
      <c r="I41" s="26"/>
      <c r="J41" s="26"/>
      <c r="K41" s="75"/>
      <c r="L41" s="30"/>
      <c r="M41" s="27"/>
      <c r="N41" s="27"/>
      <c r="O41" s="27"/>
      <c r="P41" s="27"/>
      <c r="Q41" s="27"/>
      <c r="R41" s="27"/>
      <c r="S41" s="27"/>
      <c r="T41" s="27"/>
      <c r="U41" s="30"/>
      <c r="V41" s="40"/>
      <c r="W41" s="26"/>
      <c r="X41" s="167">
        <f>X40+$W$32</f>
        <v>47037.5</v>
      </c>
      <c r="Y41" s="162">
        <f>IF(X41&lt;MIN($I$22:$I$23),MIN($I$25:$I$28),(LOG(($I$17)/0.002))/(LOG(MIN($I$18:$I$19)/MIN($I$22:$I$23))))</f>
        <v>20</v>
      </c>
      <c r="Z41" s="168" t="e">
        <f>(X41/MIN(#REF!))+0.002*(X41/MIN($I$22:$I$23))^Y41</f>
        <v>#REF!</v>
      </c>
      <c r="AA41" s="167">
        <f>X41/((X41/$C$22)+0.002*Y41*(X41/MIN($I$22:$I$23))^(Y41-1))</f>
        <v>5317245.756183221</v>
      </c>
      <c r="AB41" s="167">
        <f>X41/((X41/$C$22)+0.002*(X41/MIN($I$22:$I$23))^Y41)</f>
        <v>9623899.3606360797</v>
      </c>
      <c r="AC41" s="162">
        <f>0.5-((0.5-$C$23)*(AB41/$C$22))</f>
        <v>0.30752201278727842</v>
      </c>
      <c r="AD41" s="162">
        <f>((AB41/$C$22)*(1-$C$23^2)/(1-AC41^2))</f>
        <v>0.96724720530443298</v>
      </c>
      <c r="AE41" s="31">
        <f t="shared" si="0"/>
        <v>0.85135252512023818</v>
      </c>
      <c r="AF41" s="167">
        <f>X41/AE41</f>
        <v>55250.320651080234</v>
      </c>
      <c r="AG41" s="125">
        <v>12</v>
      </c>
      <c r="AH41" s="26">
        <v>0</v>
      </c>
      <c r="AI41" s="26">
        <f>AI36</f>
        <v>52602.927532842659</v>
      </c>
    </row>
    <row r="42" spans="1:35" s="28" customFormat="1" ht="13.8" x14ac:dyDescent="0.3">
      <c r="A42" s="75"/>
      <c r="B42" s="75"/>
      <c r="C42" s="78"/>
      <c r="D42" s="79"/>
      <c r="E42" s="71"/>
      <c r="J42" s="74"/>
      <c r="K42" s="75"/>
      <c r="L42" s="30"/>
      <c r="M42" s="27"/>
      <c r="N42" s="27"/>
      <c r="O42" s="27"/>
      <c r="P42" s="27"/>
      <c r="Q42" s="27"/>
      <c r="R42" s="27"/>
      <c r="S42" s="27"/>
      <c r="T42" s="27"/>
      <c r="U42" s="30"/>
      <c r="V42" s="40"/>
      <c r="W42" s="26"/>
      <c r="X42" s="167">
        <f>X41+$W$32</f>
        <v>48031.25</v>
      </c>
      <c r="Y42" s="162">
        <f>IF(X42&lt;MIN($I$22:$I$23),MIN($I$25:$I$28),(LOG(($I$17)/0.002))/(LOG(MIN($I$18:$I$19)/MIN($I$22:$I$23))))</f>
        <v>20</v>
      </c>
      <c r="Z42" s="168" t="e">
        <f>(X42/MIN(#REF!))+0.002*(X42/MIN($I$22:$I$23))^Y42</f>
        <v>#REF!</v>
      </c>
      <c r="AA42" s="167">
        <f>X42/((X42/$C$22)+0.002*Y42*(X42/MIN($I$22:$I$23))^(Y42-1))</f>
        <v>4380077.8263102742</v>
      </c>
      <c r="AB42" s="167">
        <f>X42/((X42/$C$22)+0.002*(X42/MIN($I$22:$I$23))^Y42)</f>
        <v>9450555.4945238456</v>
      </c>
      <c r="AC42" s="162">
        <f>0.5-((0.5-$C$23)*(AB42/$C$22))</f>
        <v>0.31098889010952308</v>
      </c>
      <c r="AD42" s="162">
        <f>((AB42/$C$22)*(1-$C$23^2)/(1-AC42^2))</f>
        <v>0.95208011136160664</v>
      </c>
      <c r="AE42" s="31">
        <f t="shared" si="0"/>
        <v>0.81206317964862373</v>
      </c>
      <c r="AF42" s="167">
        <f>X42/AE42</f>
        <v>59147.183622809884</v>
      </c>
      <c r="AG42" s="125">
        <v>13</v>
      </c>
      <c r="AH42" s="26"/>
      <c r="AI42" s="26"/>
    </row>
    <row r="43" spans="1:35" s="28" customFormat="1" ht="13.8" x14ac:dyDescent="0.3">
      <c r="A43" s="75"/>
      <c r="B43" s="75"/>
      <c r="C43" s="78"/>
      <c r="D43" s="79"/>
      <c r="E43" s="71"/>
      <c r="J43" s="74"/>
      <c r="K43" s="75"/>
      <c r="L43" s="30"/>
      <c r="M43" s="27"/>
      <c r="N43" s="27"/>
      <c r="O43" s="27"/>
      <c r="P43" s="27"/>
      <c r="Q43" s="27"/>
      <c r="R43" s="27"/>
      <c r="S43" s="27"/>
      <c r="T43" s="27"/>
      <c r="U43" s="30"/>
      <c r="V43" s="40"/>
      <c r="W43" s="26"/>
      <c r="X43" s="167">
        <f>X42+$W$32</f>
        <v>49025</v>
      </c>
      <c r="Y43" s="162">
        <f>IF(X43&lt;MIN($I$22:$I$23),MIN($I$25:$I$28),(LOG(($I$17)/0.002))/(LOG(MIN($I$18:$I$19)/MIN($I$22:$I$23))))</f>
        <v>20</v>
      </c>
      <c r="Z43" s="168" t="e">
        <f>(X43/MIN(#REF!))+0.002*(X43/MIN($I$22:$I$23))^Y43</f>
        <v>#REF!</v>
      </c>
      <c r="AA43" s="167">
        <f>X43/((X43/$C$22)+0.002*Y43*(X43/MIN($I$22:$I$23))^(Y43-1))</f>
        <v>3502672.0513392286</v>
      </c>
      <c r="AB43" s="167">
        <f>X43/((X43/$C$22)+0.002*(X43/MIN($I$22:$I$23))^Y43)</f>
        <v>9209866.6545774043</v>
      </c>
      <c r="AC43" s="162">
        <f>0.5-((0.5-$C$23)*(AB43/$C$22))</f>
        <v>0.31580266690845193</v>
      </c>
      <c r="AD43" s="162">
        <f>((AB43/$C$22)*(1-$C$23^2)/(1-AC43^2))</f>
        <v>0.93094193800827296</v>
      </c>
      <c r="AE43" s="31">
        <f t="shared" si="0"/>
        <v>0.76902931045181788</v>
      </c>
      <c r="AF43" s="167">
        <f>X43/AE43</f>
        <v>63749.195685658553</v>
      </c>
      <c r="AG43" s="125">
        <v>14</v>
      </c>
      <c r="AH43" s="26"/>
      <c r="AI43" s="26"/>
    </row>
    <row r="44" spans="1:35" s="28" customFormat="1" ht="13.8" x14ac:dyDescent="0.3">
      <c r="A44" s="76"/>
      <c r="B44" s="73"/>
      <c r="C44" s="83"/>
      <c r="D44" s="71"/>
      <c r="E44" s="71"/>
      <c r="J44" s="71"/>
      <c r="K44" s="71"/>
      <c r="L44" s="30"/>
      <c r="M44" s="27"/>
      <c r="N44" s="27"/>
      <c r="O44" s="27"/>
      <c r="P44" s="27"/>
      <c r="Q44" s="27"/>
      <c r="R44" s="27"/>
      <c r="S44" s="27"/>
      <c r="T44" s="27"/>
      <c r="U44" s="30"/>
      <c r="V44" s="40"/>
      <c r="W44" s="26"/>
      <c r="X44" s="167">
        <f>X43+$W$32</f>
        <v>50018.75</v>
      </c>
      <c r="Y44" s="162">
        <f>IF(X44&lt;MIN($I$22:$I$23),MIN($I$25:$I$28),(LOG(($I$17)/0.002))/(LOG(MIN($I$18:$I$19)/MIN($I$22:$I$23))))</f>
        <v>20</v>
      </c>
      <c r="Z44" s="168" t="e">
        <f>(X44/MIN(#REF!))+0.002*(X44/MIN($I$22:$I$23))^Y44</f>
        <v>#REF!</v>
      </c>
      <c r="AA44" s="167">
        <f>X44/((X44/$C$22)+0.002*Y44*(X44/MIN($I$22:$I$23))^(Y44-1))</f>
        <v>2730741.6702999123</v>
      </c>
      <c r="AB44" s="167">
        <f>X44/((X44/$C$22)+0.002*(X44/MIN($I$22:$I$23))^Y44)</f>
        <v>8884043.8095203433</v>
      </c>
      <c r="AC44" s="162">
        <f>0.5-((0.5-$C$23)*(AB44/$C$22))</f>
        <v>0.32231912380959316</v>
      </c>
      <c r="AD44" s="162">
        <f>((AB44/$C$22)*(1-$C$23^2)/(1-AC44^2))</f>
        <v>0.90217455630535159</v>
      </c>
      <c r="AE44" s="31">
        <f t="shared" si="0"/>
        <v>0.72281890303402607</v>
      </c>
      <c r="AF44" s="167">
        <f>X44/AE44</f>
        <v>69199.559931328215</v>
      </c>
      <c r="AG44" s="125">
        <v>15</v>
      </c>
      <c r="AH44" s="26"/>
      <c r="AI44" s="26"/>
    </row>
    <row r="45" spans="1:35" s="28" customFormat="1" ht="13.8" x14ac:dyDescent="0.3">
      <c r="A45" s="71"/>
      <c r="B45" s="74"/>
      <c r="C45" s="84"/>
      <c r="D45" s="80"/>
      <c r="E45" s="78"/>
      <c r="J45" s="71"/>
      <c r="K45" s="71"/>
      <c r="L45" s="30"/>
      <c r="M45" s="27"/>
      <c r="N45" s="27"/>
      <c r="O45" s="27"/>
      <c r="P45" s="27"/>
      <c r="Q45" s="27"/>
      <c r="R45" s="27"/>
      <c r="S45" s="27"/>
      <c r="T45" s="27"/>
      <c r="U45" s="30"/>
      <c r="V45" s="40"/>
      <c r="W45" s="26"/>
      <c r="X45" s="167">
        <f>X44+$W$32</f>
        <v>51012.5</v>
      </c>
      <c r="Y45" s="162">
        <f>IF(X45&lt;MIN($I$22:$I$23),MIN($I$25:$I$28),(LOG(($I$17)/0.002))/(LOG(MIN($I$18:$I$19)/MIN($I$22:$I$23))))</f>
        <v>20</v>
      </c>
      <c r="Z45" s="168" t="e">
        <f>(X45/MIN(#REF!))+0.002*(X45/MIN($I$22:$I$23))^Y45</f>
        <v>#REF!</v>
      </c>
      <c r="AA45" s="167">
        <f>X45/((X45/$C$22)+0.002*Y45*(X45/MIN($I$22:$I$23))^(Y45-1))</f>
        <v>2086320.5881424455</v>
      </c>
      <c r="AB45" s="167">
        <f>X45/((X45/$C$22)+0.002*(X45/MIN($I$22:$I$23))^Y45)</f>
        <v>8456343.1952665169</v>
      </c>
      <c r="AC45" s="162">
        <f>0.5-((0.5-$C$23)*(AB45/$C$22))</f>
        <v>0.33087313609466962</v>
      </c>
      <c r="AD45" s="162">
        <f>((AB45/$C$22)*(1-$C$23^2)/(1-AC45^2))</f>
        <v>0.86412957170654225</v>
      </c>
      <c r="AE45" s="31">
        <f t="shared" si="0"/>
        <v>0.67350584161122395</v>
      </c>
      <c r="AF45" s="167">
        <f>X45/AE45</f>
        <v>75741.733550466481</v>
      </c>
      <c r="AG45" s="125">
        <v>16</v>
      </c>
      <c r="AH45" s="26">
        <v>0</v>
      </c>
      <c r="AI45" s="26">
        <v>0</v>
      </c>
    </row>
    <row r="46" spans="1:35" s="28" customFormat="1" ht="13.8" x14ac:dyDescent="0.3">
      <c r="A46" s="71"/>
      <c r="B46" s="82"/>
      <c r="C46" s="83"/>
      <c r="D46" s="71"/>
      <c r="E46" s="71"/>
      <c r="J46" s="71"/>
      <c r="K46" s="71"/>
      <c r="L46" s="30"/>
      <c r="M46" s="27"/>
      <c r="N46" s="27"/>
      <c r="O46" s="27"/>
      <c r="P46" s="27"/>
      <c r="Q46" s="27"/>
      <c r="R46" s="27"/>
      <c r="S46" s="27"/>
      <c r="T46" s="27"/>
      <c r="U46" s="30"/>
      <c r="V46" s="40"/>
      <c r="W46" s="26"/>
      <c r="X46" s="167">
        <f>X45+$W$32</f>
        <v>52006.25</v>
      </c>
      <c r="Y46" s="162">
        <f>IF(X46&lt;MIN($I$22:$I$23),MIN($I$25:$I$28),(LOG(($I$17)/0.002))/(LOG(MIN($I$18:$I$19)/MIN($I$22:$I$23))))</f>
        <v>20</v>
      </c>
      <c r="Z46" s="168" t="e">
        <f>(X46/MIN(#REF!))+0.002*(X46/MIN($I$22:$I$23))^Y46</f>
        <v>#REF!</v>
      </c>
      <c r="AA46" s="167">
        <f>X46/((X46/$C$22)+0.002*Y46*(X46/MIN($I$22:$I$23))^(Y46-1))</f>
        <v>1570334.4760444358</v>
      </c>
      <c r="AB46" s="167">
        <f>X46/((X46/$C$22)+0.002*(X46/MIN($I$22:$I$23))^Y46)</f>
        <v>7915331.669413805</v>
      </c>
      <c r="AC46" s="162">
        <f>0.5-((0.5-$C$23)*(AB46/$C$22))</f>
        <v>0.34169336661172389</v>
      </c>
      <c r="AD46" s="162">
        <f>((AB46/$C$22)*(1-$C$23^2)/(1-AC46^2))</f>
        <v>0.81550946495017973</v>
      </c>
      <c r="AE46" s="31">
        <f t="shared" si="0"/>
        <v>0.62077616428775573</v>
      </c>
      <c r="AF46" s="167">
        <f>X46/AE46</f>
        <v>83776.170851645205</v>
      </c>
      <c r="AG46" s="125">
        <v>17</v>
      </c>
      <c r="AH46" s="163">
        <f>AI46</f>
        <v>53000</v>
      </c>
      <c r="AI46" s="163">
        <f>X47</f>
        <v>53000</v>
      </c>
    </row>
    <row r="47" spans="1:35" s="28" customFormat="1" ht="13.8" x14ac:dyDescent="0.3">
      <c r="A47" s="71"/>
      <c r="B47" s="73"/>
      <c r="C47" s="85"/>
      <c r="D47" s="71"/>
      <c r="E47" s="71"/>
      <c r="F47" s="77"/>
      <c r="G47" s="71"/>
      <c r="H47" s="71"/>
      <c r="I47" s="77"/>
      <c r="J47" s="71"/>
      <c r="K47" s="71"/>
      <c r="L47" s="30"/>
      <c r="M47" s="27"/>
      <c r="N47" s="27"/>
      <c r="O47" s="27"/>
      <c r="P47" s="27"/>
      <c r="Q47" s="27"/>
      <c r="R47" s="27"/>
      <c r="S47" s="27"/>
      <c r="T47" s="27"/>
      <c r="U47" s="30"/>
      <c r="V47" s="40"/>
      <c r="W47" s="26"/>
      <c r="X47" s="167">
        <f>MIN(I22:I23)</f>
        <v>53000</v>
      </c>
      <c r="Y47" s="162">
        <f>IF(X47&lt;MIN($I$22:$I$23),MIN($I$25:$I$28),(LOG(($I$17)/0.002))/(LOG(MIN($I$18:$I$19)/MIN($I$22:$I$23))))</f>
        <v>22.633414379010524</v>
      </c>
      <c r="Z47" s="168" t="e">
        <f>(X47/MIN(#REF!))+0.002*(X47/MIN($I$22:$I$23))^Y47</f>
        <v>#REF!</v>
      </c>
      <c r="AA47" s="167">
        <f>X47/((X47/$C$22)+0.002*Y47*(X47/MIN($I$22:$I$23))^(Y47-1))</f>
        <v>1048117.932283681</v>
      </c>
      <c r="AB47" s="167">
        <f>X47/((X47/$C$22)+0.002*(X47/MIN($I$22:$I$23))^Y47)</f>
        <v>7260273.9726027399</v>
      </c>
      <c r="AC47" s="162">
        <f>0.5-((0.5-$C$23)*(AB47/$C$22))</f>
        <v>0.35479452054794519</v>
      </c>
      <c r="AD47" s="162">
        <f>((AB47/$C$22)*(1-$C$23^2)/(1-AC47^2))</f>
        <v>0.75582790740609551</v>
      </c>
      <c r="AE47" s="31">
        <f t="shared" si="0"/>
        <v>0.55921141640543404</v>
      </c>
      <c r="AF47" s="167">
        <f>X47/AE47</f>
        <v>94776.319733741722</v>
      </c>
      <c r="AG47" s="125">
        <v>18</v>
      </c>
      <c r="AH47" s="163">
        <f>AF55</f>
        <v>1267495.1090712582</v>
      </c>
      <c r="AI47" s="163">
        <f>AI46</f>
        <v>53000</v>
      </c>
    </row>
    <row r="48" spans="1:35" s="28" customFormat="1" ht="13.8" x14ac:dyDescent="0.3">
      <c r="A48" s="71"/>
      <c r="B48" s="73"/>
      <c r="C48" s="86"/>
      <c r="D48" s="71"/>
      <c r="E48" s="72"/>
      <c r="F48" s="77"/>
      <c r="G48" s="71"/>
      <c r="H48" s="71"/>
      <c r="I48" s="77"/>
      <c r="J48" s="71"/>
      <c r="K48" s="71"/>
      <c r="L48" s="30"/>
      <c r="M48" s="27"/>
      <c r="N48" s="27"/>
      <c r="O48" s="27"/>
      <c r="P48" s="27"/>
      <c r="Q48" s="27"/>
      <c r="R48" s="27"/>
      <c r="S48" s="27"/>
      <c r="T48" s="27"/>
      <c r="U48" s="30"/>
      <c r="V48" s="40"/>
      <c r="W48" s="26"/>
      <c r="X48" s="167">
        <f>X47+$W$34</f>
        <v>54250</v>
      </c>
      <c r="Y48" s="162">
        <f>IF(X48&lt;MIN($I$22:$I$23),MIN($I$25:$I$28),(LOG(($I$17)/0.002))/(LOG(MIN($I$18:$I$19)/MIN($I$22:$I$23))))</f>
        <v>22.633414379010524</v>
      </c>
      <c r="Z48" s="168" t="e">
        <f>(X48/MIN(#REF!))+0.002*(X48/MIN($I$22:$I$23))^Y48</f>
        <v>#REF!</v>
      </c>
      <c r="AA48" s="167">
        <f>X48/((X48/$C$22)+0.002*Y48*(X48/MIN($I$22:$I$23))^(Y48-1))</f>
        <v>674928.69893933996</v>
      </c>
      <c r="AB48" s="167">
        <f>X48/((X48/$C$22)+0.002*(X48/MIN($I$22:$I$23))^Y48)</f>
        <v>6154456.2705344306</v>
      </c>
      <c r="AC48" s="162">
        <f>0.5-((0.5-$C$23)*(AB48/$C$22))</f>
        <v>0.37691087458931138</v>
      </c>
      <c r="AD48" s="162">
        <f>((AB48/$C$22)*(1-$C$23^2)/(1-AC48^2))</f>
        <v>0.65279238695589381</v>
      </c>
      <c r="AE48" s="31">
        <f t="shared" si="0"/>
        <v>0.47360991430623856</v>
      </c>
      <c r="AF48" s="167">
        <f>X48/AE48</f>
        <v>114545.74400003307</v>
      </c>
      <c r="AG48" s="125">
        <v>19</v>
      </c>
      <c r="AH48" s="26"/>
      <c r="AI48" s="26"/>
    </row>
    <row r="49" spans="1:94" s="28" customFormat="1" ht="13.8" x14ac:dyDescent="0.3">
      <c r="A49" s="71"/>
      <c r="B49" s="72"/>
      <c r="C49" s="72"/>
      <c r="D49" s="77"/>
      <c r="E49" s="72"/>
      <c r="F49" s="77"/>
      <c r="G49" s="71"/>
      <c r="H49" s="71"/>
      <c r="I49" s="77"/>
      <c r="J49" s="71"/>
      <c r="K49" s="71"/>
      <c r="L49" s="30"/>
      <c r="M49" s="27"/>
      <c r="N49" s="27"/>
      <c r="O49" s="27"/>
      <c r="P49" s="27"/>
      <c r="Q49" s="27"/>
      <c r="R49" s="27"/>
      <c r="S49" s="27"/>
      <c r="T49" s="27"/>
      <c r="U49" s="30"/>
      <c r="V49" s="40"/>
      <c r="W49" s="29"/>
      <c r="X49" s="167">
        <f>X48+$W$34</f>
        <v>55500</v>
      </c>
      <c r="Y49" s="162">
        <f>IF(X49&lt;MIN($I$22:$I$23),MIN($I$25:$I$28),(LOG(($I$17)/0.002))/(LOG(MIN($I$18:$I$19)/MIN($I$22:$I$23))))</f>
        <v>22.633414379010524</v>
      </c>
      <c r="Z49" s="168" t="e">
        <f>(X49/MIN(#REF!))+0.002*(X49/MIN($I$22:$I$23))^Y49</f>
        <v>#REF!</v>
      </c>
      <c r="AA49" s="167">
        <f>X49/((X49/$C$22)+0.002*Y49*(X49/MIN($I$22:$I$23))^(Y49-1))</f>
        <v>432773.30677624507</v>
      </c>
      <c r="AB49" s="167">
        <f>X49/((X49/$C$22)+0.002*(X49/MIN($I$22:$I$23))^Y49)</f>
        <v>4943631.4351349119</v>
      </c>
      <c r="AC49" s="162">
        <f>0.5-((0.5-$C$23)*(AB49/$C$22))</f>
        <v>0.40112737129730175</v>
      </c>
      <c r="AD49" s="162">
        <f>((AB49/$C$22)*(1-$C$23^2)/(1-AC49^2))</f>
        <v>0.53613652613499441</v>
      </c>
      <c r="AE49" s="31">
        <f t="shared" si="0"/>
        <v>0.38391005248611032</v>
      </c>
      <c r="AF49" s="167">
        <f>X49/AE49</f>
        <v>144565.11268875399</v>
      </c>
      <c r="AG49" s="125">
        <v>20</v>
      </c>
      <c r="AH49" s="26"/>
      <c r="AI49" s="26"/>
    </row>
    <row r="50" spans="1:94" s="28" customFormat="1" ht="13.8" x14ac:dyDescent="0.3">
      <c r="A50" s="71"/>
      <c r="B50" s="87"/>
      <c r="C50" s="77"/>
      <c r="D50" s="77"/>
      <c r="E50" s="72"/>
      <c r="F50" s="77"/>
      <c r="G50" s="71"/>
      <c r="H50" s="71"/>
      <c r="I50" s="77"/>
      <c r="J50" s="71"/>
      <c r="K50" s="71"/>
      <c r="L50" s="30"/>
      <c r="M50" s="27"/>
      <c r="N50" s="27"/>
      <c r="O50" s="27"/>
      <c r="P50" s="27"/>
      <c r="Q50" s="27"/>
      <c r="R50" s="27"/>
      <c r="S50" s="27"/>
      <c r="T50" s="27"/>
      <c r="U50" s="30"/>
      <c r="V50" s="40"/>
      <c r="W50" s="29"/>
      <c r="X50" s="167">
        <f>X49+$W$34</f>
        <v>56750</v>
      </c>
      <c r="Y50" s="162">
        <f>IF(X50&lt;MIN($I$22:$I$23),MIN($I$25:$I$28),(LOG(($I$17)/0.002))/(LOG(MIN($I$18:$I$19)/MIN($I$22:$I$23))))</f>
        <v>22.633414379010524</v>
      </c>
      <c r="Z50" s="168" t="e">
        <f>(X50/MIN(#REF!))+0.002*(X50/MIN($I$22:$I$23))^Y50</f>
        <v>#REF!</v>
      </c>
      <c r="AA50" s="167">
        <f>X50/((X50/$C$22)+0.002*Y50*(X50/MIN($I$22:$I$23))^(Y50-1))</f>
        <v>277751.56703101069</v>
      </c>
      <c r="AB50" s="167">
        <f>X50/((X50/$C$22)+0.002*(X50/MIN($I$22:$I$23))^Y50)</f>
        <v>3765115.4524208801</v>
      </c>
      <c r="AC50" s="162">
        <f>0.5-((0.5-$C$23)*(AB50/$C$22))</f>
        <v>0.42469769095158239</v>
      </c>
      <c r="AD50" s="162">
        <f>((AB50/$C$22)*(1-$C$23^2)/(1-AC50^2))</f>
        <v>0.41802364960101485</v>
      </c>
      <c r="AE50" s="31">
        <f t="shared" si="0"/>
        <v>0.29682256805120666</v>
      </c>
      <c r="AF50" s="167">
        <f>X50/AE50</f>
        <v>191191.66164686545</v>
      </c>
      <c r="AG50" s="125">
        <v>21</v>
      </c>
      <c r="AH50" s="26"/>
      <c r="AI50" s="26"/>
    </row>
    <row r="51" spans="1:94" s="28" customFormat="1" ht="13.8" x14ac:dyDescent="0.3">
      <c r="A51" s="71"/>
      <c r="B51" s="77"/>
      <c r="C51" s="77"/>
      <c r="D51" s="72"/>
      <c r="E51" s="77"/>
      <c r="F51" s="71"/>
      <c r="G51" s="71"/>
      <c r="H51" s="77"/>
      <c r="I51" s="71"/>
      <c r="J51" s="71"/>
      <c r="K51" s="71"/>
      <c r="L51" s="30"/>
      <c r="M51" s="27"/>
      <c r="N51" s="27"/>
      <c r="O51" s="27"/>
      <c r="P51" s="27"/>
      <c r="Q51" s="27"/>
      <c r="R51" s="27"/>
      <c r="S51" s="27"/>
      <c r="T51" s="27"/>
      <c r="U51" s="30"/>
      <c r="V51" s="40"/>
      <c r="W51" s="29"/>
      <c r="X51" s="167">
        <f>X50+$W$34</f>
        <v>58000</v>
      </c>
      <c r="Y51" s="162">
        <f>IF(X51&lt;MIN($I$22:$I$23),MIN($I$25:$I$28),(LOG(($I$17)/0.002))/(LOG(MIN($I$18:$I$19)/MIN($I$22:$I$23))))</f>
        <v>22.633414379010524</v>
      </c>
      <c r="Z51" s="168" t="e">
        <f>(X51/MIN(#REF!))+0.002*(X51/MIN($I$22:$I$23))^Y51</f>
        <v>#REF!</v>
      </c>
      <c r="AA51" s="167">
        <f>X51/((X51/$C$22)+0.002*Y51*(X51/MIN($I$22:$I$23))^(Y51-1))</f>
        <v>178982.38532982412</v>
      </c>
      <c r="AB51" s="167">
        <f>X51/((X51/$C$22)+0.002*(X51/MIN($I$22:$I$23))^Y51)</f>
        <v>2737425.7030594186</v>
      </c>
      <c r="AC51" s="162">
        <f>0.5-((0.5-$C$23)*(AB51/$C$22))</f>
        <v>0.44525148593881164</v>
      </c>
      <c r="AD51" s="162">
        <f>((AB51/$C$22)*(1-$C$23^2)/(1-AC51^2))</f>
        <v>0.31070208016541795</v>
      </c>
      <c r="AE51" s="31">
        <f t="shared" si="0"/>
        <v>0.2194658006819914</v>
      </c>
      <c r="AF51" s="167">
        <f>X51/AE51</f>
        <v>264278.07804115547</v>
      </c>
      <c r="AG51" s="125">
        <v>22</v>
      </c>
      <c r="AH51" s="26"/>
      <c r="AI51" s="26"/>
    </row>
    <row r="52" spans="1:94" s="28" customFormat="1" ht="13.8" x14ac:dyDescent="0.3">
      <c r="A52" s="5"/>
      <c r="B52" s="5"/>
      <c r="C52" s="42"/>
      <c r="D52" s="42"/>
      <c r="E52" s="42"/>
      <c r="F52" s="42"/>
      <c r="G52" s="5"/>
      <c r="H52" s="42"/>
      <c r="I52" s="42"/>
      <c r="J52" s="5"/>
      <c r="K52" s="5"/>
      <c r="L52" s="30"/>
      <c r="M52" s="27"/>
      <c r="N52" s="27"/>
      <c r="O52" s="27"/>
      <c r="P52" s="27"/>
      <c r="Q52" s="27"/>
      <c r="R52" s="27"/>
      <c r="S52" s="27"/>
      <c r="T52" s="27"/>
      <c r="U52" s="30"/>
      <c r="V52" s="40"/>
      <c r="W52" s="29"/>
      <c r="X52" s="167">
        <f>X51+$W$34</f>
        <v>59250</v>
      </c>
      <c r="Y52" s="162">
        <f>IF(X52&lt;MIN($I$22:$I$23),MIN($I$25:$I$28),(LOG(($I$17)/0.002))/(LOG(MIN($I$18:$I$19)/MIN($I$22:$I$23))))</f>
        <v>22.633414379010524</v>
      </c>
      <c r="Z52" s="168" t="e">
        <f>(X52/MIN(#REF!))+0.002*(X52/MIN($I$22:$I$23))^Y52</f>
        <v>#REF!</v>
      </c>
      <c r="AA52" s="167">
        <f>X52/((X52/$C$22)+0.002*Y52*(X52/MIN($I$22:$I$23))^(Y52-1))</f>
        <v>116014.70077668678</v>
      </c>
      <c r="AB52" s="167">
        <f>X52/((X52/$C$22)+0.002*(X52/MIN($I$22:$I$23))^Y52)</f>
        <v>1920102.3621538368</v>
      </c>
      <c r="AC52" s="162">
        <f>0.5-((0.5-$C$23)*(AB52/$C$22))</f>
        <v>0.46159795275692328</v>
      </c>
      <c r="AD52" s="162">
        <f>((AB52/$C$22)*(1-$C$23^2)/(1-AC52^2))</f>
        <v>0.22203996264005943</v>
      </c>
      <c r="AE52" s="31">
        <f t="shared" si="0"/>
        <v>0.15634776068572179</v>
      </c>
      <c r="AF52" s="167">
        <f>X52/AE52</f>
        <v>378962.89489620371</v>
      </c>
      <c r="AG52" s="125">
        <v>23</v>
      </c>
      <c r="AH52" s="26"/>
      <c r="AI52" s="26"/>
    </row>
    <row r="53" spans="1:94" s="28" customFormat="1" ht="13.8" x14ac:dyDescent="0.3">
      <c r="A53" s="5"/>
      <c r="B53" s="42"/>
      <c r="C53" s="48"/>
      <c r="D53" s="41"/>
      <c r="E53" s="44"/>
      <c r="F53" s="40"/>
      <c r="G53" s="5"/>
      <c r="H53" s="44"/>
      <c r="I53" s="40"/>
      <c r="J53" s="43"/>
      <c r="K53" s="43"/>
      <c r="L53" s="30"/>
      <c r="M53" s="27"/>
      <c r="N53" s="27"/>
      <c r="O53" s="27"/>
      <c r="P53" s="27"/>
      <c r="Q53" s="27"/>
      <c r="R53" s="27"/>
      <c r="S53" s="27"/>
      <c r="T53" s="27"/>
      <c r="U53" s="30"/>
      <c r="V53" s="40"/>
      <c r="W53" s="29"/>
      <c r="X53" s="167">
        <f>X52+$W$34</f>
        <v>60500</v>
      </c>
      <c r="Y53" s="162">
        <f>IF(X53&lt;MIN($I$22:$I$23),MIN($I$25:$I$28),(LOG(($I$17)/0.002))/(LOG(MIN($I$18:$I$19)/MIN($I$22:$I$23))))</f>
        <v>22.633414379010524</v>
      </c>
      <c r="Z53" s="168" t="e">
        <f>(X53/MIN(#REF!))+0.002*(X53/MIN($I$22:$I$23))^Y53</f>
        <v>#REF!</v>
      </c>
      <c r="AA53" s="167">
        <f>X53/((X53/$C$22)+0.002*Y53*(X53/MIN($I$22:$I$23))^(Y53-1))</f>
        <v>75717.53550424875</v>
      </c>
      <c r="AB53" s="167">
        <f>X53/((X53/$C$22)+0.002*(X53/MIN($I$22:$I$23))^Y53)</f>
        <v>1313979.9814946097</v>
      </c>
      <c r="AC53" s="162">
        <f>0.5-((0.5-$C$23)*(AB53/$C$22))</f>
        <v>0.47372040037010782</v>
      </c>
      <c r="AD53" s="162">
        <f>((AB53/$C$22)*(1-$C$23^2)/(1-AC53^2))</f>
        <v>0.15416951639198598</v>
      </c>
      <c r="AE53" s="31">
        <f t="shared" si="0"/>
        <v>0.10836416732125727</v>
      </c>
      <c r="AF53" s="167">
        <f>X53/AE53</f>
        <v>558302.63356927957</v>
      </c>
      <c r="AG53" s="125">
        <v>24</v>
      </c>
      <c r="AH53" s="29"/>
      <c r="AI53" s="29"/>
    </row>
    <row r="54" spans="1:94" s="28" customFormat="1" ht="13.8" x14ac:dyDescent="0.3">
      <c r="A54" s="5"/>
      <c r="B54" s="42"/>
      <c r="C54" s="48"/>
      <c r="D54" s="41"/>
      <c r="E54" s="44"/>
      <c r="F54" s="40"/>
      <c r="G54" s="5"/>
      <c r="H54" s="44"/>
      <c r="I54" s="40"/>
      <c r="J54" s="43"/>
      <c r="K54" s="43"/>
      <c r="L54" s="30"/>
      <c r="M54" s="27"/>
      <c r="N54" s="27"/>
      <c r="O54" s="27"/>
      <c r="P54" s="27"/>
      <c r="Q54" s="27"/>
      <c r="R54" s="27"/>
      <c r="S54" s="27"/>
      <c r="T54" s="27"/>
      <c r="U54" s="30"/>
      <c r="V54" s="40"/>
      <c r="W54" s="29"/>
      <c r="X54" s="167">
        <f>X53+$W$34</f>
        <v>61750</v>
      </c>
      <c r="Y54" s="162">
        <f>IF(X54&lt;MIN($I$22:$I$23),MIN($I$25:$I$28),(LOG(($I$17)/0.002))/(LOG(MIN($I$18:$I$19)/MIN($I$22:$I$23))))</f>
        <v>22.633414379010524</v>
      </c>
      <c r="Z54" s="168" t="e">
        <f>(X54/MIN(#REF!))+0.002*(X54/MIN($I$22:$I$23))^Y54</f>
        <v>#REF!</v>
      </c>
      <c r="AA54" s="167">
        <f>X54/((X54/$C$22)+0.002*Y54*(X54/MIN($I$22:$I$23))^(Y54-1))</f>
        <v>49782.015729234408</v>
      </c>
      <c r="AB54" s="167">
        <f>X54/((X54/$C$22)+0.002*(X54/MIN($I$22:$I$23))^Y54)</f>
        <v>885821.83067898301</v>
      </c>
      <c r="AC54" s="162">
        <f>0.5-((0.5-$C$23)*(AB54/$C$22))</f>
        <v>0.48228356338642031</v>
      </c>
      <c r="AD54" s="162">
        <f>((AB54/$C$22)*(1-$C$23^2)/(1-AC54^2))</f>
        <v>0.1050423732238151</v>
      </c>
      <c r="AE54" s="31">
        <f t="shared" si="0"/>
        <v>7.3765927830331715E-2</v>
      </c>
      <c r="AF54" s="167">
        <f>X54/AE54</f>
        <v>837107.34503374738</v>
      </c>
      <c r="AG54" s="125">
        <v>25</v>
      </c>
      <c r="AH54" s="29"/>
      <c r="AI54" s="29"/>
    </row>
    <row r="55" spans="1:94" s="28" customFormat="1" ht="13.8" x14ac:dyDescent="0.3">
      <c r="A55" s="5"/>
      <c r="B55" s="176" t="s">
        <v>118</v>
      </c>
      <c r="C55" s="144"/>
      <c r="D55" s="145"/>
      <c r="E55" s="144"/>
      <c r="F55" s="144"/>
      <c r="G55" s="111"/>
      <c r="H55" s="111"/>
      <c r="I55" s="111"/>
      <c r="J55" s="144"/>
      <c r="K55" s="144"/>
      <c r="L55" s="30"/>
      <c r="M55" s="27"/>
      <c r="N55" s="27"/>
      <c r="O55" s="27"/>
      <c r="P55" s="27"/>
      <c r="Q55" s="27"/>
      <c r="R55" s="27"/>
      <c r="S55" s="27"/>
      <c r="T55" s="27"/>
      <c r="U55" s="30"/>
      <c r="V55" s="49"/>
      <c r="W55" s="29"/>
      <c r="X55" s="167">
        <f>MIN(I18:I19)</f>
        <v>63000</v>
      </c>
      <c r="Y55" s="162">
        <f>IF(X55&lt;MIN($I$22:$I$23),MIN($I$25:$I$28),(LOG(($I$17)/0.002))/(LOG(MIN($I$18:$I$19)/MIN($I$22:$I$23))))</f>
        <v>22.633414379010524</v>
      </c>
      <c r="Z55" s="168" t="e">
        <f>(X55/MIN(#REF!))+0.002*(X55/MIN($I$22:$I$23))^Y55</f>
        <v>#REF!</v>
      </c>
      <c r="AA55" s="167">
        <f>X55/((X55/$C$22)+0.002*Y55*(X55/MIN($I$22:$I$23))^(Y55-1))</f>
        <v>32977.716777394831</v>
      </c>
      <c r="AB55" s="167">
        <f>X55/((X55/$C$22)+0.002*(X55/MIN($I$22:$I$23))^Y55)</f>
        <v>592662.27657572913</v>
      </c>
      <c r="AC55" s="162">
        <f>0.5-((0.5-$C$23)*(AB55/$C$22))</f>
        <v>0.48814675446848543</v>
      </c>
      <c r="AD55" s="162">
        <f>((AB55/$C$22)*(1-$C$23^2)/(1-AC55^2))</f>
        <v>7.0803944721147608E-2</v>
      </c>
      <c r="AE55" s="31">
        <f t="shared" si="0"/>
        <v>4.9704333806986044E-2</v>
      </c>
      <c r="AF55" s="167">
        <f>X55/AE55</f>
        <v>1267495.1090712582</v>
      </c>
      <c r="AG55" s="125">
        <v>26</v>
      </c>
      <c r="AH55" s="29"/>
      <c r="AI55" s="29"/>
    </row>
    <row r="56" spans="1:94" s="28" customFormat="1" ht="15" x14ac:dyDescent="0.35">
      <c r="A56" s="5"/>
      <c r="B56" s="143"/>
      <c r="C56" s="137" t="s">
        <v>77</v>
      </c>
      <c r="D56" s="177">
        <f>AI36</f>
        <v>52602.927532842659</v>
      </c>
      <c r="E56" s="144"/>
      <c r="F56" s="144"/>
      <c r="G56" s="111"/>
      <c r="H56" s="111"/>
      <c r="I56" s="138"/>
      <c r="J56" s="91" t="str">
        <f>"M.S. = "&amp;[1]!xln(K56)&amp;" ="</f>
        <v>M.S. = 52603 / 25000 - 1 =</v>
      </c>
      <c r="K56" s="150">
        <f>D56/C28-1</f>
        <v>1.1041171013137063</v>
      </c>
      <c r="L56" s="30"/>
      <c r="M56" s="27"/>
      <c r="N56" s="27"/>
      <c r="O56" s="27"/>
      <c r="P56" s="27"/>
      <c r="Q56" s="27"/>
      <c r="R56" s="27"/>
      <c r="S56" s="27"/>
      <c r="T56" s="27"/>
      <c r="U56" s="30"/>
      <c r="V56" s="5"/>
    </row>
    <row r="57" spans="1:94" s="28" customFormat="1" ht="13.8" x14ac:dyDescent="0.3">
      <c r="A57" s="51"/>
      <c r="B57" s="52"/>
      <c r="C57" s="53"/>
      <c r="D57" s="51"/>
      <c r="E57" s="51"/>
      <c r="F57" s="51"/>
      <c r="G57" s="53"/>
      <c r="H57" s="51"/>
      <c r="I57" s="51"/>
      <c r="J57" s="51"/>
      <c r="K57" s="51"/>
      <c r="L57" s="30"/>
      <c r="M57" s="27"/>
      <c r="N57" s="27"/>
      <c r="O57" s="27"/>
      <c r="P57" s="27"/>
      <c r="Q57" s="27"/>
      <c r="R57" s="27"/>
      <c r="S57" s="27"/>
      <c r="T57" s="27"/>
      <c r="U57" s="30"/>
      <c r="V57" s="30"/>
    </row>
    <row r="58" spans="1:94" s="28" customFormat="1" ht="13.8" x14ac:dyDescent="0.3">
      <c r="A58" s="51"/>
      <c r="B58" s="54"/>
      <c r="C58" s="53"/>
      <c r="D58" s="55"/>
      <c r="E58" s="55"/>
      <c r="F58" s="56" t="s">
        <v>34</v>
      </c>
      <c r="G58" s="53"/>
      <c r="H58" s="55"/>
      <c r="I58" s="55"/>
      <c r="J58" s="55"/>
      <c r="K58" s="51"/>
      <c r="L58" s="30"/>
      <c r="M58" s="27"/>
      <c r="N58" s="27"/>
      <c r="O58" s="27"/>
      <c r="P58" s="27"/>
      <c r="Q58" s="27"/>
      <c r="R58" s="27"/>
      <c r="S58" s="27"/>
      <c r="T58" s="27"/>
      <c r="U58" s="30"/>
      <c r="V58" s="30"/>
    </row>
    <row r="59" spans="1:94" s="28" customFormat="1" ht="13.8" x14ac:dyDescent="0.3">
      <c r="A59" s="51"/>
      <c r="B59" s="55"/>
      <c r="C59" s="55"/>
      <c r="D59" s="55"/>
      <c r="E59" s="55"/>
      <c r="F59" s="90" t="s">
        <v>47</v>
      </c>
      <c r="G59" s="55"/>
      <c r="H59" s="55"/>
      <c r="I59" s="55"/>
      <c r="J59" s="55"/>
      <c r="K59" s="51"/>
      <c r="L59" s="30"/>
      <c r="M59" s="27"/>
      <c r="N59" s="27"/>
      <c r="O59" s="27"/>
      <c r="P59" s="27"/>
      <c r="Q59" s="27"/>
      <c r="R59" s="27"/>
      <c r="S59" s="27"/>
      <c r="T59" s="27"/>
      <c r="U59" s="30"/>
      <c r="V59" s="30"/>
    </row>
    <row r="60" spans="1:94" s="125" customFormat="1" ht="13.8" x14ac:dyDescent="0.3">
      <c r="A60" s="119"/>
      <c r="B60" s="111"/>
      <c r="C60" s="111"/>
      <c r="D60" s="111"/>
      <c r="E60" s="112"/>
      <c r="F60" s="113"/>
      <c r="G60" s="111"/>
      <c r="H60" s="120"/>
      <c r="I60" s="112"/>
      <c r="J60" s="121"/>
      <c r="K60" s="122"/>
      <c r="L60" s="123"/>
      <c r="M60" s="114"/>
      <c r="N60" s="114"/>
      <c r="O60" s="114"/>
      <c r="P60" s="115"/>
      <c r="Q60" s="124"/>
      <c r="R60" s="124"/>
      <c r="S60" s="124"/>
      <c r="T60" s="124"/>
      <c r="AJ60" s="118"/>
      <c r="AK60" s="118"/>
    </row>
    <row r="61" spans="1:94" s="127" customFormat="1" ht="13.8" x14ac:dyDescent="0.3">
      <c r="A61" s="111"/>
      <c r="B61" s="111"/>
      <c r="C61" s="111"/>
      <c r="D61" s="111"/>
      <c r="E61" s="112"/>
      <c r="F61" s="120"/>
      <c r="G61" s="111"/>
      <c r="H61" s="120"/>
      <c r="I61" s="112"/>
      <c r="J61" s="122"/>
      <c r="K61" s="122"/>
      <c r="L61" s="123"/>
      <c r="M61" s="114"/>
      <c r="N61" s="114"/>
      <c r="O61" s="114"/>
      <c r="P61" s="115"/>
      <c r="Q61" s="126"/>
      <c r="R61" s="126"/>
      <c r="S61" s="126"/>
      <c r="T61" s="126"/>
      <c r="AJ61" s="118"/>
      <c r="AK61" s="118"/>
      <c r="AT61" s="128"/>
      <c r="BF61" s="128"/>
      <c r="BR61" s="128"/>
      <c r="CD61" s="128"/>
      <c r="CP61" s="128"/>
    </row>
    <row r="62" spans="1:94" s="125" customFormat="1" ht="13.8" x14ac:dyDescent="0.3">
      <c r="A62" s="111"/>
      <c r="B62" s="111"/>
      <c r="C62" s="111"/>
      <c r="D62" s="111"/>
      <c r="E62" s="112"/>
      <c r="F62" s="120"/>
      <c r="G62" s="111"/>
      <c r="H62" s="120"/>
      <c r="I62" s="112"/>
      <c r="J62" s="113"/>
      <c r="K62" s="120"/>
      <c r="L62" s="123"/>
      <c r="M62" s="114"/>
      <c r="N62" s="114"/>
      <c r="O62" s="114"/>
      <c r="P62" s="115"/>
      <c r="Q62" s="124"/>
      <c r="R62" s="124"/>
      <c r="S62" s="124"/>
      <c r="T62" s="124"/>
      <c r="AJ62" s="118"/>
      <c r="AK62" s="118"/>
      <c r="AT62" s="128"/>
      <c r="BF62" s="128"/>
      <c r="BR62" s="128"/>
      <c r="CD62" s="128"/>
      <c r="CP62" s="128"/>
    </row>
    <row r="63" spans="1:94" s="26" customFormat="1" ht="13.8" x14ac:dyDescent="0.3">
      <c r="A63" s="111"/>
      <c r="B63" s="111"/>
      <c r="C63" s="111"/>
      <c r="D63" s="111"/>
      <c r="E63" s="112"/>
      <c r="F63" s="120"/>
      <c r="G63" s="111"/>
      <c r="H63" s="111"/>
      <c r="I63" s="130"/>
      <c r="J63" s="113"/>
      <c r="K63" s="111"/>
      <c r="L63" s="111"/>
      <c r="M63" s="114"/>
      <c r="N63" s="114"/>
      <c r="O63" s="114"/>
      <c r="P63" s="115"/>
      <c r="Q63" s="124"/>
      <c r="R63" s="124"/>
      <c r="S63" s="124"/>
      <c r="T63" s="124"/>
      <c r="U63" s="125"/>
      <c r="V63" s="116"/>
      <c r="AT63" s="91"/>
      <c r="BF63" s="91"/>
      <c r="BR63" s="91"/>
      <c r="CD63" s="91"/>
      <c r="CP63" s="91"/>
    </row>
    <row r="64" spans="1:94" s="26" customFormat="1" ht="13.5" customHeight="1" x14ac:dyDescent="0.3">
      <c r="A64" s="133"/>
      <c r="B64" s="105"/>
      <c r="C64" s="131"/>
      <c r="D64" s="131"/>
      <c r="E64" s="131"/>
      <c r="F64" s="131"/>
      <c r="G64" s="131"/>
      <c r="H64" s="131"/>
      <c r="I64" s="131"/>
      <c r="J64" s="131"/>
      <c r="K64" s="131"/>
      <c r="L64" s="125"/>
      <c r="M64" s="124"/>
      <c r="N64" s="124"/>
      <c r="O64" s="124"/>
      <c r="P64" s="132"/>
      <c r="Q64" s="124"/>
      <c r="R64" s="124"/>
      <c r="S64" s="124"/>
      <c r="T64" s="124"/>
      <c r="U64" s="125"/>
      <c r="AQ64" s="134"/>
      <c r="BE64" s="134"/>
      <c r="BQ64" s="134"/>
      <c r="CC64" s="134"/>
      <c r="CO64" s="134"/>
    </row>
    <row r="65" spans="1:93" s="26" customFormat="1" ht="13.8" x14ac:dyDescent="0.3">
      <c r="C65" s="135"/>
      <c r="D65" s="135"/>
      <c r="E65" s="135"/>
      <c r="F65" s="135"/>
      <c r="G65" s="135"/>
      <c r="H65" s="135"/>
      <c r="I65" s="135"/>
      <c r="J65" s="135"/>
      <c r="K65" s="131"/>
      <c r="L65" s="125"/>
      <c r="M65" s="124"/>
      <c r="N65" s="124"/>
      <c r="O65" s="124"/>
      <c r="P65" s="132"/>
      <c r="Q65" s="124"/>
      <c r="R65" s="124"/>
      <c r="S65" s="124"/>
      <c r="T65" s="124"/>
      <c r="U65" s="125"/>
      <c r="AQ65" s="129"/>
      <c r="BE65" s="129"/>
      <c r="BQ65" s="129"/>
      <c r="CC65" s="129"/>
      <c r="CO65" s="129"/>
    </row>
    <row r="66" spans="1:93" s="26" customFormat="1" ht="13.8" x14ac:dyDescent="0.3">
      <c r="A66" s="131"/>
      <c r="B66" s="156"/>
      <c r="C66" s="135"/>
      <c r="D66" s="135"/>
      <c r="E66" s="135"/>
      <c r="F66" s="135"/>
      <c r="G66" s="135"/>
      <c r="H66" s="135"/>
      <c r="I66" s="135"/>
      <c r="J66" s="135"/>
      <c r="K66" s="131"/>
      <c r="L66" s="125"/>
      <c r="M66" s="124"/>
      <c r="N66" s="124"/>
      <c r="O66" s="124"/>
      <c r="P66" s="132"/>
      <c r="Q66" s="124"/>
      <c r="R66" s="124"/>
      <c r="S66" s="124"/>
      <c r="T66" s="124"/>
      <c r="U66" s="125"/>
      <c r="AQ66" s="129"/>
      <c r="BE66" s="129"/>
      <c r="BQ66" s="129"/>
      <c r="CC66" s="129"/>
      <c r="CO66" s="129"/>
    </row>
    <row r="67" spans="1:93" s="26" customFormat="1" ht="13.8" x14ac:dyDescent="0.3">
      <c r="A67" s="140"/>
      <c r="F67" s="140"/>
      <c r="K67" s="125"/>
      <c r="L67" s="125"/>
      <c r="M67" s="124"/>
      <c r="N67" s="27"/>
      <c r="O67" s="27"/>
      <c r="P67" s="27"/>
      <c r="Q67" s="27"/>
      <c r="R67" s="27"/>
      <c r="S67" s="27"/>
      <c r="T67" s="124"/>
    </row>
    <row r="68" spans="1:93" s="26" customFormat="1" ht="13.8" x14ac:dyDescent="0.3">
      <c r="A68" s="140"/>
      <c r="F68" s="158"/>
      <c r="K68" s="125"/>
      <c r="L68" s="125"/>
      <c r="M68" s="124"/>
      <c r="N68" s="27"/>
      <c r="O68" s="27"/>
      <c r="P68" s="27"/>
      <c r="Q68" s="27"/>
      <c r="R68" s="27"/>
      <c r="S68" s="27"/>
      <c r="T68" s="124"/>
    </row>
    <row r="69" spans="1:93" s="26" customFormat="1" ht="13.8" x14ac:dyDescent="0.3">
      <c r="A69" s="140"/>
      <c r="K69" s="125"/>
      <c r="L69" s="125"/>
      <c r="M69" s="124"/>
      <c r="N69" s="27"/>
      <c r="O69" s="27"/>
      <c r="P69" s="27"/>
      <c r="Q69" s="27"/>
      <c r="R69" s="27"/>
      <c r="S69" s="27"/>
      <c r="T69" s="124"/>
    </row>
    <row r="70" spans="1:93" s="26" customFormat="1" ht="13.8" x14ac:dyDescent="0.3">
      <c r="A70" s="140"/>
      <c r="F70" s="29"/>
      <c r="K70" s="125"/>
      <c r="L70" s="125"/>
      <c r="M70" s="124"/>
      <c r="N70" s="27"/>
      <c r="O70" s="27"/>
      <c r="P70" s="27"/>
      <c r="Q70" s="27"/>
      <c r="R70" s="27"/>
      <c r="S70" s="27"/>
      <c r="T70" s="124"/>
    </row>
    <row r="71" spans="1:93" s="26" customFormat="1" ht="13.8" x14ac:dyDescent="0.3">
      <c r="A71" s="140"/>
      <c r="F71" s="29"/>
      <c r="K71" s="147"/>
      <c r="L71" s="125"/>
      <c r="M71" s="124"/>
      <c r="N71" s="27"/>
      <c r="O71" s="27"/>
      <c r="P71" s="27"/>
      <c r="Q71" s="27"/>
      <c r="R71" s="27"/>
      <c r="S71" s="27"/>
      <c r="T71" s="124"/>
    </row>
    <row r="72" spans="1:93" s="26" customFormat="1" ht="13.8" x14ac:dyDescent="0.3">
      <c r="A72" s="140"/>
      <c r="F72" s="162"/>
      <c r="K72" s="125"/>
      <c r="L72" s="125"/>
      <c r="M72" s="124"/>
      <c r="N72" s="27"/>
      <c r="O72" s="27"/>
      <c r="P72" s="27"/>
      <c r="Q72" s="27"/>
      <c r="R72" s="27"/>
      <c r="S72" s="27"/>
      <c r="T72" s="124"/>
    </row>
    <row r="73" spans="1:93" s="26" customFormat="1" ht="13.8" x14ac:dyDescent="0.3">
      <c r="A73" s="140"/>
      <c r="F73" s="162"/>
      <c r="K73" s="125"/>
      <c r="L73" s="125"/>
      <c r="M73" s="124"/>
      <c r="N73" s="27"/>
      <c r="O73" s="27"/>
      <c r="P73" s="27"/>
      <c r="Q73" s="27"/>
      <c r="R73" s="27"/>
      <c r="S73" s="27"/>
      <c r="T73" s="124"/>
    </row>
    <row r="74" spans="1:93" s="26" customFormat="1" ht="13.8" x14ac:dyDescent="0.3">
      <c r="A74" s="140"/>
      <c r="F74" s="140"/>
      <c r="G74" s="140"/>
      <c r="H74" s="140"/>
      <c r="I74" s="125"/>
      <c r="J74" s="125"/>
      <c r="K74" s="125"/>
      <c r="L74" s="125"/>
      <c r="M74" s="124"/>
      <c r="N74" s="27"/>
      <c r="O74" s="27"/>
      <c r="P74" s="27"/>
      <c r="Q74" s="27"/>
      <c r="R74" s="27"/>
      <c r="S74" s="27"/>
      <c r="T74" s="124"/>
    </row>
    <row r="75" spans="1:93" s="26" customFormat="1" ht="13.8" x14ac:dyDescent="0.3">
      <c r="A75" s="140"/>
      <c r="F75" s="140"/>
      <c r="G75" s="140"/>
      <c r="H75" s="140"/>
      <c r="I75" s="125"/>
      <c r="J75" s="125"/>
      <c r="K75" s="125"/>
      <c r="L75" s="125"/>
      <c r="M75" s="124"/>
      <c r="N75" s="27"/>
      <c r="O75" s="27"/>
      <c r="P75" s="27"/>
      <c r="Q75" s="27"/>
      <c r="R75" s="27"/>
      <c r="S75" s="27"/>
      <c r="T75" s="124"/>
    </row>
    <row r="76" spans="1:93" s="26" customFormat="1" ht="13.8" x14ac:dyDescent="0.3">
      <c r="A76" s="140"/>
      <c r="F76" s="140"/>
      <c r="G76" s="140"/>
      <c r="H76" s="140"/>
      <c r="I76" s="125"/>
      <c r="J76" s="125"/>
      <c r="K76" s="125"/>
      <c r="L76" s="125"/>
      <c r="M76" s="124"/>
      <c r="N76" s="27"/>
      <c r="O76" s="27"/>
      <c r="P76" s="27"/>
      <c r="Q76" s="27"/>
      <c r="R76" s="27"/>
      <c r="S76" s="27"/>
      <c r="T76" s="124"/>
    </row>
    <row r="77" spans="1:93" s="26" customFormat="1" ht="13.8" x14ac:dyDescent="0.3">
      <c r="L77" s="125"/>
      <c r="M77" s="124"/>
      <c r="N77" s="27"/>
      <c r="O77" s="27"/>
      <c r="P77" s="27"/>
      <c r="Q77" s="27"/>
      <c r="R77" s="27"/>
      <c r="S77" s="27"/>
      <c r="T77" s="124"/>
    </row>
    <row r="78" spans="1:93" s="26" customFormat="1" ht="13.8" x14ac:dyDescent="0.3">
      <c r="L78" s="125"/>
      <c r="M78" s="124"/>
      <c r="N78" s="27"/>
      <c r="O78" s="27"/>
      <c r="P78" s="27"/>
      <c r="Q78" s="27"/>
      <c r="R78" s="27"/>
      <c r="S78" s="27"/>
      <c r="T78" s="124"/>
    </row>
    <row r="79" spans="1:93" s="26" customFormat="1" ht="13.8" x14ac:dyDescent="0.3">
      <c r="K79" s="125"/>
      <c r="L79" s="125"/>
      <c r="M79" s="124"/>
      <c r="N79" s="27"/>
      <c r="O79" s="27"/>
      <c r="P79" s="27"/>
      <c r="Q79" s="27"/>
      <c r="R79" s="27"/>
      <c r="S79" s="27"/>
      <c r="T79" s="124"/>
    </row>
    <row r="80" spans="1:93" s="26" customFormat="1" ht="13.8" x14ac:dyDescent="0.3">
      <c r="K80" s="125"/>
      <c r="L80" s="125"/>
      <c r="M80" s="124"/>
      <c r="N80" s="27"/>
      <c r="O80" s="27"/>
      <c r="P80" s="27"/>
      <c r="Q80" s="27"/>
      <c r="R80" s="27"/>
      <c r="S80" s="27"/>
      <c r="T80" s="124"/>
    </row>
    <row r="81" spans="1:36" s="26" customFormat="1" ht="13.8" x14ac:dyDescent="0.3">
      <c r="K81" s="125"/>
      <c r="L81" s="125"/>
      <c r="M81" s="124"/>
      <c r="N81" s="27"/>
      <c r="O81" s="27"/>
      <c r="P81" s="27"/>
      <c r="Q81" s="27"/>
      <c r="R81" s="27"/>
      <c r="S81" s="27"/>
      <c r="T81" s="124"/>
    </row>
    <row r="82" spans="1:36" s="26" customFormat="1" ht="13.8" x14ac:dyDescent="0.3">
      <c r="K82" s="125"/>
      <c r="L82" s="125"/>
      <c r="M82" s="124"/>
      <c r="N82" s="27"/>
      <c r="O82" s="27"/>
      <c r="P82" s="27"/>
      <c r="Q82" s="27"/>
      <c r="R82" s="27"/>
      <c r="S82" s="27"/>
      <c r="T82" s="124"/>
    </row>
    <row r="83" spans="1:36" s="26" customFormat="1" ht="13.8" x14ac:dyDescent="0.3">
      <c r="A83" s="140"/>
      <c r="B83" s="140"/>
      <c r="C83" s="157"/>
      <c r="D83" s="157"/>
      <c r="E83" s="157"/>
      <c r="F83" s="157"/>
      <c r="G83" s="161"/>
      <c r="H83" s="161"/>
      <c r="I83" s="125"/>
      <c r="J83" s="125"/>
      <c r="K83" s="125"/>
      <c r="L83" s="125"/>
      <c r="M83" s="124"/>
      <c r="N83" s="27"/>
      <c r="O83" s="27"/>
      <c r="P83" s="27"/>
      <c r="Q83" s="27"/>
      <c r="R83" s="27"/>
      <c r="S83" s="27"/>
      <c r="T83" s="124"/>
    </row>
    <row r="84" spans="1:36" s="26" customFormat="1" ht="13.8" x14ac:dyDescent="0.3">
      <c r="A84" s="140"/>
      <c r="B84" s="171"/>
      <c r="E84" s="169"/>
      <c r="F84" s="169"/>
      <c r="G84" s="161"/>
      <c r="H84" s="161"/>
      <c r="I84" s="125"/>
      <c r="J84" s="125"/>
      <c r="K84" s="125"/>
      <c r="L84" s="125"/>
      <c r="M84" s="124"/>
      <c r="N84" s="27"/>
      <c r="O84" s="27"/>
      <c r="P84" s="27"/>
      <c r="Q84" s="27"/>
      <c r="R84" s="27"/>
      <c r="S84" s="27"/>
      <c r="T84" s="124"/>
    </row>
    <row r="85" spans="1:36" s="26" customFormat="1" ht="13.8" x14ac:dyDescent="0.3">
      <c r="A85" s="140"/>
      <c r="B85" s="139"/>
      <c r="C85" s="158"/>
      <c r="D85" s="161"/>
      <c r="E85" s="139"/>
      <c r="F85" s="158"/>
      <c r="G85" s="161"/>
      <c r="H85" s="161"/>
      <c r="I85" s="125"/>
      <c r="J85" s="125"/>
      <c r="K85" s="125"/>
      <c r="L85" s="125"/>
      <c r="M85" s="124"/>
      <c r="N85" s="27"/>
      <c r="O85" s="27"/>
      <c r="P85" s="27"/>
      <c r="Q85" s="27"/>
      <c r="R85" s="27"/>
      <c r="S85" s="27"/>
      <c r="T85" s="124"/>
    </row>
    <row r="86" spans="1:36" s="26" customFormat="1" ht="13.8" x14ac:dyDescent="0.3">
      <c r="A86" s="140"/>
      <c r="B86" s="139"/>
      <c r="C86" s="172"/>
      <c r="D86" s="161"/>
      <c r="E86" s="139"/>
      <c r="F86" s="158"/>
      <c r="G86" s="161"/>
      <c r="H86" s="161"/>
      <c r="I86" s="128"/>
      <c r="J86" s="125"/>
      <c r="K86" s="125"/>
      <c r="L86" s="147"/>
      <c r="M86" s="124"/>
      <c r="N86" s="27"/>
      <c r="O86" s="27"/>
      <c r="P86" s="27"/>
      <c r="Q86" s="27"/>
      <c r="R86" s="27"/>
      <c r="S86" s="27"/>
      <c r="T86" s="124"/>
    </row>
    <row r="87" spans="1:36" s="26" customFormat="1" ht="13.8" x14ac:dyDescent="0.3">
      <c r="A87" s="140"/>
      <c r="B87" s="139"/>
      <c r="C87" s="158"/>
      <c r="D87" s="161"/>
      <c r="E87" s="139"/>
      <c r="F87" s="158"/>
      <c r="G87" s="161"/>
      <c r="H87" s="161"/>
      <c r="I87" s="125"/>
      <c r="J87" s="125"/>
      <c r="K87" s="125"/>
      <c r="L87" s="173"/>
      <c r="M87" s="124"/>
      <c r="N87" s="27"/>
      <c r="O87" s="27"/>
      <c r="P87" s="27"/>
      <c r="Q87" s="27"/>
      <c r="R87" s="27"/>
      <c r="S87" s="27"/>
      <c r="T87" s="124"/>
    </row>
    <row r="88" spans="1:36" s="26" customFormat="1" ht="13.8" x14ac:dyDescent="0.3">
      <c r="A88" s="140"/>
      <c r="B88" s="140"/>
      <c r="C88" s="140"/>
      <c r="D88" s="140"/>
      <c r="E88" s="140"/>
      <c r="F88" s="140"/>
      <c r="G88" s="140"/>
      <c r="H88" s="140"/>
      <c r="I88" s="125"/>
      <c r="J88" s="125"/>
      <c r="K88" s="125"/>
      <c r="L88" s="173"/>
      <c r="M88" s="124"/>
      <c r="N88" s="27"/>
      <c r="O88" s="27"/>
      <c r="P88" s="27"/>
      <c r="Q88" s="27"/>
      <c r="R88" s="27"/>
      <c r="S88" s="27"/>
      <c r="T88" s="124"/>
    </row>
    <row r="89" spans="1:36" s="26" customFormat="1" ht="13.8" x14ac:dyDescent="0.3">
      <c r="A89" s="140"/>
      <c r="B89" s="140"/>
      <c r="C89" s="140"/>
      <c r="D89" s="140"/>
      <c r="E89" s="140"/>
      <c r="F89" s="140"/>
      <c r="G89" s="140"/>
      <c r="H89" s="140"/>
      <c r="I89" s="125"/>
      <c r="J89" s="125"/>
      <c r="K89" s="125"/>
      <c r="L89" s="173"/>
      <c r="M89" s="124"/>
      <c r="N89" s="27"/>
      <c r="O89" s="27"/>
      <c r="P89" s="27"/>
      <c r="Q89" s="27"/>
      <c r="R89" s="27"/>
      <c r="S89" s="27"/>
      <c r="T89" s="124"/>
    </row>
    <row r="90" spans="1:36" s="26" customFormat="1" ht="13.8" x14ac:dyDescent="0.3">
      <c r="A90" s="140"/>
      <c r="B90" s="174"/>
      <c r="C90" s="175"/>
      <c r="D90" s="175"/>
      <c r="E90" s="175"/>
      <c r="F90" s="175"/>
      <c r="G90" s="175"/>
      <c r="H90" s="175"/>
      <c r="I90" s="175"/>
      <c r="J90" s="175"/>
      <c r="K90" s="125"/>
      <c r="L90" s="173"/>
      <c r="M90" s="124"/>
      <c r="N90" s="27"/>
      <c r="O90" s="27"/>
      <c r="P90" s="27"/>
      <c r="Q90" s="27"/>
      <c r="R90" s="27"/>
      <c r="S90" s="27"/>
      <c r="T90" s="124"/>
    </row>
    <row r="91" spans="1:36" s="26" customFormat="1" ht="13.8" x14ac:dyDescent="0.3">
      <c r="A91" s="140"/>
      <c r="B91" s="139"/>
      <c r="C91" s="175"/>
      <c r="D91" s="175"/>
      <c r="E91" s="175"/>
      <c r="F91" s="175"/>
      <c r="G91" s="175"/>
      <c r="H91" s="175"/>
      <c r="I91" s="175"/>
      <c r="J91" s="175"/>
      <c r="K91" s="125"/>
      <c r="L91" s="173"/>
      <c r="M91" s="124"/>
      <c r="N91" s="27"/>
      <c r="O91" s="27"/>
      <c r="P91" s="27"/>
      <c r="Q91" s="27"/>
      <c r="R91" s="27"/>
      <c r="S91" s="27"/>
      <c r="T91" s="124"/>
    </row>
    <row r="92" spans="1:36" s="26" customFormat="1" ht="13.8" x14ac:dyDescent="0.3">
      <c r="L92" s="173"/>
      <c r="M92" s="124"/>
      <c r="N92" s="27"/>
      <c r="O92" s="27"/>
      <c r="P92" s="27"/>
      <c r="Q92" s="27"/>
      <c r="R92" s="27"/>
      <c r="S92" s="27"/>
      <c r="T92" s="124"/>
    </row>
    <row r="93" spans="1:36" s="26" customFormat="1" ht="13.8" x14ac:dyDescent="0.3">
      <c r="L93" s="125"/>
      <c r="M93" s="124"/>
      <c r="N93" s="27"/>
      <c r="O93" s="27"/>
      <c r="P93" s="27"/>
      <c r="Q93" s="27"/>
      <c r="R93" s="27"/>
      <c r="S93" s="27"/>
      <c r="T93" s="124"/>
    </row>
    <row r="94" spans="1:36" s="29" customFormat="1" ht="13.8" x14ac:dyDescent="0.3">
      <c r="L94" s="125"/>
      <c r="M94" s="124"/>
      <c r="N94" s="27"/>
      <c r="O94" s="27"/>
      <c r="P94" s="27"/>
      <c r="Q94" s="27"/>
      <c r="R94" s="27"/>
      <c r="S94" s="27"/>
      <c r="T94" s="27"/>
      <c r="V94" s="26"/>
      <c r="AJ94" s="26"/>
    </row>
    <row r="95" spans="1:36" s="29" customFormat="1" ht="13.8" x14ac:dyDescent="0.3">
      <c r="L95" s="125"/>
      <c r="M95" s="124"/>
      <c r="N95" s="27"/>
      <c r="O95" s="27"/>
      <c r="P95" s="27"/>
      <c r="Q95" s="27"/>
      <c r="R95" s="27"/>
      <c r="S95" s="27"/>
      <c r="T95" s="27"/>
      <c r="V95" s="26"/>
      <c r="AJ95" s="26"/>
    </row>
    <row r="96" spans="1:36" s="29" customFormat="1" ht="13.8" x14ac:dyDescent="0.3">
      <c r="L96" s="125"/>
      <c r="M96" s="124"/>
      <c r="N96" s="27"/>
      <c r="O96" s="27"/>
      <c r="P96" s="27"/>
      <c r="Q96" s="27"/>
      <c r="R96" s="27"/>
      <c r="S96" s="27"/>
      <c r="T96" s="27"/>
      <c r="V96" s="26"/>
      <c r="AJ96" s="26"/>
    </row>
    <row r="97" spans="1:103" s="29" customFormat="1" ht="13.8" x14ac:dyDescent="0.3">
      <c r="L97" s="125"/>
      <c r="M97" s="124"/>
      <c r="N97" s="27"/>
      <c r="O97" s="27"/>
      <c r="P97" s="27"/>
      <c r="Q97" s="27"/>
      <c r="R97" s="27"/>
      <c r="S97" s="27"/>
      <c r="T97" s="27"/>
      <c r="V97" s="26"/>
      <c r="AJ97" s="26"/>
    </row>
    <row r="98" spans="1:103" s="29" customFormat="1" ht="13.8" x14ac:dyDescent="0.3">
      <c r="L98" s="125"/>
      <c r="M98" s="124"/>
      <c r="N98" s="27"/>
      <c r="O98" s="27"/>
      <c r="P98" s="27"/>
      <c r="Q98" s="27"/>
      <c r="R98" s="27"/>
      <c r="S98" s="27"/>
      <c r="T98" s="27"/>
      <c r="V98" s="26"/>
      <c r="AJ98" s="26"/>
    </row>
    <row r="99" spans="1:103" s="29" customFormat="1" ht="13.8" x14ac:dyDescent="0.3">
      <c r="L99" s="125"/>
      <c r="M99" s="124"/>
      <c r="N99" s="27"/>
      <c r="O99" s="27"/>
      <c r="P99" s="27"/>
      <c r="Q99" s="27"/>
      <c r="R99" s="27"/>
      <c r="S99" s="27"/>
      <c r="T99" s="27"/>
      <c r="V99" s="26"/>
      <c r="AJ99" s="26"/>
    </row>
    <row r="100" spans="1:103" s="29" customFormat="1" ht="13.8" x14ac:dyDescent="0.3">
      <c r="L100" s="125"/>
      <c r="M100" s="124"/>
      <c r="N100" s="27"/>
      <c r="O100" s="27"/>
      <c r="P100" s="27"/>
      <c r="Q100" s="27"/>
      <c r="R100" s="27"/>
      <c r="S100" s="27"/>
      <c r="T100" s="27"/>
      <c r="V100" s="26"/>
      <c r="AJ100" s="26"/>
    </row>
    <row r="101" spans="1:103" s="29" customFormat="1" ht="13.8" x14ac:dyDescent="0.3">
      <c r="L101" s="125"/>
      <c r="M101" s="124"/>
      <c r="N101" s="27"/>
      <c r="O101" s="27"/>
      <c r="P101" s="27"/>
      <c r="Q101" s="27"/>
      <c r="R101" s="27"/>
      <c r="S101" s="27"/>
      <c r="T101" s="27"/>
      <c r="V101" s="26"/>
      <c r="AJ101" s="26"/>
    </row>
    <row r="102" spans="1:103" s="29" customFormat="1" ht="13.8" x14ac:dyDescent="0.3">
      <c r="L102" s="125"/>
      <c r="M102" s="124"/>
      <c r="N102" s="27"/>
      <c r="O102" s="27"/>
      <c r="P102" s="27"/>
      <c r="Q102" s="27"/>
      <c r="R102" s="27"/>
      <c r="S102" s="27"/>
      <c r="T102" s="27"/>
      <c r="V102" s="26"/>
      <c r="AB102" s="26"/>
      <c r="AC102" s="147"/>
      <c r="AG102" s="125"/>
    </row>
    <row r="103" spans="1:103" s="29" customFormat="1" ht="13.8" x14ac:dyDescent="0.3">
      <c r="L103" s="125"/>
      <c r="M103" s="124"/>
      <c r="N103" s="27"/>
      <c r="O103" s="27"/>
      <c r="P103" s="27"/>
      <c r="Q103" s="27"/>
      <c r="R103" s="27"/>
      <c r="S103" s="27"/>
      <c r="T103" s="27"/>
      <c r="V103" s="26"/>
      <c r="AG103" s="125"/>
    </row>
    <row r="104" spans="1:103" s="29" customFormat="1" ht="13.8" x14ac:dyDescent="0.3">
      <c r="A104" s="144"/>
      <c r="L104" s="125"/>
      <c r="M104" s="124"/>
      <c r="N104" s="27"/>
      <c r="O104" s="27"/>
      <c r="P104" s="27"/>
      <c r="Q104" s="27"/>
      <c r="R104" s="27"/>
      <c r="S104" s="27"/>
      <c r="T104" s="27"/>
      <c r="V104" s="26"/>
      <c r="AG104" s="125"/>
    </row>
    <row r="105" spans="1:103" s="29" customFormat="1" ht="13.8" x14ac:dyDescent="0.3">
      <c r="A105" s="144"/>
      <c r="L105" s="125"/>
      <c r="M105" s="124"/>
      <c r="N105" s="27"/>
      <c r="O105" s="27"/>
      <c r="P105" s="27"/>
      <c r="Q105" s="27"/>
      <c r="R105" s="27"/>
      <c r="S105" s="27"/>
      <c r="T105" s="27"/>
      <c r="V105" s="26"/>
      <c r="AG105" s="125"/>
    </row>
    <row r="106" spans="1:103" s="29" customFormat="1" ht="13.8" x14ac:dyDescent="0.3">
      <c r="A106" s="144"/>
      <c r="B106" s="143"/>
      <c r="C106" s="111"/>
      <c r="D106" s="111"/>
      <c r="E106" s="111"/>
      <c r="F106" s="144"/>
      <c r="G106" s="111"/>
      <c r="H106" s="111"/>
      <c r="L106" s="125"/>
      <c r="M106" s="124"/>
      <c r="N106" s="27"/>
      <c r="O106" s="27"/>
      <c r="P106" s="27"/>
      <c r="Q106" s="27"/>
      <c r="R106" s="27"/>
      <c r="S106" s="27"/>
      <c r="T106" s="27"/>
      <c r="V106" s="26"/>
      <c r="AK106" s="147"/>
    </row>
    <row r="107" spans="1:103" s="29" customFormat="1" ht="13.8" x14ac:dyDescent="0.3">
      <c r="L107" s="125"/>
      <c r="M107" s="124"/>
      <c r="N107" s="27"/>
      <c r="O107" s="27"/>
      <c r="P107" s="27"/>
      <c r="Q107" s="27"/>
      <c r="R107" s="27"/>
      <c r="S107" s="27"/>
      <c r="T107" s="27"/>
      <c r="V107" s="26"/>
      <c r="AB107" s="26"/>
      <c r="AC107" s="147"/>
      <c r="AK107" s="147"/>
    </row>
    <row r="108" spans="1:103" s="29" customFormat="1" ht="13.8" x14ac:dyDescent="0.3">
      <c r="L108" s="125"/>
      <c r="M108" s="124"/>
      <c r="N108" s="27"/>
      <c r="O108" s="27"/>
      <c r="P108" s="27"/>
      <c r="Q108" s="27"/>
      <c r="R108" s="27"/>
      <c r="S108" s="27"/>
      <c r="T108" s="27"/>
      <c r="U108" s="148"/>
      <c r="V108" s="131"/>
      <c r="AB108" s="26"/>
      <c r="AC108" s="147"/>
      <c r="AK108" s="160"/>
      <c r="AL108" s="148"/>
      <c r="AM108" s="148"/>
      <c r="AN108" s="148"/>
      <c r="AO108" s="148"/>
      <c r="AP108" s="148"/>
      <c r="AQ108" s="148"/>
    </row>
    <row r="109" spans="1:103" s="26" customFormat="1" ht="13.8" x14ac:dyDescent="0.3">
      <c r="B109" s="137"/>
      <c r="C109" s="149"/>
      <c r="D109" s="131"/>
      <c r="E109" s="131"/>
      <c r="F109" s="131"/>
      <c r="L109" s="125"/>
      <c r="M109" s="124"/>
      <c r="N109" s="124"/>
      <c r="O109" s="124"/>
      <c r="P109" s="132"/>
      <c r="Q109" s="124"/>
      <c r="R109" s="124"/>
      <c r="S109" s="124"/>
      <c r="T109" s="124"/>
      <c r="U109" s="125"/>
      <c r="V109" s="118"/>
      <c r="Y109" s="116"/>
      <c r="Z109" s="117"/>
      <c r="AF109" s="118"/>
      <c r="AG109" s="118"/>
      <c r="AH109" s="118"/>
      <c r="AI109" s="118"/>
      <c r="AJ109" s="118"/>
      <c r="AK109" s="118"/>
      <c r="AL109" s="118"/>
      <c r="AM109" s="118"/>
      <c r="AO109" s="136"/>
      <c r="AQ109" s="129"/>
      <c r="AT109" s="118"/>
      <c r="AU109" s="118"/>
      <c r="AV109" s="118"/>
      <c r="AW109" s="118"/>
      <c r="AX109" s="118"/>
      <c r="AY109" s="118"/>
      <c r="AZ109" s="118"/>
      <c r="BA109" s="118"/>
      <c r="BB109" s="118"/>
      <c r="BC109" s="117"/>
      <c r="BE109" s="129"/>
      <c r="BF109" s="118"/>
      <c r="BG109" s="118"/>
      <c r="BH109" s="118"/>
      <c r="BI109" s="118"/>
      <c r="BJ109" s="118"/>
      <c r="BK109" s="118"/>
      <c r="BL109" s="118"/>
      <c r="BM109" s="118"/>
      <c r="BN109" s="118"/>
      <c r="BO109" s="117"/>
      <c r="BQ109" s="129"/>
      <c r="BR109" s="118"/>
      <c r="BS109" s="118"/>
      <c r="BT109" s="118"/>
      <c r="BU109" s="118"/>
      <c r="BV109" s="118"/>
      <c r="BW109" s="118"/>
      <c r="BX109" s="118"/>
      <c r="BY109" s="118"/>
      <c r="BZ109" s="118"/>
      <c r="CA109" s="117"/>
      <c r="CC109" s="129"/>
      <c r="CD109" s="118"/>
      <c r="CE109" s="118"/>
      <c r="CF109" s="118"/>
      <c r="CG109" s="118"/>
      <c r="CH109" s="118"/>
      <c r="CI109" s="118"/>
      <c r="CJ109" s="118"/>
      <c r="CK109" s="118"/>
      <c r="CL109" s="118"/>
      <c r="CM109" s="117"/>
      <c r="CO109" s="129"/>
      <c r="CP109" s="118"/>
      <c r="CQ109" s="118"/>
      <c r="CR109" s="118"/>
      <c r="CS109" s="118"/>
      <c r="CT109" s="118"/>
      <c r="CU109" s="118"/>
      <c r="CV109" s="118"/>
      <c r="CW109" s="118"/>
      <c r="CX109" s="118"/>
      <c r="CY109" s="117"/>
    </row>
    <row r="110" spans="1:103" s="125" customFormat="1" ht="13.8" x14ac:dyDescent="0.3">
      <c r="A110" s="140"/>
      <c r="B110" s="151"/>
      <c r="C110" s="152"/>
      <c r="D110" s="153"/>
      <c r="E110" s="153"/>
      <c r="F110" s="154"/>
      <c r="G110" s="152"/>
      <c r="H110" s="153"/>
      <c r="I110" s="153"/>
      <c r="J110" s="153"/>
      <c r="K110" s="140"/>
      <c r="M110" s="124"/>
      <c r="N110" s="124"/>
      <c r="O110" s="124"/>
      <c r="P110" s="132"/>
      <c r="Q110" s="124"/>
      <c r="R110" s="124"/>
      <c r="S110" s="124"/>
      <c r="T110" s="124"/>
      <c r="W110" s="26"/>
      <c r="X110" s="26"/>
      <c r="Y110" s="116"/>
      <c r="Z110" s="117"/>
      <c r="AA110" s="26"/>
      <c r="AF110" s="118"/>
      <c r="AG110" s="118"/>
      <c r="AH110" s="118"/>
      <c r="AI110" s="118"/>
      <c r="AJ110" s="118"/>
      <c r="AK110" s="118"/>
      <c r="AL110" s="118"/>
      <c r="AM110" s="118"/>
      <c r="AO110" s="136"/>
      <c r="AQ110" s="129"/>
      <c r="AT110" s="118"/>
      <c r="AU110" s="118"/>
      <c r="AV110" s="118"/>
      <c r="AW110" s="118"/>
      <c r="AX110" s="118"/>
      <c r="AY110" s="118"/>
      <c r="AZ110" s="118"/>
      <c r="BA110" s="118"/>
      <c r="BB110" s="118"/>
      <c r="BC110" s="117"/>
      <c r="BE110" s="129"/>
      <c r="BF110" s="118"/>
      <c r="BG110" s="118"/>
      <c r="BH110" s="118"/>
      <c r="BI110" s="118"/>
      <c r="BJ110" s="118"/>
      <c r="BK110" s="118"/>
      <c r="BL110" s="118"/>
      <c r="BM110" s="118"/>
      <c r="BN110" s="118"/>
      <c r="BO110" s="117"/>
      <c r="BQ110" s="129"/>
      <c r="BR110" s="118"/>
      <c r="BS110" s="118"/>
      <c r="BT110" s="118"/>
      <c r="BU110" s="118"/>
      <c r="BV110" s="118"/>
      <c r="BW110" s="118"/>
      <c r="BX110" s="118"/>
      <c r="BY110" s="118"/>
      <c r="BZ110" s="118"/>
      <c r="CA110" s="117"/>
      <c r="CC110" s="129"/>
      <c r="CD110" s="118"/>
      <c r="CE110" s="118"/>
      <c r="CF110" s="118"/>
      <c r="CG110" s="118"/>
      <c r="CH110" s="118"/>
      <c r="CI110" s="118"/>
      <c r="CJ110" s="118"/>
      <c r="CK110" s="118"/>
      <c r="CL110" s="118"/>
      <c r="CM110" s="117"/>
      <c r="CO110" s="129"/>
      <c r="CP110" s="118"/>
      <c r="CQ110" s="118"/>
      <c r="CR110" s="118"/>
      <c r="CS110" s="118"/>
      <c r="CT110" s="118"/>
      <c r="CU110" s="118"/>
      <c r="CV110" s="118"/>
      <c r="CW110" s="118"/>
      <c r="CX110" s="118"/>
      <c r="CY110" s="117"/>
    </row>
    <row r="111" spans="1:103" s="125" customFormat="1" ht="13.8" x14ac:dyDescent="0.3">
      <c r="A111" s="140"/>
      <c r="B111" s="153"/>
      <c r="C111" s="153"/>
      <c r="D111" s="153"/>
      <c r="E111" s="153"/>
      <c r="F111" s="155"/>
      <c r="G111" s="153"/>
      <c r="H111" s="153"/>
      <c r="I111" s="153"/>
      <c r="J111" s="153"/>
      <c r="K111" s="140"/>
      <c r="M111" s="124"/>
      <c r="N111" s="124"/>
      <c r="O111" s="124"/>
      <c r="P111" s="132"/>
      <c r="Q111" s="124"/>
      <c r="R111" s="124"/>
      <c r="S111" s="124"/>
      <c r="T111" s="124"/>
      <c r="W111" s="26"/>
      <c r="X111" s="26"/>
      <c r="AF111" s="118"/>
      <c r="AG111" s="118"/>
      <c r="AH111" s="118"/>
      <c r="AI111" s="118"/>
      <c r="AJ111" s="118"/>
      <c r="AK111" s="118"/>
      <c r="AL111" s="118"/>
      <c r="AM111" s="118"/>
      <c r="AO111" s="136"/>
      <c r="AQ111" s="129"/>
      <c r="AT111" s="118"/>
      <c r="AU111" s="118"/>
      <c r="AV111" s="118"/>
      <c r="AW111" s="118"/>
      <c r="AX111" s="118"/>
      <c r="AY111" s="118"/>
      <c r="AZ111" s="118"/>
      <c r="BA111" s="118"/>
      <c r="BB111" s="118"/>
      <c r="BC111" s="117"/>
      <c r="BE111" s="129"/>
      <c r="BF111" s="118"/>
      <c r="BG111" s="118"/>
      <c r="BH111" s="118"/>
      <c r="BI111" s="118"/>
      <c r="BJ111" s="118"/>
      <c r="BK111" s="118"/>
      <c r="BL111" s="118"/>
      <c r="BM111" s="118"/>
      <c r="BN111" s="118"/>
      <c r="BO111" s="117"/>
      <c r="BQ111" s="129"/>
      <c r="BR111" s="118"/>
      <c r="BS111" s="118"/>
      <c r="BT111" s="118"/>
      <c r="BU111" s="118"/>
      <c r="BV111" s="118"/>
      <c r="BW111" s="118"/>
      <c r="BX111" s="118"/>
      <c r="BY111" s="118"/>
      <c r="BZ111" s="118"/>
      <c r="CA111" s="117"/>
      <c r="CC111" s="129"/>
      <c r="CD111" s="118"/>
      <c r="CE111" s="118"/>
      <c r="CF111" s="118"/>
      <c r="CG111" s="118"/>
      <c r="CH111" s="118"/>
      <c r="CI111" s="118"/>
      <c r="CJ111" s="118"/>
      <c r="CK111" s="118"/>
      <c r="CL111" s="118"/>
      <c r="CM111" s="117"/>
      <c r="CO111" s="129"/>
      <c r="CP111" s="118"/>
      <c r="CQ111" s="118"/>
      <c r="CR111" s="118"/>
      <c r="CS111" s="118"/>
      <c r="CT111" s="118"/>
      <c r="CU111" s="118"/>
      <c r="CV111" s="118"/>
      <c r="CW111" s="118"/>
      <c r="CX111" s="118"/>
      <c r="CY111" s="117"/>
    </row>
    <row r="112" spans="1:103"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sheetData>
  <mergeCells count="1">
    <mergeCell ref="C26:D26"/>
  </mergeCells>
  <dataValidations count="1">
    <dataValidation type="list" allowBlank="1" showInputMessage="1" showErrorMessage="1" sqref="C26">
      <formula1>"Flathead Rivet,Spotweld,Brazier Head,Countersunk"</formula1>
    </dataValidation>
  </dataValidations>
  <hyperlinks>
    <hyperlink ref="F59" r:id="rId1"/>
    <hyperlink ref="B13" r:id="rId2" display=" (NACA-TN-3785, 1957) "/>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legacyDrawing r:id="rId5"/>
  <oleObjects>
    <mc:AlternateContent xmlns:mc="http://schemas.openxmlformats.org/markup-compatibility/2006">
      <mc:Choice Requires="x14">
        <oleObject progId="Equation.3" shapeId="2053" r:id="rId6">
          <objectPr defaultSize="0" r:id="rId7">
            <anchor moveWithCells="1">
              <from>
                <xdr:col>5</xdr:col>
                <xdr:colOff>76200</xdr:colOff>
                <xdr:row>82</xdr:row>
                <xdr:rowOff>152400</xdr:rowOff>
              </from>
              <to>
                <xdr:col>5</xdr:col>
                <xdr:colOff>99060</xdr:colOff>
                <xdr:row>82</xdr:row>
                <xdr:rowOff>152400</xdr:rowOff>
              </to>
            </anchor>
          </objectPr>
        </oleObject>
      </mc:Choice>
      <mc:Fallback>
        <oleObject progId="Equation.3" shapeId="205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2016-08-07T21:46:55Z</dcterms:modified>
  <cp:category>Engineering Spreadsheets</cp:category>
</cp:coreProperties>
</file>