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SIMPLE!$A$8:$K$113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D79" i="16" l="1"/>
  <c r="AE79" i="16"/>
  <c r="AD80" i="16"/>
  <c r="AE80" i="16"/>
  <c r="AD81" i="16"/>
  <c r="AE81" i="16"/>
  <c r="AD82" i="16"/>
  <c r="AE82" i="16"/>
  <c r="AD83" i="16"/>
  <c r="AE83" i="16"/>
  <c r="AD84" i="16"/>
  <c r="AE84" i="16"/>
  <c r="AD85" i="16"/>
  <c r="AE85" i="16"/>
  <c r="AD86" i="16"/>
  <c r="AE86" i="16"/>
  <c r="AD87" i="16"/>
  <c r="AE87" i="16"/>
  <c r="AD88" i="16"/>
  <c r="AE88" i="16"/>
  <c r="AD89" i="16"/>
  <c r="AE89" i="16"/>
  <c r="AD90" i="16"/>
  <c r="AE90" i="16"/>
  <c r="AD91" i="16"/>
  <c r="AE91" i="16"/>
  <c r="AD92" i="16"/>
  <c r="AE92" i="16"/>
  <c r="AD93" i="16"/>
  <c r="AE93" i="16"/>
  <c r="AD94" i="16"/>
  <c r="AE94" i="16"/>
  <c r="AD95" i="16"/>
  <c r="AE95" i="16"/>
  <c r="AD96" i="16"/>
  <c r="AE96" i="16"/>
  <c r="AD97" i="16"/>
  <c r="AE97" i="16"/>
  <c r="AD98" i="16"/>
  <c r="AE98" i="16"/>
  <c r="AD99" i="16"/>
  <c r="AE99" i="16"/>
  <c r="AD100" i="16"/>
  <c r="AE100" i="16"/>
  <c r="AD101" i="16"/>
  <c r="AE101" i="16"/>
  <c r="AD102" i="16"/>
  <c r="AE102" i="16"/>
  <c r="AD103" i="16"/>
  <c r="AE103" i="16"/>
  <c r="AE78" i="16"/>
  <c r="AD78" i="16"/>
  <c r="AB100" i="16" l="1"/>
  <c r="AB101" i="16"/>
  <c r="AC101" i="16" s="1"/>
  <c r="AB102" i="16"/>
  <c r="AB103"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79" i="16"/>
  <c r="AB80" i="16"/>
  <c r="AC80" i="16" s="1"/>
  <c r="AB81" i="16"/>
  <c r="AC81" i="16" s="1"/>
  <c r="AB82" i="16"/>
  <c r="AB83" i="16"/>
  <c r="AB84" i="16"/>
  <c r="AC84" i="16" s="1"/>
  <c r="AB85" i="16"/>
  <c r="AC85" i="16" s="1"/>
  <c r="AB86" i="16"/>
  <c r="AB87" i="16"/>
  <c r="AC87" i="16" s="1"/>
  <c r="AB88" i="16"/>
  <c r="AC88" i="16" s="1"/>
  <c r="AB89" i="16"/>
  <c r="AC89" i="16" s="1"/>
  <c r="AB90" i="16"/>
  <c r="AB91" i="16"/>
  <c r="AB92" i="16"/>
  <c r="AC92" i="16" s="1"/>
  <c r="AB93" i="16"/>
  <c r="AC93" i="16" s="1"/>
  <c r="AB94" i="16"/>
  <c r="AB95" i="16"/>
  <c r="AC95" i="16" s="1"/>
  <c r="AB96" i="16"/>
  <c r="AC96" i="16" s="1"/>
  <c r="AB97" i="16"/>
  <c r="AC97" i="16" s="1"/>
  <c r="AB98" i="16"/>
  <c r="AB99" i="16"/>
  <c r="AB79" i="16"/>
  <c r="AC79" i="16" s="1"/>
  <c r="AB78" i="16"/>
  <c r="AC78" i="16" s="1"/>
  <c r="AC82" i="16"/>
  <c r="AC83" i="16"/>
  <c r="AC86" i="16"/>
  <c r="AC90" i="16"/>
  <c r="AC91" i="16"/>
  <c r="AC94" i="16"/>
  <c r="AC98" i="16"/>
  <c r="AC99" i="16"/>
  <c r="AC100" i="16"/>
  <c r="AC102" i="16"/>
  <c r="AC103" i="16"/>
  <c r="X103" i="16"/>
  <c r="X95" i="16"/>
  <c r="AI94" i="16" s="1"/>
  <c r="W80" i="16"/>
  <c r="X80" i="16" s="1"/>
  <c r="Y79" i="16"/>
  <c r="X79" i="16"/>
  <c r="Z79" i="16" s="1"/>
  <c r="Y78" i="16"/>
  <c r="Z78" i="16" s="1"/>
  <c r="G69" i="16"/>
  <c r="B65" i="16"/>
  <c r="F64" i="16"/>
  <c r="L63" i="16"/>
  <c r="F63" i="16"/>
  <c r="J62" i="16"/>
  <c r="F62" i="16"/>
  <c r="J61" i="16"/>
  <c r="F61" i="16"/>
  <c r="AA78" i="16" l="1"/>
  <c r="AF78" i="16"/>
  <c r="AI95" i="16"/>
  <c r="AH94" i="16"/>
  <c r="X81" i="16"/>
  <c r="Y80" i="16"/>
  <c r="AF79" i="16"/>
  <c r="Y95" i="16"/>
  <c r="Y103" i="16"/>
  <c r="AJ78" i="16"/>
  <c r="W82" i="16"/>
  <c r="X96" i="16" s="1"/>
  <c r="X97" i="16" l="1"/>
  <c r="Y96" i="16"/>
  <c r="Z96" i="16" s="1"/>
  <c r="Z95" i="16"/>
  <c r="Y81" i="16"/>
  <c r="X82" i="16"/>
  <c r="Z80" i="16"/>
  <c r="Z103" i="16"/>
  <c r="AJ79" i="16"/>
  <c r="AF80" i="16" l="1"/>
  <c r="Y82" i="16"/>
  <c r="X83" i="16"/>
  <c r="Z82" i="16"/>
  <c r="AF103" i="16"/>
  <c r="AH95" i="16" s="1"/>
  <c r="Z81" i="16"/>
  <c r="X98" i="16"/>
  <c r="Y97" i="16"/>
  <c r="Z97" i="16" s="1"/>
  <c r="AJ80" i="16" l="1"/>
  <c r="AJ103" i="16"/>
  <c r="AF95" i="16"/>
  <c r="X84" i="16"/>
  <c r="Y83" i="16"/>
  <c r="AF81" i="16"/>
  <c r="X99" i="16"/>
  <c r="Y98" i="16"/>
  <c r="Z98" i="16" s="1"/>
  <c r="AJ81" i="16" l="1"/>
  <c r="AF82" i="16"/>
  <c r="Z83" i="16"/>
  <c r="X85" i="16"/>
  <c r="Z84" i="16"/>
  <c r="Y84" i="16"/>
  <c r="AF96" i="16"/>
  <c r="X100" i="16"/>
  <c r="Y99" i="16"/>
  <c r="Z99" i="16" s="1"/>
  <c r="AF83" i="16"/>
  <c r="AF98" i="16"/>
  <c r="AJ95" i="16"/>
  <c r="AF84" i="16" l="1"/>
  <c r="AJ98" i="16"/>
  <c r="X101" i="16"/>
  <c r="Z100" i="16"/>
  <c r="Y100" i="16"/>
  <c r="AJ83" i="16"/>
  <c r="AF97" i="16"/>
  <c r="X86" i="16"/>
  <c r="Y85" i="16"/>
  <c r="AJ82" i="16"/>
  <c r="AJ96" i="16"/>
  <c r="AF100" i="16" l="1"/>
  <c r="X102" i="16"/>
  <c r="Y101" i="16"/>
  <c r="Z101" i="16" s="1"/>
  <c r="AF99" i="16"/>
  <c r="AJ97" i="16"/>
  <c r="AJ84" i="16"/>
  <c r="Z85" i="16"/>
  <c r="X87" i="16"/>
  <c r="Y86" i="16"/>
  <c r="AF85" i="16" l="1"/>
  <c r="AJ99" i="16"/>
  <c r="Z86" i="16"/>
  <c r="X88" i="16"/>
  <c r="Y87" i="16"/>
  <c r="AJ100" i="16"/>
  <c r="Y102" i="16"/>
  <c r="AF87" i="16" l="1"/>
  <c r="AF101" i="16"/>
  <c r="Z102" i="16"/>
  <c r="AJ85" i="16"/>
  <c r="Z87" i="16"/>
  <c r="Y88" i="16"/>
  <c r="X89" i="16"/>
  <c r="Z88" i="16"/>
  <c r="AF86" i="16"/>
  <c r="AJ87" i="16" l="1"/>
  <c r="AJ101" i="16"/>
  <c r="AF88" i="16"/>
  <c r="AJ86" i="16"/>
  <c r="AF102" i="16"/>
  <c r="X90" i="16"/>
  <c r="Y89" i="16"/>
  <c r="X91" i="16" l="1"/>
  <c r="Y90" i="16"/>
  <c r="Z90" i="16" s="1"/>
  <c r="AJ102" i="16"/>
  <c r="Z89" i="16"/>
  <c r="AJ88" i="16"/>
  <c r="AF90" i="16" l="1"/>
  <c r="AF89" i="16"/>
  <c r="X92" i="16"/>
  <c r="Y91" i="16"/>
  <c r="Z91" i="16" s="1"/>
  <c r="AF91" i="16" l="1"/>
  <c r="AJ90" i="16"/>
  <c r="X93" i="16"/>
  <c r="Y92" i="16"/>
  <c r="Z92" i="16" s="1"/>
  <c r="AJ89" i="16"/>
  <c r="X94" i="16" l="1"/>
  <c r="Y93" i="16"/>
  <c r="AF92" i="16"/>
  <c r="AJ91" i="16"/>
  <c r="AJ92" i="16" l="1"/>
  <c r="AF93" i="16"/>
  <c r="Z93" i="16"/>
  <c r="Z94" i="16"/>
  <c r="Y94" i="16"/>
  <c r="AF94" i="16" l="1"/>
  <c r="AJ93" i="16"/>
  <c r="AJ94" i="16" l="1"/>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G23" i="16" l="1"/>
  <c r="I43" i="16" s="1"/>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I42" i="16"/>
  <c r="G22" i="16"/>
  <c r="AH24" i="16" l="1"/>
  <c r="AJ24" i="16" s="1"/>
  <c r="AI28" i="16"/>
  <c r="AI29" i="16" s="1"/>
  <c r="X1" i="16"/>
  <c r="G1" i="16" s="1"/>
  <c r="J63" i="16" s="1"/>
  <c r="X2" i="16"/>
  <c r="X3" i="16"/>
  <c r="X4" i="16"/>
  <c r="X5" i="16"/>
  <c r="X6" i="16"/>
  <c r="X7" i="16"/>
  <c r="F8" i="16"/>
  <c r="J8" i="16"/>
  <c r="F9" i="16"/>
  <c r="J9" i="16"/>
  <c r="F10" i="16"/>
  <c r="L10" i="16"/>
  <c r="F11" i="16"/>
  <c r="B12" i="16"/>
  <c r="G24" i="16"/>
  <c r="AB14" i="16" s="1"/>
  <c r="AC14" i="16" s="1"/>
  <c r="X27" i="16"/>
  <c r="X39" i="16"/>
  <c r="J10" i="16" l="1"/>
  <c r="AH25" i="16"/>
  <c r="AI25" i="16" s="1"/>
  <c r="AI24" i="16"/>
  <c r="X33" i="16"/>
  <c r="X44" i="16"/>
  <c r="Z35" i="16"/>
  <c r="AB13" i="16"/>
  <c r="AJ25" i="16" l="1"/>
  <c r="AJ29" i="16" s="1"/>
  <c r="AJ30" i="16" s="1"/>
  <c r="I45" i="16" s="1"/>
  <c r="AC15" i="16"/>
  <c r="I28" i="16"/>
  <c r="Z36" i="16"/>
  <c r="I48" i="16" l="1"/>
  <c r="Z37" i="16"/>
  <c r="I47" i="16"/>
  <c r="C57" i="16" l="1"/>
  <c r="AH75" i="16" s="1"/>
  <c r="Z38" i="16"/>
  <c r="C56" i="16"/>
  <c r="C55" i="16"/>
  <c r="AH88" i="16" l="1"/>
  <c r="AH87" i="16"/>
  <c r="AH79" i="16"/>
  <c r="K58" i="16"/>
  <c r="J58" i="16"/>
  <c r="AI79" i="16" l="1"/>
  <c r="AH81" i="16"/>
  <c r="AH80" i="16"/>
  <c r="AI81" i="16" l="1"/>
  <c r="AI80" i="16"/>
  <c r="AI84" i="16" l="1"/>
  <c r="D107" i="16" l="1"/>
  <c r="K108" i="16" s="1"/>
  <c r="AI88" i="16"/>
  <c r="AI89"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<sst xmlns="http://schemas.openxmlformats.org/spreadsheetml/2006/main" count="176" uniqueCount="119">
  <si>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</si>
  <si>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</si>
  <si>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</si>
  <si>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</si>
  <si>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</si>
  <si>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</si>
  <si>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</si>
  <si>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</si>
  <si>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</si>
  <si>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</si>
  <si>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</si>
  <si>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</si>
  <si>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</si>
  <si>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</si>
  <si>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</si>
  <si>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</si>
  <si>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</si>
  <si>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</si>
  <si>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</si>
  <si>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</si>
  <si>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</si>
  <si>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</si>
  <si>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</si>
  <si>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</si>
  <si>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</si>
  <si>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</si>
  <si>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</si>
  <si>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</si>
  <si>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</si>
  <si>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</si>
  <si>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</si>
  <si>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</si>
  <si>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</si>
  <si>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</si>
  <si>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</si>
  <si>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</si>
  <si>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</si>
  <si>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</si>
  <si>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</si>
  <si>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</si>
  <si>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</si>
  <si>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</si>
  <si>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</si>
  <si>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</si>
  <si>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</si>
  <si>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</si>
  <si>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</si>
  <si>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</si>
  <si>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</si>
  <si>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</si>
  <si>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</si>
  <si>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</si>
  <si>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</si>
  <si>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</si>
  <si>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</si>
  <si>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</si>
  <si>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</si>
  <si>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</si>
  <si>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</si>
  <si>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</si>
  <si>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</si>
  <si>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</si>
  <si>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</si>
  <si>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</si>
  <si>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</si>
  <si>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</si>
  <si>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</si>
  <si>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</si>
  <si>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</si>
  <si>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</si>
  <si>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</si>
  <si>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</si>
  <si>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AA-SM-007-043</t>
  </si>
  <si>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</si>
  <si>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</si>
  <si>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</si>
  <si>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</si>
  <si>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</si>
  <si>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</si>
  <si>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</si>
  <si>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</si>
  <si>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</si>
  <si>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</si>
  <si>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</si>
  <si>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</si>
  <si>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</si>
  <si>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</si>
  <si>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</si>
  <si>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</si>
  <si>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</si>
  <si>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v</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</si>
  <si>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</si>
  <si>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</si>
  <si>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</si>
  <si>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</si>
  <si>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</si>
  <si>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</si>
  <si>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</si>
  <si>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</si>
  <si>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</si>
  <si>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</si>
  <si>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</si>
  <si>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</si>
  <si>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</si>
  <si>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</si>
  <si>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</si>
  <si>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</si>
  <si>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</si>
  <si>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</si>
  <si>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</si>
  <si>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</si>
  <si>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Correcting the elastic buckling stress for material plasticity:</t>
  </si>
  <si>
    <t>Buckling Allowable corrected for Material Plasticity effects</t>
  </si>
  <si>
    <t>(NACA-TN-3781, 1957)</t>
  </si>
  <si>
    <t>(NACA-TN-1323, 1947)</t>
  </si>
  <si>
    <t>Panel Thickness</t>
  </si>
  <si>
    <t>Compression Stress in the Panel</t>
  </si>
  <si>
    <t>The plasticity correction factor for long clamepd Panels is used, this is conservative for all edge conditions</t>
  </si>
  <si>
    <t>PLASTIC BENDING BUCKLING OF FLAT ISOTROPIC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</si>
</sst>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0000000000"/>
    <numFmt numFmtId="167" formatCode="0.0000"/>
    <numFmt numFmtId="168" formatCode="0.00000"/>
  </numFmts>
  <fonts count="26"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
      <sz val="8"/>
      <name val="Calibri"/>
      <family val="2"/>
      <scheme val="minor"/>
    </font>
    <font>
      <b/>
      <sz val="8"/>
      <color indexed="81"/>
      <name val="Tahoma"/>
      <family val="2"/>
    </font>
    <font>
      <sz val="8"/>
      <color indexed="81"/>
      <name val="Tahoma"/>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48">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Protection="1">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164" fontId="22" fillId="0" borderId="0" xfId="5" applyNumberFormat="1" applyFont="1" applyBorder="1" applyAlignment="1" applyProtection="1">
      <protection locked="0"/>
    </xf>
    <xf numFmtId="0" fontId="3" fillId="0" borderId="0" xfId="0" applyFont="1"/>
    <xf numFmtId="0" fontId="16" fillId="0" borderId="0" xfId="0" applyFont="1" applyBorder="1" applyProtection="1">
      <protection locked="0"/>
    </xf>
    <xf numFmtId="0" fontId="5" fillId="0" borderId="0" xfId="0" applyFont="1" applyBorder="1" applyAlignment="1" applyProtection="1">
      <alignment vertical="top"/>
      <protection locked="0"/>
    </xf>
    <xf numFmtId="0" fontId="5" fillId="0" borderId="2" xfId="0" applyFont="1" applyBorder="1" applyAlignment="1">
      <alignment horizontal="center"/>
    </xf>
    <xf numFmtId="165"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right"/>
      <protection locked="0"/>
    </xf>
    <xf numFmtId="0" fontId="16" fillId="0" borderId="0" xfId="0" applyFont="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Border="1" applyAlignment="1" applyProtection="1">
      <protection locked="0"/>
    </xf>
    <xf numFmtId="2" fontId="5" fillId="0" borderId="0" xfId="0" applyNumberFormat="1" applyFont="1" applyBorder="1" applyAlignment="1" applyProtection="1">
      <alignment horizontal="center"/>
      <protection locked="0"/>
    </xf>
    <xf numFmtId="1" fontId="5" fillId="0" borderId="0" xfId="0" applyNumberFormat="1" applyFont="1"/>
    <xf numFmtId="0" fontId="23" fillId="0" borderId="0" xfId="0" applyFont="1" applyBorder="1" applyAlignment="1" applyProtection="1">
      <alignment horizontal="center"/>
      <protection locked="0"/>
    </xf>
    <xf numFmtId="0" fontId="23" fillId="0" borderId="0" xfId="0" applyFont="1" applyBorder="1" applyAlignment="1" applyProtection="1">
      <alignment horizontal="center" shrinkToFit="1"/>
      <protection locked="0"/>
    </xf>
    <xf numFmtId="0" fontId="5" fillId="0" borderId="0" xfId="0" applyFont="1" applyBorder="1" applyAlignment="1" applyProtection="1">
      <alignment horizontal="center" shrinkToFit="1"/>
      <protection locked="0"/>
    </xf>
    <xf numFmtId="1" fontId="5" fillId="0" borderId="0" xfId="0" applyNumberFormat="1" applyFont="1" applyBorder="1" applyAlignment="1" applyProtection="1">
      <alignment horizontal="center"/>
      <protection locked="0"/>
    </xf>
    <xf numFmtId="167" fontId="5" fillId="0" borderId="0" xfId="0" applyNumberFormat="1" applyFont="1" applyBorder="1" applyAlignment="1" applyProtection="1">
      <alignment horizontal="center"/>
      <protection locked="0"/>
    </xf>
    <xf numFmtId="0" fontId="5" fillId="0" borderId="0" xfId="0" applyFont="1" applyAlignment="1">
      <alignment vertical="top"/>
    </xf>
    <xf numFmtId="164" fontId="8" fillId="0" borderId="0" xfId="0" applyNumberFormat="1" applyFont="1" applyBorder="1" applyProtection="1">
      <protection locked="0"/>
    </xf>
    <xf numFmtId="0" fontId="5" fillId="0" borderId="0" xfId="0" applyFont="1" applyFill="1" applyAlignment="1" applyProtection="1">
      <alignment horizontal="left"/>
      <protection locked="0"/>
    </xf>
    <xf numFmtId="0" fontId="5" fillId="0" borderId="0" xfId="0" applyFont="1" applyBorder="1" applyAlignment="1" applyProtection="1">
      <alignment horizontal="left"/>
      <protection locked="0"/>
    </xf>
    <xf numFmtId="168" fontId="5" fillId="0" borderId="0" xfId="0" applyNumberFormat="1" applyFont="1" applyBorder="1" applyAlignment="1">
      <alignment horizontal="center"/>
    </xf>
    <xf numFmtId="167" fontId="8" fillId="0" borderId="0" xfId="0" applyNumberFormat="1" applyFont="1" applyBorder="1" applyAlignment="1" applyProtection="1">
      <alignment horizontal="right"/>
      <protection locked="0"/>
    </xf>
    <xf numFmtId="2" fontId="8" fillId="0" borderId="0" xfId="0" applyNumberFormat="1" applyFont="1" applyBorder="1" applyAlignment="1" applyProtection="1">
      <alignment vertical="top"/>
      <protection locked="0"/>
    </xf>
    <xf numFmtId="0" fontId="5" fillId="0" borderId="0" xfId="5" applyFont="1" applyBorder="1" applyAlignment="1" applyProtection="1">
      <alignment horizontal="left"/>
      <protection locked="0"/>
    </xf>
    <xf numFmtId="1" fontId="16"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8" fillId="0" borderId="0" xfId="0" applyFont="1" applyBorder="1" applyAlignment="1" applyProtection="1">
      <alignment horizontal="center"/>
      <protection locked="0"/>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10</c:v>
                </c:pt>
                <c:pt idx="1">
                  <c:v>10</c:v>
                </c:pt>
                <c:pt idx="2" formatCode="0%">
                  <c:v>0</c:v>
                </c:pt>
              </c:numCache>
            </c:numRef>
          </c:xVal>
          <c:yVal>
            <c:numRef>
              <c:f>SIMPLE!$AC$13:$AC$15</c:f>
              <c:numCache>
                <c:formatCode>0.0</c:formatCode>
                <c:ptCount val="3"/>
                <c:pt idx="0">
                  <c:v>0</c:v>
                </c:pt>
                <c:pt idx="1">
                  <c:v>24</c:v>
                </c:pt>
                <c:pt idx="2" formatCode="0.00">
                  <c:v>24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3.8893959508795204</c:v>
                </c:pt>
                <c:pt idx="1">
                  <c:v>3.8893959508795204</c:v>
                </c:pt>
                <c:pt idx="2" formatCode="General">
                  <c:v>0.1</c:v>
                </c:pt>
              </c:numCache>
            </c:numRef>
          </c:xVal>
          <c:yVal>
            <c:numRef>
              <c:f>SIMPLE!$AJ$28:$AJ$30</c:f>
              <c:numCache>
                <c:formatCode>General</c:formatCode>
                <c:ptCount val="3"/>
                <c:pt idx="0">
                  <c:v>0</c:v>
                </c:pt>
                <c:pt idx="1">
                  <c:v>1.2377993279123796</c:v>
                </c:pt>
                <c:pt idx="2">
                  <c:v>1.2377993279123796</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SIMPLE!$AF$78:$AF$103</c:f>
              <c:numCache>
                <c:formatCode>0</c:formatCode>
                <c:ptCount val="26"/>
                <c:pt idx="0">
                  <c:v>0</c:v>
                </c:pt>
                <c:pt idx="1">
                  <c:v>37297.207944416514</c:v>
                </c:pt>
                <c:pt idx="2">
                  <c:v>38418.472283827898</c:v>
                </c:pt>
                <c:pt idx="3">
                  <c:v>39613.728872251471</c:v>
                </c:pt>
                <c:pt idx="4">
                  <c:v>40919.934725483516</c:v>
                </c:pt>
                <c:pt idx="5">
                  <c:v>42387.958060804631</c:v>
                </c:pt>
                <c:pt idx="6">
                  <c:v>44084.193710550629</c:v>
                </c:pt>
                <c:pt idx="7">
                  <c:v>46089.519803876487</c:v>
                </c:pt>
                <c:pt idx="8">
                  <c:v>48494.257810143507</c:v>
                </c:pt>
                <c:pt idx="9">
                  <c:v>51389.75471914254</c:v>
                </c:pt>
                <c:pt idx="10">
                  <c:v>54861.313571640159</c:v>
                </c:pt>
                <c:pt idx="11">
                  <c:v>58991.454218058861</c:v>
                </c:pt>
                <c:pt idx="12">
                  <c:v>63882.537173109253</c:v>
                </c:pt>
                <c:pt idx="13">
                  <c:v>69701.207796316914</c:v>
                </c:pt>
                <c:pt idx="14">
                  <c:v>76738.126007657367</c:v>
                </c:pt>
                <c:pt idx="15">
                  <c:v>85473.223155222164</c:v>
                </c:pt>
                <c:pt idx="16">
                  <c:v>96642.707534546571</c:v>
                </c:pt>
                <c:pt idx="17">
                  <c:v>112209.05535908845</c:v>
                </c:pt>
                <c:pt idx="18">
                  <c:v>142120.89966863167</c:v>
                </c:pt>
                <c:pt idx="19">
                  <c:v>189008.20364981226</c:v>
                </c:pt>
                <c:pt idx="20">
                  <c:v>263246.36286896752</c:v>
                </c:pt>
                <c:pt idx="21">
                  <c:v>380923.99957728473</c:v>
                </c:pt>
                <c:pt idx="22">
                  <c:v>566765.89193563221</c:v>
                </c:pt>
                <c:pt idx="23">
                  <c:v>858428.73614016827</c:v>
                </c:pt>
                <c:pt idx="24">
                  <c:v>1312771.2021495823</c:v>
                </c:pt>
                <c:pt idx="25">
                  <c:v>2014935.5819624227</c:v>
                </c:pt>
              </c:numCache>
            </c:numRef>
          </c:xVal>
          <c:yVal>
            <c:numRef>
              <c:f>SIMPLE!$X$78:$X$103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0C6B-4FDA-B446-BADCAC55B238}"/>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0C6B-4FDA-B446-BADCAC55B238}"/>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SIMPLE!$AH$87:$AH$88</c:f>
              <c:numCache>
                <c:formatCode>0</c:formatCode>
                <c:ptCount val="2"/>
                <c:pt idx="0">
                  <c:v>172997.39804037751</c:v>
                </c:pt>
                <c:pt idx="1">
                  <c:v>172997.39804037751</c:v>
                </c:pt>
              </c:numCache>
            </c:numRef>
          </c:xVal>
          <c:yVal>
            <c:numRef>
              <c:f>SIMPLE!$AI$87:$AI$88</c:f>
              <c:numCache>
                <c:formatCode>General</c:formatCode>
                <c:ptCount val="2"/>
                <c:pt idx="0">
                  <c:v>0</c:v>
                </c:pt>
                <c:pt idx="1">
                  <c:v>55073.157223545495</c:v>
                </c:pt>
              </c:numCache>
            </c:numRef>
          </c:yVal>
          <c:smooth val="0"/>
          <c:extLst>
            <c:ext xmlns:c16="http://schemas.microsoft.com/office/drawing/2014/chart" uri="{C3380CC4-5D6E-409C-BE32-E72D297353CC}">
              <c16:uniqueId val="{00000002-0C6B-4FDA-B446-BADCAC55B238}"/>
            </c:ext>
          </c:extLst>
        </c:ser>
        <c:ser>
          <c:idx val="2"/>
          <c:order val="2"/>
          <c:tx>
            <c:v>Simple Fcy Cutoff</c:v>
          </c:tx>
          <c:spPr>
            <a:ln w="19050">
              <a:solidFill>
                <a:schemeClr val="bg1">
                  <a:lumMod val="50000"/>
                </a:schemeClr>
              </a:solidFill>
              <a:prstDash val="dash"/>
            </a:ln>
          </c:spPr>
          <c:marker>
            <c:symbol val="none"/>
          </c:marker>
          <c:xVal>
            <c:numRef>
              <c:f>SIMPLE!$AH$93:$AH$95</c:f>
              <c:numCache>
                <c:formatCode>0</c:formatCode>
                <c:ptCount val="3"/>
                <c:pt idx="0" formatCode="General">
                  <c:v>0</c:v>
                </c:pt>
                <c:pt idx="1">
                  <c:v>53000</c:v>
                </c:pt>
                <c:pt idx="2">
                  <c:v>2014935.5819624227</c:v>
                </c:pt>
              </c:numCache>
            </c:numRef>
          </c:xVal>
          <c:yVal>
            <c:numRef>
              <c:f>SIMPLE!$AI$93:$AI$95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0C6B-4FDA-B446-BADCAC55B238}"/>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0C6B-4FDA-B446-BADCAC55B238}"/>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SIMPLE!$AH$88:$AH$89</c:f>
              <c:numCache>
                <c:formatCode>General</c:formatCode>
                <c:ptCount val="2"/>
                <c:pt idx="0" formatCode="0">
                  <c:v>172997.39804037751</c:v>
                </c:pt>
                <c:pt idx="1">
                  <c:v>0</c:v>
                </c:pt>
              </c:numCache>
            </c:numRef>
          </c:xVal>
          <c:yVal>
            <c:numRef>
              <c:f>SIMPLE!$AI$88:$AI$89</c:f>
              <c:numCache>
                <c:formatCode>General</c:formatCode>
                <c:ptCount val="2"/>
                <c:pt idx="0">
                  <c:v>55073.157223545495</c:v>
                </c:pt>
                <c:pt idx="1">
                  <c:v>55073.157223545495</c:v>
                </c:pt>
              </c:numCache>
            </c:numRef>
          </c:yVal>
          <c:smooth val="0"/>
          <c:extLst>
            <c:ext xmlns:c16="http://schemas.microsoft.com/office/drawing/2014/chart" uri="{C3380CC4-5D6E-409C-BE32-E72D297353CC}">
              <c16:uniqueId val="{00000005-0C6B-4FDA-B446-BADCAC55B238}"/>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 TargetMode="External"/><Relationship Id="rId7"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59112" y="435170"/>
          <a:ext cx="2806230" cy="123457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581833"/>
          <a:ext cx="2882431" cy="1256342"/>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60021"/>
          <a:ext cx="2507796" cy="626929"/>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40822</xdr:colOff>
      <xdr:row>60</xdr:row>
      <xdr:rowOff>40821</xdr:rowOff>
    </xdr:from>
    <xdr:to>
      <xdr:col>4</xdr:col>
      <xdr:colOff>66675</xdr:colOff>
      <xdr:row>63</xdr:row>
      <xdr:rowOff>145236</xdr:rowOff>
    </xdr:to>
    <xdr:grpSp>
      <xdr:nvGrpSpPr>
        <xdr:cNvPr id="61" name="Group 60"/>
        <xdr:cNvGrpSpPr/>
      </xdr:nvGrpSpPr>
      <xdr:grpSpPr>
        <a:xfrm>
          <a:off x="40822" y="10610850"/>
          <a:ext cx="2507796" cy="626929"/>
          <a:chOff x="40822" y="1267641"/>
          <a:chExt cx="2570933" cy="630195"/>
        </a:xfrm>
      </xdr:grpSpPr>
      <xdr:pic>
        <xdr:nvPicPr>
          <xdr:cNvPr id="62" name="Picture 61">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 name="Picture 62"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0</xdr:colOff>
      <xdr:row>80</xdr:row>
      <xdr:rowOff>0</xdr:rowOff>
    </xdr:from>
    <xdr:to>
      <xdr:col>8</xdr:col>
      <xdr:colOff>118334</xdr:colOff>
      <xdr:row>83</xdr:row>
      <xdr:rowOff>60961</xdr:rowOff>
    </xdr:to>
    <xdr:pic>
      <xdr:nvPicPr>
        <xdr:cNvPr id="64" name="Picture 63"/>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0971" y="14216743"/>
          <a:ext cx="3841249" cy="58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oleObject" Target="../embeddings/oleObject3.bin"/><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printerSettings" Target="../printerSettings/printerSettings2.bin"/><Relationship Id="rId12" Type="http://schemas.openxmlformats.org/officeDocument/2006/relationships/oleObject" Target="../embeddings/oleObject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naca-report-734-critical-compressive-stress-for-outstanding-flanges" TargetMode="External"/><Relationship Id="rId11" Type="http://schemas.openxmlformats.org/officeDocument/2006/relationships/image" Target="../media/image4.emf"/><Relationship Id="rId5" Type="http://schemas.openxmlformats.org/officeDocument/2006/relationships/hyperlink" Target="http://www.abbottaerospace.com/wpdm-package/naca-tn-3781-handbook-of-structural-stability-part-i-buckling-of-flat-plates" TargetMode="External"/><Relationship Id="rId15" Type="http://schemas.openxmlformats.org/officeDocument/2006/relationships/comments" Target="../comments1.xml"/><Relationship Id="rId10" Type="http://schemas.openxmlformats.org/officeDocument/2006/relationships/oleObject" Target="../embeddings/oleObject1.bin"/><Relationship Id="rId4" Type="http://schemas.openxmlformats.org/officeDocument/2006/relationships/hyperlink" Target="http://www.abbottaerospace.com/wpdm-package/naca-report-734-critical-compressive-stress-for-outstanding-flanges" TargetMode="External"/><Relationship Id="rId9" Type="http://schemas.openxmlformats.org/officeDocument/2006/relationships/vmlDrawing" Target="../drawings/vmlDrawing2.vml"/><Relationship Id="rId1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22</v>
      </c>
      <c r="C4" s="42"/>
      <c r="D4" s="39"/>
      <c r="E4" s="39"/>
      <c r="F4" s="40" t="s">
        <v>23</v>
      </c>
      <c r="G4" s="41" t="s">
        <v>24</v>
      </c>
      <c r="H4" s="39"/>
      <c r="I4" s="39"/>
      <c r="J4" s="39"/>
      <c r="K4" s="39"/>
      <c r="M4" s="44"/>
      <c r="N4" s="44"/>
      <c r="O4" s="44"/>
      <c r="P4" s="44"/>
      <c r="Q4" s="49"/>
      <c r="R4" s="50"/>
      <c r="S4" s="50"/>
      <c r="T4" s="45"/>
      <c r="U4" s="45"/>
      <c r="V4" s="45"/>
      <c r="W4" s="46"/>
      <c r="X4" s="47"/>
      <c r="Y4" s="45"/>
    </row>
    <row r="5" spans="1:25" s="43" customFormat="1" ht="13.8" x14ac:dyDescent="0.3">
      <c r="A5" s="39"/>
      <c r="B5" s="40" t="s">
        <v>25</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27</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41" t="s">
        <v>46</v>
      </c>
      <c r="C16" s="141"/>
      <c r="D16" s="141"/>
      <c r="E16" s="141"/>
      <c r="F16" s="141"/>
      <c r="G16" s="141"/>
      <c r="H16" s="141"/>
      <c r="I16" s="141"/>
      <c r="J16" s="141"/>
      <c r="M16" s="49"/>
      <c r="N16" s="49"/>
      <c r="O16" s="49"/>
      <c r="P16" s="49"/>
      <c r="Q16" s="49"/>
      <c r="R16" s="50"/>
      <c r="S16" s="50"/>
      <c r="T16" s="45"/>
      <c r="U16" s="45"/>
      <c r="V16" s="45"/>
      <c r="W16" s="45"/>
      <c r="X16" s="45"/>
      <c r="Y16" s="45"/>
    </row>
    <row r="17" spans="1:25" s="43" customFormat="1" ht="13.8" x14ac:dyDescent="0.3">
      <c r="B17" s="141"/>
      <c r="C17" s="141"/>
      <c r="D17" s="141"/>
      <c r="E17" s="141"/>
      <c r="F17" s="141"/>
      <c r="G17" s="141"/>
      <c r="H17" s="141"/>
      <c r="I17" s="141"/>
      <c r="J17" s="141"/>
      <c r="M17" s="49"/>
      <c r="N17" s="49"/>
      <c r="O17" s="49"/>
      <c r="P17" s="49"/>
      <c r="Q17" s="49"/>
      <c r="R17" s="50"/>
      <c r="S17" s="50"/>
      <c r="T17" s="45"/>
      <c r="U17" s="45"/>
      <c r="V17" s="45"/>
      <c r="W17" s="45"/>
      <c r="X17" s="45"/>
      <c r="Y17" s="45"/>
    </row>
    <row r="18" spans="1:25" s="43" customFormat="1" ht="13.8" x14ac:dyDescent="0.3">
      <c r="B18" s="141"/>
      <c r="C18" s="141"/>
      <c r="D18" s="141"/>
      <c r="E18" s="141"/>
      <c r="F18" s="141"/>
      <c r="G18" s="141"/>
      <c r="H18" s="141"/>
      <c r="I18" s="141"/>
      <c r="J18" s="141"/>
      <c r="M18" s="49"/>
      <c r="N18" s="49"/>
      <c r="O18" s="49"/>
      <c r="P18" s="49"/>
      <c r="Q18" s="49"/>
      <c r="R18" s="50"/>
      <c r="S18" s="50"/>
      <c r="T18" s="45"/>
      <c r="U18" s="45"/>
      <c r="V18" s="45"/>
      <c r="W18" s="45"/>
      <c r="X18" s="45"/>
      <c r="Y18" s="45"/>
    </row>
    <row r="19" spans="1:25" s="43" customFormat="1" ht="13.8" x14ac:dyDescent="0.3">
      <c r="B19" s="141"/>
      <c r="C19" s="141"/>
      <c r="D19" s="141"/>
      <c r="E19" s="141"/>
      <c r="F19" s="141"/>
      <c r="G19" s="141"/>
      <c r="H19" s="141"/>
      <c r="I19" s="141"/>
      <c r="J19" s="141"/>
      <c r="M19" s="49"/>
      <c r="N19" s="49"/>
      <c r="O19" s="49"/>
      <c r="P19" s="49"/>
      <c r="Q19" s="49"/>
      <c r="R19" s="50"/>
      <c r="S19" s="50"/>
      <c r="T19" s="45"/>
      <c r="U19" s="45"/>
      <c r="V19" s="45"/>
      <c r="W19" s="45"/>
      <c r="X19" s="45"/>
      <c r="Y19" s="45"/>
    </row>
    <row r="20" spans="1:25" s="43" customFormat="1" ht="12.75" customHeight="1" x14ac:dyDescent="0.3">
      <c r="A20" s="65"/>
      <c r="B20" s="67" t="s">
        <v>44</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41" t="s">
        <v>47</v>
      </c>
      <c r="C22" s="141"/>
      <c r="D22" s="141"/>
      <c r="E22" s="141"/>
      <c r="F22" s="141"/>
      <c r="G22" s="141"/>
      <c r="H22" s="141"/>
      <c r="I22" s="141"/>
      <c r="J22" s="141"/>
      <c r="K22" s="65"/>
      <c r="M22" s="49"/>
      <c r="N22" s="49"/>
      <c r="O22" s="49"/>
      <c r="P22" s="49"/>
      <c r="Q22" s="49"/>
      <c r="R22" s="50"/>
      <c r="S22" s="50"/>
      <c r="T22" s="45"/>
      <c r="U22" s="45"/>
      <c r="V22" s="45"/>
      <c r="W22" s="45"/>
      <c r="X22" s="45"/>
      <c r="Y22" s="45"/>
    </row>
    <row r="23" spans="1:25" s="43" customFormat="1" ht="13.8" x14ac:dyDescent="0.3">
      <c r="A23" s="65"/>
      <c r="B23" s="141"/>
      <c r="C23" s="141"/>
      <c r="D23" s="141"/>
      <c r="E23" s="141"/>
      <c r="F23" s="141"/>
      <c r="G23" s="141"/>
      <c r="H23" s="141"/>
      <c r="I23" s="141"/>
      <c r="J23" s="141"/>
      <c r="K23" s="65"/>
      <c r="M23" s="49"/>
      <c r="N23" s="49"/>
      <c r="O23" s="49"/>
      <c r="P23" s="49"/>
      <c r="Q23" s="49"/>
      <c r="R23" s="50"/>
      <c r="S23" s="66"/>
      <c r="T23" s="45"/>
      <c r="U23" s="45"/>
      <c r="V23" s="45"/>
      <c r="W23" s="45"/>
      <c r="X23" s="45"/>
      <c r="Y23" s="45"/>
    </row>
    <row r="24" spans="1:25" s="43" customFormat="1" ht="13.8" x14ac:dyDescent="0.3">
      <c r="A24" s="65"/>
      <c r="B24" s="141"/>
      <c r="C24" s="141"/>
      <c r="D24" s="141"/>
      <c r="E24" s="141"/>
      <c r="F24" s="141"/>
      <c r="G24" s="141"/>
      <c r="H24" s="141"/>
      <c r="I24" s="141"/>
      <c r="J24" s="141"/>
      <c r="K24" s="65"/>
      <c r="M24" s="49"/>
      <c r="N24" s="49"/>
      <c r="O24" s="49"/>
      <c r="P24" s="49"/>
      <c r="Q24" s="49"/>
      <c r="R24" s="50"/>
      <c r="S24" s="66"/>
      <c r="T24" s="45"/>
      <c r="U24" s="45"/>
      <c r="V24" s="45"/>
      <c r="W24" s="45"/>
      <c r="X24" s="45"/>
      <c r="Y24" s="45"/>
    </row>
    <row r="25" spans="1:25" s="43" customFormat="1" ht="12.75" customHeight="1" x14ac:dyDescent="0.3">
      <c r="A25" s="65"/>
      <c r="B25" s="111"/>
      <c r="C25" s="111"/>
      <c r="D25" s="111"/>
      <c r="E25" s="111"/>
      <c r="F25" s="113" t="s">
        <v>69</v>
      </c>
      <c r="G25" s="111"/>
      <c r="H25" s="111"/>
      <c r="I25" s="111"/>
      <c r="J25" s="111"/>
      <c r="K25" s="65"/>
      <c r="M25" s="49"/>
      <c r="N25" s="49"/>
      <c r="O25" s="49"/>
      <c r="P25" s="49"/>
      <c r="Q25" s="49"/>
      <c r="R25" s="50"/>
      <c r="S25" s="50"/>
      <c r="T25" s="45"/>
      <c r="U25" s="45"/>
      <c r="V25" s="45"/>
      <c r="W25" s="45"/>
      <c r="X25" s="45"/>
      <c r="Y25" s="45"/>
    </row>
    <row r="26" spans="1:25" s="43" customFormat="1" ht="13.8" x14ac:dyDescent="0.3">
      <c r="A26" s="65"/>
      <c r="B26" s="141" t="s">
        <v>48</v>
      </c>
      <c r="C26" s="141"/>
      <c r="D26" s="141"/>
      <c r="E26" s="141"/>
      <c r="F26" s="141"/>
      <c r="G26" s="141"/>
      <c r="H26" s="141"/>
      <c r="I26" s="141"/>
      <c r="J26" s="141"/>
      <c r="K26" s="65"/>
      <c r="M26" s="49"/>
      <c r="N26" s="49"/>
      <c r="O26" s="49"/>
      <c r="P26" s="49"/>
      <c r="Q26" s="49"/>
      <c r="R26" s="50"/>
      <c r="S26" s="50"/>
      <c r="T26" s="45"/>
      <c r="U26" s="45"/>
      <c r="V26" s="45"/>
      <c r="W26" s="45"/>
      <c r="X26" s="45"/>
      <c r="Y26" s="45"/>
    </row>
    <row r="27" spans="1:25" s="43" customFormat="1" ht="13.8" x14ac:dyDescent="0.3">
      <c r="A27" s="65"/>
      <c r="B27" s="141"/>
      <c r="C27" s="141"/>
      <c r="D27" s="141"/>
      <c r="E27" s="141"/>
      <c r="F27" s="141"/>
      <c r="G27" s="141"/>
      <c r="H27" s="141"/>
      <c r="I27" s="141"/>
      <c r="J27" s="141"/>
      <c r="K27" s="65"/>
      <c r="M27" s="49"/>
      <c r="N27" s="49"/>
      <c r="O27" s="49"/>
      <c r="P27" s="49"/>
      <c r="Q27" s="49"/>
      <c r="R27" s="50"/>
      <c r="S27" s="50"/>
      <c r="T27" s="45"/>
      <c r="U27" s="45"/>
      <c r="V27" s="45"/>
      <c r="W27" s="45"/>
      <c r="X27" s="45"/>
      <c r="Y27" s="45"/>
    </row>
    <row r="28" spans="1:25" s="43" customFormat="1" ht="13.8" x14ac:dyDescent="0.3">
      <c r="A28" s="65"/>
      <c r="B28" s="111"/>
      <c r="C28" s="111"/>
      <c r="D28" s="111"/>
      <c r="E28" s="111"/>
      <c r="F28" s="111"/>
      <c r="G28" s="111"/>
      <c r="H28" s="111"/>
      <c r="I28" s="111"/>
      <c r="J28" s="111"/>
      <c r="K28" s="65"/>
      <c r="M28" s="49"/>
      <c r="N28" s="49"/>
      <c r="O28" s="49"/>
      <c r="P28" s="49"/>
      <c r="Q28" s="49"/>
      <c r="R28" s="50"/>
      <c r="S28" s="50"/>
      <c r="T28" s="45"/>
      <c r="U28" s="45"/>
      <c r="V28" s="45"/>
      <c r="W28" s="45"/>
      <c r="X28" s="45"/>
      <c r="Y28" s="45"/>
    </row>
    <row r="29" spans="1:25" s="43" customFormat="1" ht="13.8" x14ac:dyDescent="0.3">
      <c r="A29" s="65"/>
      <c r="B29" s="141" t="s">
        <v>49</v>
      </c>
      <c r="C29" s="141"/>
      <c r="D29" s="141"/>
      <c r="E29" s="141"/>
      <c r="F29" s="141"/>
      <c r="G29" s="141"/>
      <c r="H29" s="141"/>
      <c r="I29" s="141"/>
      <c r="J29" s="141"/>
      <c r="K29" s="65"/>
      <c r="M29" s="49"/>
      <c r="N29" s="49"/>
      <c r="O29" s="49"/>
      <c r="P29" s="49"/>
      <c r="Q29" s="49"/>
      <c r="R29" s="50"/>
      <c r="S29" s="50"/>
      <c r="T29" s="45"/>
      <c r="U29" s="45"/>
      <c r="V29" s="45"/>
      <c r="W29" s="45"/>
      <c r="X29" s="45"/>
      <c r="Y29" s="45"/>
    </row>
    <row r="30" spans="1:25" s="43" customFormat="1" ht="13.8" x14ac:dyDescent="0.3">
      <c r="A30" s="65"/>
      <c r="B30" s="141"/>
      <c r="C30" s="141"/>
      <c r="D30" s="141"/>
      <c r="E30" s="141"/>
      <c r="F30" s="141"/>
      <c r="G30" s="141"/>
      <c r="H30" s="141"/>
      <c r="I30" s="141"/>
      <c r="J30" s="141"/>
      <c r="K30" s="65"/>
      <c r="M30" s="49"/>
      <c r="N30" s="49"/>
      <c r="O30" s="49"/>
      <c r="P30" s="49"/>
      <c r="Q30" s="49"/>
      <c r="R30" s="50"/>
      <c r="S30" s="50"/>
      <c r="T30" s="45"/>
      <c r="U30" s="45"/>
      <c r="V30" s="45"/>
      <c r="W30" s="45"/>
      <c r="X30" s="45"/>
      <c r="Y30" s="45"/>
    </row>
    <row r="31" spans="1:25" s="43" customFormat="1" ht="12.75" customHeight="1" x14ac:dyDescent="0.3">
      <c r="A31" s="65"/>
      <c r="B31" s="141"/>
      <c r="C31" s="141"/>
      <c r="D31" s="141"/>
      <c r="E31" s="141"/>
      <c r="F31" s="141"/>
      <c r="G31" s="141"/>
      <c r="H31" s="141"/>
      <c r="I31" s="141"/>
      <c r="J31" s="141"/>
      <c r="K31" s="65"/>
      <c r="M31" s="49"/>
      <c r="N31" s="49"/>
      <c r="O31" s="49"/>
      <c r="P31" s="49"/>
      <c r="Q31" s="49"/>
      <c r="R31" s="50"/>
      <c r="S31" s="50"/>
      <c r="T31" s="45"/>
      <c r="U31" s="45"/>
      <c r="V31" s="45"/>
      <c r="W31" s="45"/>
      <c r="X31" s="45"/>
      <c r="Y31" s="45"/>
    </row>
    <row r="32" spans="1:25" s="43" customFormat="1" ht="13.8" x14ac:dyDescent="0.3">
      <c r="A32" s="65"/>
      <c r="B32" s="141"/>
      <c r="C32" s="141"/>
      <c r="D32" s="141"/>
      <c r="E32" s="141"/>
      <c r="F32" s="141"/>
      <c r="G32" s="141"/>
      <c r="H32" s="141"/>
      <c r="I32" s="141"/>
      <c r="J32" s="141"/>
      <c r="K32" s="65"/>
      <c r="M32" s="49"/>
      <c r="N32" s="49"/>
      <c r="O32" s="49"/>
      <c r="P32" s="49"/>
      <c r="Q32" s="49"/>
      <c r="R32" s="50"/>
      <c r="S32" s="50"/>
      <c r="T32" s="45"/>
      <c r="U32" s="45"/>
      <c r="V32" s="45"/>
      <c r="W32" s="45"/>
      <c r="X32" s="45"/>
      <c r="Y32" s="45"/>
    </row>
    <row r="33" spans="1:25" s="43" customFormat="1" ht="12.75" customHeight="1" x14ac:dyDescent="0.3">
      <c r="A33" s="65"/>
      <c r="B33" s="141"/>
      <c r="C33" s="141"/>
      <c r="D33" s="141"/>
      <c r="E33" s="141"/>
      <c r="F33" s="141"/>
      <c r="G33" s="141"/>
      <c r="H33" s="141"/>
      <c r="I33" s="141"/>
      <c r="J33" s="141"/>
      <c r="K33" s="65"/>
      <c r="M33" s="49"/>
      <c r="N33" s="49"/>
      <c r="O33" s="49"/>
      <c r="P33" s="49"/>
      <c r="Q33" s="49"/>
      <c r="R33" s="50"/>
      <c r="S33" s="50"/>
      <c r="T33" s="45"/>
      <c r="U33" s="45"/>
      <c r="V33" s="45"/>
      <c r="W33" s="45"/>
      <c r="X33" s="45"/>
      <c r="Y33" s="45"/>
    </row>
    <row r="34" spans="1:25" s="43" customFormat="1" ht="13.8" x14ac:dyDescent="0.3">
      <c r="A34" s="65"/>
      <c r="B34" s="111"/>
      <c r="C34" s="111"/>
      <c r="D34" s="143" t="s">
        <v>28</v>
      </c>
      <c r="E34" s="143"/>
      <c r="F34" s="143"/>
      <c r="G34" s="143"/>
      <c r="H34" s="143"/>
      <c r="I34" s="111"/>
      <c r="J34" s="111"/>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29</v>
      </c>
      <c r="C36" s="65"/>
      <c r="D36" s="65"/>
      <c r="E36" s="65"/>
      <c r="F36" s="112"/>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12"/>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41" t="s">
        <v>50</v>
      </c>
      <c r="C38" s="141"/>
      <c r="D38" s="141"/>
      <c r="E38" s="141"/>
      <c r="F38" s="141"/>
      <c r="G38" s="141"/>
      <c r="H38" s="141"/>
      <c r="I38" s="141"/>
      <c r="J38" s="141"/>
      <c r="K38" s="65"/>
      <c r="M38" s="49"/>
      <c r="N38" s="49"/>
      <c r="O38" s="49"/>
      <c r="P38" s="49"/>
      <c r="Q38" s="49"/>
      <c r="R38" s="50"/>
      <c r="S38" s="50"/>
      <c r="T38" s="45"/>
      <c r="U38" s="45"/>
      <c r="V38" s="45"/>
      <c r="W38" s="45"/>
      <c r="X38" s="45"/>
      <c r="Y38" s="45"/>
    </row>
    <row r="39" spans="1:25" s="43" customFormat="1" ht="13.8" x14ac:dyDescent="0.3">
      <c r="A39" s="65"/>
      <c r="B39" s="141"/>
      <c r="C39" s="141"/>
      <c r="D39" s="141"/>
      <c r="E39" s="141"/>
      <c r="F39" s="141"/>
      <c r="G39" s="141"/>
      <c r="H39" s="141"/>
      <c r="I39" s="141"/>
      <c r="J39" s="141"/>
      <c r="K39" s="65"/>
      <c r="M39" s="49"/>
      <c r="N39" s="49"/>
      <c r="O39" s="49"/>
      <c r="P39" s="49"/>
      <c r="Q39" s="49"/>
      <c r="R39" s="50"/>
      <c r="S39" s="50"/>
      <c r="T39" s="45"/>
      <c r="U39" s="45"/>
      <c r="V39" s="45"/>
      <c r="W39" s="45"/>
      <c r="X39" s="45"/>
      <c r="Y39" s="45"/>
    </row>
    <row r="40" spans="1:25" s="43" customFormat="1" ht="13.8" x14ac:dyDescent="0.3">
      <c r="A40" s="65"/>
      <c r="B40" s="111"/>
      <c r="C40" s="111"/>
      <c r="D40" s="111"/>
      <c r="E40" s="111"/>
      <c r="F40" s="111"/>
      <c r="G40" s="111"/>
      <c r="H40" s="111"/>
      <c r="I40" s="111"/>
      <c r="J40" s="111"/>
      <c r="K40" s="65"/>
      <c r="M40" s="49"/>
      <c r="N40" s="49"/>
      <c r="O40" s="49"/>
      <c r="P40" s="49"/>
      <c r="Q40" s="49"/>
      <c r="R40" s="50"/>
      <c r="S40" s="50"/>
      <c r="T40" s="45"/>
      <c r="U40" s="45"/>
      <c r="V40" s="45"/>
      <c r="W40" s="45"/>
      <c r="X40" s="45"/>
      <c r="Y40" s="45"/>
    </row>
    <row r="41" spans="1:25" s="43" customFormat="1" ht="13.8" x14ac:dyDescent="0.3">
      <c r="A41" s="65"/>
      <c r="B41" s="141" t="s">
        <v>51</v>
      </c>
      <c r="C41" s="141"/>
      <c r="D41" s="141"/>
      <c r="E41" s="141"/>
      <c r="F41" s="141"/>
      <c r="G41" s="141"/>
      <c r="H41" s="141"/>
      <c r="I41" s="141"/>
      <c r="J41" s="141"/>
      <c r="K41" s="65"/>
      <c r="M41" s="49"/>
      <c r="N41" s="49"/>
      <c r="O41" s="49"/>
      <c r="P41" s="49"/>
      <c r="Q41" s="49"/>
      <c r="R41" s="50"/>
      <c r="S41" s="50"/>
      <c r="T41" s="45"/>
      <c r="U41" s="45"/>
      <c r="V41" s="45"/>
      <c r="W41" s="45"/>
      <c r="X41" s="45"/>
      <c r="Y41" s="45"/>
    </row>
    <row r="42" spans="1:25" s="43" customFormat="1" ht="13.8" x14ac:dyDescent="0.3">
      <c r="A42" s="65"/>
      <c r="B42" s="141"/>
      <c r="C42" s="141"/>
      <c r="D42" s="141"/>
      <c r="E42" s="141"/>
      <c r="F42" s="141"/>
      <c r="G42" s="141"/>
      <c r="H42" s="141"/>
      <c r="I42" s="141"/>
      <c r="J42" s="141"/>
      <c r="K42" s="65"/>
      <c r="M42" s="49"/>
      <c r="N42" s="49"/>
      <c r="O42" s="49"/>
      <c r="P42" s="49"/>
      <c r="Q42" s="49"/>
      <c r="R42" s="50"/>
      <c r="S42" s="50"/>
      <c r="T42" s="45"/>
      <c r="U42" s="45"/>
      <c r="V42" s="45"/>
      <c r="W42" s="45"/>
      <c r="X42" s="45"/>
      <c r="Y42" s="45"/>
    </row>
    <row r="43" spans="1:25" s="43" customFormat="1" ht="13.8" x14ac:dyDescent="0.3">
      <c r="A43" s="65"/>
      <c r="B43" s="141"/>
      <c r="C43" s="141"/>
      <c r="D43" s="141"/>
      <c r="E43" s="141"/>
      <c r="F43" s="141"/>
      <c r="G43" s="141"/>
      <c r="H43" s="141"/>
      <c r="I43" s="141"/>
      <c r="J43" s="141"/>
      <c r="K43" s="65"/>
      <c r="M43" s="49"/>
      <c r="N43" s="49"/>
      <c r="O43" s="49"/>
      <c r="P43" s="49"/>
      <c r="Q43" s="49"/>
      <c r="R43" s="50"/>
      <c r="S43" s="50"/>
      <c r="T43" s="45"/>
      <c r="U43" s="45"/>
      <c r="V43" s="45"/>
      <c r="W43" s="45"/>
      <c r="X43" s="45"/>
      <c r="Y43" s="45"/>
    </row>
    <row r="44" spans="1:25" s="43" customFormat="1" ht="13.8" x14ac:dyDescent="0.3">
      <c r="A44" s="65"/>
      <c r="B44" s="111"/>
      <c r="C44" s="111"/>
      <c r="D44" s="111"/>
      <c r="E44" s="111"/>
      <c r="F44" s="111"/>
      <c r="G44" s="111"/>
      <c r="H44" s="111"/>
      <c r="I44" s="111"/>
      <c r="J44" s="111"/>
      <c r="K44" s="65"/>
      <c r="M44" s="49"/>
      <c r="N44" s="49"/>
      <c r="O44" s="49"/>
      <c r="P44" s="49"/>
      <c r="Q44" s="49"/>
      <c r="R44" s="50"/>
      <c r="S44" s="50"/>
      <c r="T44" s="45"/>
      <c r="U44" s="45"/>
      <c r="V44" s="45"/>
      <c r="W44" s="45"/>
      <c r="X44" s="45"/>
      <c r="Y44" s="45"/>
    </row>
    <row r="45" spans="1:25" s="43" customFormat="1" ht="12.75" customHeight="1" x14ac:dyDescent="0.3">
      <c r="A45" s="65"/>
      <c r="B45" s="141" t="s">
        <v>45</v>
      </c>
      <c r="C45" s="141"/>
      <c r="D45" s="141"/>
      <c r="E45" s="141"/>
      <c r="F45" s="141"/>
      <c r="G45" s="141"/>
      <c r="H45" s="141"/>
      <c r="I45" s="141"/>
      <c r="J45" s="141"/>
      <c r="K45" s="65"/>
      <c r="M45" s="49"/>
      <c r="N45" s="49"/>
      <c r="O45" s="49"/>
      <c r="P45" s="49"/>
      <c r="Q45" s="49"/>
      <c r="R45" s="50"/>
      <c r="S45" s="50"/>
      <c r="T45" s="45"/>
      <c r="U45" s="45"/>
      <c r="V45" s="45"/>
      <c r="W45" s="45"/>
      <c r="X45" s="45"/>
      <c r="Y45" s="45"/>
    </row>
    <row r="46" spans="1:25" s="43" customFormat="1" ht="13.8" x14ac:dyDescent="0.3">
      <c r="A46" s="65"/>
      <c r="B46" s="141"/>
      <c r="C46" s="141"/>
      <c r="D46" s="141"/>
      <c r="E46" s="141"/>
      <c r="F46" s="141"/>
      <c r="G46" s="141"/>
      <c r="H46" s="141"/>
      <c r="I46" s="141"/>
      <c r="J46" s="141"/>
      <c r="K46" s="65"/>
      <c r="M46" s="49"/>
      <c r="N46" s="49"/>
      <c r="O46" s="49"/>
      <c r="P46" s="49"/>
      <c r="Q46" s="49"/>
      <c r="R46" s="50"/>
      <c r="S46" s="50"/>
      <c r="T46" s="45"/>
      <c r="U46" s="45"/>
      <c r="V46" s="45"/>
      <c r="W46" s="45"/>
      <c r="X46" s="45"/>
      <c r="Y46" s="45"/>
    </row>
    <row r="47" spans="1:25" s="43" customFormat="1" ht="13.8" x14ac:dyDescent="0.3">
      <c r="A47" s="65"/>
      <c r="B47" s="141"/>
      <c r="C47" s="141"/>
      <c r="D47" s="141"/>
      <c r="E47" s="141"/>
      <c r="F47" s="141"/>
      <c r="G47" s="141"/>
      <c r="H47" s="141"/>
      <c r="I47" s="141"/>
      <c r="J47" s="141"/>
      <c r="K47" s="65"/>
      <c r="M47" s="49"/>
      <c r="N47" s="49"/>
      <c r="O47" s="49"/>
      <c r="P47" s="49"/>
      <c r="Q47" s="49"/>
      <c r="R47" s="50"/>
      <c r="S47" s="50"/>
      <c r="T47" s="45"/>
      <c r="U47" s="45"/>
      <c r="V47" s="45"/>
      <c r="W47" s="45"/>
      <c r="X47" s="45"/>
      <c r="Y47" s="45"/>
    </row>
    <row r="48" spans="1:25" s="43" customFormat="1" ht="12.75" customHeight="1" x14ac:dyDescent="0.3">
      <c r="A48" s="65"/>
      <c r="B48" s="141"/>
      <c r="C48" s="141"/>
      <c r="D48" s="141"/>
      <c r="E48" s="141"/>
      <c r="F48" s="141"/>
      <c r="G48" s="141"/>
      <c r="H48" s="141"/>
      <c r="I48" s="141"/>
      <c r="J48" s="141"/>
      <c r="K48" s="65"/>
      <c r="M48" s="49"/>
      <c r="N48" s="49"/>
      <c r="O48" s="49"/>
      <c r="P48" s="49"/>
      <c r="Q48" s="49"/>
      <c r="R48" s="50"/>
      <c r="S48" s="50"/>
      <c r="T48" s="45"/>
      <c r="U48" s="45"/>
      <c r="V48" s="45"/>
      <c r="W48" s="45"/>
      <c r="X48" s="45"/>
      <c r="Y48" s="45"/>
    </row>
    <row r="49" spans="1:25" s="43" customFormat="1" ht="13.8" x14ac:dyDescent="0.3">
      <c r="A49" s="65"/>
      <c r="B49" s="65" t="s">
        <v>52</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3" t="s">
        <v>70</v>
      </c>
      <c r="G50" s="112"/>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53</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42" t="s">
        <v>54</v>
      </c>
      <c r="C54" s="142"/>
      <c r="D54" s="142"/>
      <c r="E54" s="142"/>
      <c r="F54" s="142"/>
      <c r="G54" s="142"/>
      <c r="H54" s="142"/>
      <c r="I54" s="142"/>
      <c r="J54" s="142"/>
      <c r="K54" s="65"/>
      <c r="M54" s="49"/>
      <c r="N54" s="49"/>
      <c r="O54" s="49"/>
      <c r="P54" s="49"/>
      <c r="Q54" s="49"/>
      <c r="R54" s="50"/>
      <c r="S54" s="50"/>
      <c r="T54" s="45"/>
      <c r="U54" s="45"/>
      <c r="V54" s="45"/>
      <c r="W54" s="45"/>
      <c r="X54" s="45"/>
      <c r="Y54" s="45"/>
    </row>
    <row r="55" spans="1:25" s="43" customFormat="1" ht="13.8" x14ac:dyDescent="0.3">
      <c r="A55" s="65"/>
      <c r="B55" s="142"/>
      <c r="C55" s="142"/>
      <c r="D55" s="142"/>
      <c r="E55" s="142"/>
      <c r="F55" s="142"/>
      <c r="G55" s="142"/>
      <c r="H55" s="142"/>
      <c r="I55" s="142"/>
      <c r="J55" s="142"/>
      <c r="K55" s="65"/>
      <c r="M55" s="49"/>
      <c r="N55" s="49"/>
      <c r="O55" s="49"/>
      <c r="P55" s="49"/>
      <c r="Q55" s="49"/>
      <c r="R55" s="50"/>
      <c r="S55" s="50"/>
      <c r="T55" s="45"/>
      <c r="U55" s="45"/>
      <c r="V55" s="45"/>
      <c r="W55" s="45"/>
      <c r="X55" s="45"/>
      <c r="Y55" s="45"/>
    </row>
    <row r="56" spans="1:25" s="43" customFormat="1" ht="13.8" x14ac:dyDescent="0.3">
      <c r="A56" s="65"/>
      <c r="B56" s="142"/>
      <c r="C56" s="142"/>
      <c r="D56" s="142"/>
      <c r="E56" s="142"/>
      <c r="F56" s="142"/>
      <c r="G56" s="142"/>
      <c r="H56" s="142"/>
      <c r="I56" s="142"/>
      <c r="J56" s="142"/>
      <c r="K56" s="65"/>
      <c r="M56" s="49"/>
      <c r="N56" s="49"/>
      <c r="O56"/>
      <c r="P56" s="49"/>
      <c r="Q56" s="49"/>
      <c r="R56" s="50"/>
      <c r="S56" s="50"/>
      <c r="T56" s="45"/>
      <c r="U56" s="45"/>
      <c r="V56" s="45"/>
      <c r="W56" s="45"/>
      <c r="X56" s="45"/>
      <c r="Y56" s="45"/>
    </row>
    <row r="57" spans="1:25" s="43" customFormat="1" ht="13.8" x14ac:dyDescent="0.3">
      <c r="A57" s="65"/>
      <c r="B57" s="65"/>
      <c r="C57" s="65"/>
      <c r="D57" s="65"/>
      <c r="F57" s="112"/>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4"/>
      <c r="P59" s="49"/>
      <c r="Q59" s="49"/>
      <c r="R59" s="50"/>
      <c r="S59" s="50"/>
      <c r="T59" s="45"/>
      <c r="U59" s="45"/>
      <c r="V59" s="45"/>
      <c r="W59" s="45"/>
      <c r="X59" s="45"/>
      <c r="Y59" s="45"/>
    </row>
    <row r="60" spans="1:25" s="43" customFormat="1" ht="13.8" x14ac:dyDescent="0.3">
      <c r="A60" s="65"/>
      <c r="B60" s="65" t="s">
        <v>55</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3" t="s">
        <v>71</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70" zoomScaleNormal="85" zoomScaleSheetLayoutView="70" workbookViewId="0">
      <selection activeCell="G5" sqref="G5"/>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2</v>
      </c>
      <c r="H1" s="39"/>
      <c r="I1" s="39"/>
      <c r="J1" s="39"/>
      <c r="K1" s="39"/>
      <c r="M1" s="90" t="s">
        <v>30</v>
      </c>
      <c r="N1" s="90" t="s">
        <v>31</v>
      </c>
      <c r="O1" s="90" t="s">
        <v>32</v>
      </c>
      <c r="P1" s="90" t="s">
        <v>32</v>
      </c>
      <c r="Q1" s="90" t="s">
        <v>32</v>
      </c>
      <c r="R1" s="90" t="s">
        <v>33</v>
      </c>
      <c r="S1" s="106" t="s">
        <v>34</v>
      </c>
      <c r="T1" s="89" t="s">
        <v>35</v>
      </c>
      <c r="W1" s="53" t="s">
        <v>36</v>
      </c>
      <c r="X1" s="54">
        <f>SUM(M:M)</f>
        <v>2</v>
      </c>
    </row>
    <row r="2" spans="1:103" s="43" customFormat="1" x14ac:dyDescent="0.3">
      <c r="A2" s="39"/>
      <c r="B2" s="40" t="s">
        <v>7</v>
      </c>
      <c r="C2" s="41" t="s">
        <v>8</v>
      </c>
      <c r="D2" s="39"/>
      <c r="E2" s="39"/>
      <c r="F2" s="40" t="s">
        <v>9</v>
      </c>
      <c r="G2" s="41" t="s">
        <v>72</v>
      </c>
      <c r="H2" s="39"/>
      <c r="I2" s="39"/>
      <c r="J2" s="39"/>
      <c r="K2" s="39"/>
      <c r="M2" s="79" t="s">
        <v>37</v>
      </c>
      <c r="N2" s="79" t="s">
        <v>37</v>
      </c>
      <c r="O2" s="79" t="s">
        <v>31</v>
      </c>
      <c r="P2" s="79" t="s">
        <v>31</v>
      </c>
      <c r="Q2" s="79" t="s">
        <v>31</v>
      </c>
      <c r="R2" s="79" t="s">
        <v>37</v>
      </c>
      <c r="S2" s="102" t="s">
        <v>37</v>
      </c>
      <c r="T2" s="78"/>
      <c r="W2" s="53" t="s">
        <v>38</v>
      </c>
      <c r="X2" s="54">
        <f>SUM(N:N)</f>
        <v>0</v>
      </c>
    </row>
    <row r="3" spans="1:103" s="43" customFormat="1" x14ac:dyDescent="0.3">
      <c r="A3" s="39"/>
      <c r="B3" s="40" t="s">
        <v>0</v>
      </c>
      <c r="C3" s="48" t="s">
        <v>20</v>
      </c>
      <c r="D3" s="39"/>
      <c r="E3" s="39"/>
      <c r="F3" s="40" t="s">
        <v>1</v>
      </c>
      <c r="G3" s="41" t="s">
        <v>21</v>
      </c>
      <c r="H3" s="39"/>
      <c r="I3" s="39"/>
      <c r="J3" s="39"/>
      <c r="K3" s="39"/>
      <c r="M3" s="79"/>
      <c r="N3" s="79"/>
      <c r="O3" s="79"/>
      <c r="P3" s="79"/>
      <c r="Q3" s="79"/>
      <c r="R3" s="79"/>
      <c r="S3" s="102"/>
      <c r="T3" s="78"/>
      <c r="W3" s="53" t="s">
        <v>39</v>
      </c>
      <c r="X3" s="54">
        <f>SUM(O:O)</f>
        <v>0</v>
      </c>
    </row>
    <row r="4" spans="1:103" s="43" customFormat="1" x14ac:dyDescent="0.3">
      <c r="A4" s="39"/>
      <c r="B4" s="40" t="s">
        <v>22</v>
      </c>
      <c r="C4" s="42"/>
      <c r="D4" s="39"/>
      <c r="E4" s="39"/>
      <c r="F4" s="40" t="s">
        <v>23</v>
      </c>
      <c r="G4" s="41" t="s">
        <v>118</v>
      </c>
      <c r="H4" s="39"/>
      <c r="I4" s="39"/>
      <c r="J4" s="39"/>
      <c r="K4" s="39"/>
      <c r="M4" s="79"/>
      <c r="N4" s="79"/>
      <c r="O4" s="79"/>
      <c r="P4" s="79"/>
      <c r="Q4" s="105"/>
      <c r="R4" s="104"/>
      <c r="S4" s="103"/>
      <c r="T4" s="78"/>
      <c r="W4" s="53" t="s">
        <v>39</v>
      </c>
      <c r="X4" s="54">
        <f>SUM(P:P)</f>
        <v>0</v>
      </c>
      <c r="AE4" s="2"/>
      <c r="AF4" s="8"/>
      <c r="AG4" s="70"/>
      <c r="AH4" s="74"/>
      <c r="AI4" s="74"/>
      <c r="AJ4" s="74"/>
      <c r="AK4" s="74"/>
    </row>
    <row r="5" spans="1:103" s="43" customFormat="1" x14ac:dyDescent="0.3">
      <c r="A5" s="39"/>
      <c r="B5" s="40" t="s">
        <v>25</v>
      </c>
      <c r="C5" s="42" t="s">
        <v>40</v>
      </c>
      <c r="D5" s="39"/>
      <c r="E5" s="40"/>
      <c r="F5" s="39"/>
      <c r="G5" s="39"/>
      <c r="H5" s="39"/>
      <c r="I5" s="39"/>
      <c r="J5" s="39"/>
      <c r="K5" s="39"/>
      <c r="M5" s="79"/>
      <c r="N5" s="79"/>
      <c r="O5" s="79"/>
      <c r="P5" s="79"/>
      <c r="Q5" s="105"/>
      <c r="R5" s="104"/>
      <c r="S5" s="103"/>
      <c r="T5" s="78"/>
      <c r="W5" s="53" t="s">
        <v>39</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5"/>
      <c r="R6" s="104"/>
      <c r="S6" s="103"/>
      <c r="T6" s="78"/>
      <c r="W6" s="53" t="s">
        <v>41</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5"/>
      <c r="R7" s="104"/>
      <c r="S7" s="103"/>
      <c r="T7" s="78"/>
      <c r="W7" s="53" t="s">
        <v>42</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AA-SM-007-043</v>
      </c>
      <c r="K8" s="57"/>
      <c r="L8" s="58"/>
      <c r="M8" s="79"/>
      <c r="N8" s="79"/>
      <c r="O8" s="79"/>
      <c r="P8" s="102"/>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IR</v>
      </c>
      <c r="K9" s="57"/>
      <c r="L9" s="58"/>
      <c r="M9" s="79">
        <v>1</v>
      </c>
      <c r="N9" s="79"/>
      <c r="O9" s="79"/>
      <c r="P9" s="102"/>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9"/>
      <c r="N10" s="79"/>
      <c r="O10" s="79"/>
      <c r="P10" s="102"/>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26</v>
      </c>
      <c r="F11" s="55" t="str">
        <f>$C$5</f>
        <v>STANDARD SPREADSHEET METHOD</v>
      </c>
      <c r="G11" s="43"/>
      <c r="H11" s="43"/>
      <c r="I11" s="59"/>
      <c r="J11" s="54"/>
      <c r="K11" s="43"/>
      <c r="L11" s="43"/>
      <c r="M11" s="79"/>
      <c r="N11" s="79"/>
      <c r="O11" s="79"/>
      <c r="P11" s="102"/>
      <c r="V11" s="8"/>
      <c r="W11" s="9"/>
      <c r="X11" s="9"/>
      <c r="Y11" s="9"/>
      <c r="Z11" s="10"/>
      <c r="AA11" s="10"/>
      <c r="AB11" s="10"/>
      <c r="AD11" s="8"/>
      <c r="AE11" s="70"/>
      <c r="AF11" s="74"/>
      <c r="AG11" s="74"/>
      <c r="AH11" s="74"/>
      <c r="AI11" s="74"/>
      <c r="AP11" s="2"/>
      <c r="AT11" s="34"/>
      <c r="BF11" s="34"/>
      <c r="BR11" s="34"/>
      <c r="CD11" s="34"/>
      <c r="CP11" s="34"/>
    </row>
    <row r="12" spans="1:103" ht="15.6" x14ac:dyDescent="0.3">
      <c r="B12" s="61" t="str">
        <f>$G$4</f>
        <v>PLASTIC BENDING BUCKLING OF FLAT ISOTROPIC PANELS</v>
      </c>
      <c r="E12" s="11"/>
      <c r="F12" s="11"/>
      <c r="G12" s="11"/>
      <c r="H12" s="11"/>
      <c r="I12" s="11"/>
      <c r="J12" s="11"/>
      <c r="K12" s="11"/>
      <c r="V12" s="8"/>
      <c r="W12" s="9"/>
      <c r="AA12" s="10"/>
      <c r="AB12" s="10"/>
      <c r="AD12" s="8"/>
      <c r="AE12" s="70"/>
      <c r="AF12" s="74"/>
      <c r="AG12" s="74"/>
      <c r="AH12" s="74"/>
      <c r="AI12" s="74"/>
      <c r="AP12" s="2"/>
    </row>
    <row r="13" spans="1:103" ht="13.5" customHeight="1" x14ac:dyDescent="0.3">
      <c r="A13" s="13"/>
      <c r="B13" s="144" t="s">
        <v>113</v>
      </c>
      <c r="C13" s="144"/>
      <c r="D13" s="11"/>
      <c r="E13" s="11"/>
      <c r="F13" s="11"/>
      <c r="G13" s="11"/>
      <c r="H13" s="11"/>
      <c r="I13" s="11"/>
      <c r="J13" s="11"/>
      <c r="K13" s="11"/>
      <c r="Y13" s="8">
        <v>2</v>
      </c>
      <c r="Z13" s="75">
        <f>24+(1/(0.05*Y13)-2)^3*0.175</f>
        <v>113.6</v>
      </c>
      <c r="AA13" s="9"/>
      <c r="AB13" s="100">
        <f>AB14</f>
        <v>10</v>
      </c>
      <c r="AC13" s="75">
        <v>0</v>
      </c>
      <c r="AD13" s="8"/>
      <c r="AE13" s="70"/>
      <c r="AF13" s="74"/>
      <c r="AG13" s="74"/>
      <c r="AH13" s="74"/>
      <c r="AI13" s="74"/>
      <c r="AP13" s="2"/>
      <c r="AQ13" s="15"/>
      <c r="BE13" s="15"/>
      <c r="BQ13" s="15"/>
      <c r="CC13" s="15"/>
      <c r="CO13" s="15"/>
    </row>
    <row r="14" spans="1:103" x14ac:dyDescent="0.3">
      <c r="A14" s="11"/>
      <c r="B14" s="144" t="s">
        <v>114</v>
      </c>
      <c r="C14" s="144"/>
      <c r="D14" s="144"/>
      <c r="E14" s="101"/>
      <c r="F14" s="101"/>
      <c r="G14" s="101"/>
      <c r="H14" s="101"/>
      <c r="I14" s="101"/>
      <c r="J14" s="101"/>
      <c r="K14" s="11"/>
      <c r="W14" s="70"/>
      <c r="Y14" s="8">
        <v>2.2000000000000002</v>
      </c>
      <c r="Z14" s="75">
        <f t="shared" ref="Z14:Z58" si="0">24+(1/(0.05*Y14)-2)^3*0.175</f>
        <v>86.394139744552945</v>
      </c>
      <c r="AA14" s="9"/>
      <c r="AB14" s="100">
        <f>G24</f>
        <v>10</v>
      </c>
      <c r="AC14" s="75">
        <f t="shared" ref="AC14" si="1">24+(1/(0.05*AB14)-2)^3*0.175</f>
        <v>24</v>
      </c>
      <c r="AF14" s="74"/>
      <c r="AG14" s="74"/>
      <c r="AH14" s="74"/>
      <c r="AI14" s="74"/>
      <c r="AP14" s="2"/>
      <c r="AQ14" s="9"/>
      <c r="BE14" s="9"/>
      <c r="BQ14" s="9"/>
      <c r="CC14" s="9"/>
      <c r="CO14" s="9"/>
    </row>
    <row r="15" spans="1:103" x14ac:dyDescent="0.3">
      <c r="A15" s="11"/>
      <c r="B15" s="11"/>
      <c r="C15" s="11"/>
      <c r="D15" s="16"/>
      <c r="E15" s="16"/>
      <c r="V15" s="74"/>
      <c r="W15" s="17"/>
      <c r="Y15" s="8">
        <v>2.4</v>
      </c>
      <c r="Z15" s="75">
        <f t="shared" si="0"/>
        <v>68.456481481481489</v>
      </c>
      <c r="AA15" s="9"/>
      <c r="AB15" s="10">
        <v>0</v>
      </c>
      <c r="AC15" s="70">
        <f>AC14</f>
        <v>24</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
      <c r="C16" s="11"/>
      <c r="D16" s="11"/>
      <c r="E16" s="11"/>
      <c r="F16" s="14" t="s">
        <v>15</v>
      </c>
      <c r="G16" s="20">
        <v>40</v>
      </c>
      <c r="H16" s="11" t="s">
        <v>56</v>
      </c>
      <c r="I16" s="99"/>
      <c r="J16" s="99"/>
      <c r="K16" s="99"/>
      <c r="V16" s="74"/>
      <c r="W16" s="17"/>
      <c r="Y16" s="8">
        <v>2.6</v>
      </c>
      <c r="Z16" s="75">
        <f t="shared" si="0"/>
        <v>56.277742375967208</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 t="s">
        <v>2</v>
      </c>
      <c r="G17" s="20">
        <v>4</v>
      </c>
      <c r="H17" s="11" t="s">
        <v>60</v>
      </c>
      <c r="I17" s="99"/>
      <c r="J17" s="99"/>
      <c r="K17" s="99"/>
      <c r="V17" s="74"/>
      <c r="W17" s="17"/>
      <c r="Y17" s="8">
        <v>2.8</v>
      </c>
      <c r="Z17" s="75">
        <f t="shared" si="0"/>
        <v>47.804081632653066</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x14ac:dyDescent="0.3">
      <c r="A18" s="11"/>
      <c r="D18" s="11"/>
      <c r="E18" s="11"/>
      <c r="F18" s="14" t="s">
        <v>18</v>
      </c>
      <c r="G18" s="20">
        <v>0.08</v>
      </c>
      <c r="H18" s="11" t="s">
        <v>56</v>
      </c>
      <c r="I18" s="11" t="s">
        <v>115</v>
      </c>
      <c r="V18" s="74"/>
      <c r="W18" s="17"/>
      <c r="Y18" s="8">
        <v>3</v>
      </c>
      <c r="Z18" s="75">
        <f t="shared" si="0"/>
        <v>41.785185185185178</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ht="15" x14ac:dyDescent="0.35">
      <c r="A19" s="11"/>
      <c r="B19" s="11"/>
      <c r="C19" s="11"/>
      <c r="D19" s="11"/>
      <c r="E19" s="11"/>
      <c r="F19" s="14" t="s">
        <v>17</v>
      </c>
      <c r="G19" s="110">
        <v>3500</v>
      </c>
      <c r="H19" s="11" t="s">
        <v>57</v>
      </c>
      <c r="I19" s="11" t="s">
        <v>116</v>
      </c>
      <c r="K19" s="11"/>
      <c r="V19" s="74"/>
      <c r="W19" s="17"/>
      <c r="Y19" s="8">
        <v>3.2</v>
      </c>
      <c r="Z19" s="75">
        <f t="shared" si="0"/>
        <v>37.433984374999994</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K20" s="11"/>
      <c r="V20" s="74"/>
      <c r="W20" s="17"/>
      <c r="Y20" s="8">
        <v>3.4</v>
      </c>
      <c r="Z20" s="75">
        <f t="shared" si="0"/>
        <v>34.240545491553021</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84" t="s">
        <v>61</v>
      </c>
      <c r="G21" s="93">
        <v>150</v>
      </c>
      <c r="H21" s="83"/>
      <c r="I21" s="83"/>
      <c r="J21" s="88"/>
      <c r="K21" s="88"/>
      <c r="V21" s="74"/>
      <c r="W21" s="17"/>
      <c r="Y21" s="8">
        <v>3.6</v>
      </c>
      <c r="Z21" s="75">
        <f t="shared" si="0"/>
        <v>31.866117969821666</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84" t="s">
        <v>62</v>
      </c>
      <c r="G22" s="71" t="str">
        <f>[1]!xln(G23)</f>
        <v>(1.6E+07) × 0.08³ / 12 × (1 - 0.31²)</v>
      </c>
      <c r="I22" s="84"/>
      <c r="J22" s="87"/>
      <c r="K22" s="83"/>
      <c r="V22" s="74"/>
      <c r="W22" s="17"/>
      <c r="Y22" s="8">
        <v>3.8</v>
      </c>
      <c r="Z22" s="75">
        <f t="shared" si="0"/>
        <v>30.0806823152063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84"/>
      <c r="G23" s="115">
        <f>C24*G18^3/12*(1-C25^2)</f>
        <v>617.06240000000025</v>
      </c>
      <c r="H23" s="83" t="s">
        <v>63</v>
      </c>
      <c r="I23" s="84"/>
      <c r="J23" s="87"/>
      <c r="K23" s="65"/>
      <c r="V23" s="74"/>
      <c r="W23" s="17"/>
      <c r="Y23" s="8">
        <v>4</v>
      </c>
      <c r="Z23" s="75">
        <f t="shared" si="0"/>
        <v>28.725000000000001</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B24" s="14" t="s">
        <v>16</v>
      </c>
      <c r="C24" s="22">
        <v>16000000</v>
      </c>
      <c r="D24" s="11" t="s">
        <v>57</v>
      </c>
      <c r="F24" s="14" t="s">
        <v>58</v>
      </c>
      <c r="G24" s="23">
        <f>G16/G17</f>
        <v>10</v>
      </c>
      <c r="H24" s="11" t="s">
        <v>3</v>
      </c>
      <c r="J24" s="95"/>
      <c r="K24" s="83"/>
      <c r="V24" s="74"/>
      <c r="W24" s="17"/>
      <c r="Y24" s="8">
        <v>4.2</v>
      </c>
      <c r="Z24" s="75">
        <f t="shared" si="0"/>
        <v>27.686923658352228</v>
      </c>
      <c r="AC24" s="2">
        <v>0</v>
      </c>
      <c r="AD24" s="2">
        <v>4</v>
      </c>
      <c r="AE24" s="2">
        <f t="shared" ref="AE24:AE41" si="2">AD24/4</f>
        <v>1</v>
      </c>
      <c r="AF24" s="2">
        <f t="shared" ref="AF24:AF41" si="3">AC24</f>
        <v>0</v>
      </c>
      <c r="AG24" s="4"/>
      <c r="AH24" s="2">
        <f>MATCH(I43,AC24:AC41)</f>
        <v>5</v>
      </c>
      <c r="AI24" s="2">
        <f>INDEX(AC24:AC41,AH24)</f>
        <v>3</v>
      </c>
      <c r="AJ24" s="19">
        <f>INDEX(AE24:AE41,AH24)</f>
        <v>1.2</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B25" s="1" t="s">
        <v>14</v>
      </c>
      <c r="C25" s="22">
        <v>0.31</v>
      </c>
      <c r="D25" s="11"/>
      <c r="E25" s="34"/>
      <c r="F25" s="72"/>
      <c r="J25" s="87"/>
      <c r="K25" s="83"/>
      <c r="V25" s="74"/>
      <c r="W25" s="17"/>
      <c r="Y25" s="8">
        <v>4.4000000000000004</v>
      </c>
      <c r="Z25" s="75">
        <f t="shared" si="0"/>
        <v>26.886250939143501</v>
      </c>
      <c r="AC25" s="2">
        <v>0.5</v>
      </c>
      <c r="AD25" s="2">
        <v>4.2</v>
      </c>
      <c r="AE25" s="2">
        <f t="shared" si="2"/>
        <v>1.05</v>
      </c>
      <c r="AF25" s="2">
        <f t="shared" si="3"/>
        <v>0.5</v>
      </c>
      <c r="AG25" s="18"/>
      <c r="AH25" s="2">
        <f>AH24+1</f>
        <v>6</v>
      </c>
      <c r="AI25" s="2">
        <f>INDEX(AC24:AC41,AH25)</f>
        <v>4</v>
      </c>
      <c r="AJ25" s="19">
        <f>INDEX(AE24:AE41,AH25)</f>
        <v>1.2424999999999999</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Y26" s="8">
        <v>4.5999999999999996</v>
      </c>
      <c r="Z26" s="75">
        <f t="shared" si="0"/>
        <v>26.264831100517796</v>
      </c>
      <c r="AC26" s="2">
        <v>1</v>
      </c>
      <c r="AD26" s="2">
        <v>4.3600000000000003</v>
      </c>
      <c r="AE26" s="2">
        <f t="shared" si="2"/>
        <v>1.0900000000000001</v>
      </c>
      <c r="AF26" s="2">
        <f t="shared" si="3"/>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97">
        <f>Y27-Y19</f>
        <v>1.5999999999999996</v>
      </c>
      <c r="Y27" s="8">
        <v>4.8</v>
      </c>
      <c r="Z27" s="75">
        <f t="shared" si="0"/>
        <v>25.779976851851853</v>
      </c>
      <c r="AC27" s="2">
        <v>2</v>
      </c>
      <c r="AD27" s="2">
        <v>4.5999999999999996</v>
      </c>
      <c r="AE27" s="2">
        <f t="shared" si="2"/>
        <v>1.1499999999999999</v>
      </c>
      <c r="AF27" s="2">
        <f t="shared" si="3"/>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66</v>
      </c>
      <c r="I28" s="107">
        <f>AC14</f>
        <v>24</v>
      </c>
      <c r="V28" s="74"/>
      <c r="W28" s="17"/>
      <c r="Y28" s="8">
        <v>5</v>
      </c>
      <c r="Z28" s="75">
        <f t="shared" si="0"/>
        <v>25.4</v>
      </c>
      <c r="AC28" s="2">
        <v>3</v>
      </c>
      <c r="AD28" s="2">
        <v>4.8</v>
      </c>
      <c r="AE28" s="2">
        <f t="shared" si="2"/>
        <v>1.2</v>
      </c>
      <c r="AF28" s="2">
        <f t="shared" si="3"/>
        <v>3</v>
      </c>
      <c r="AI28" s="70">
        <f>I43</f>
        <v>3.8893959508795204</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Y29" s="8">
        <v>5.2</v>
      </c>
      <c r="Z29" s="75">
        <f t="shared" si="0"/>
        <v>25.101137915339098</v>
      </c>
      <c r="AC29" s="2">
        <v>4</v>
      </c>
      <c r="AD29" s="2">
        <v>4.97</v>
      </c>
      <c r="AE29" s="2">
        <f t="shared" si="2"/>
        <v>1.2424999999999999</v>
      </c>
      <c r="AF29" s="2">
        <f t="shared" si="3"/>
        <v>4</v>
      </c>
      <c r="AI29" s="70">
        <f>AI28</f>
        <v>3.8893959508795204</v>
      </c>
      <c r="AJ29" s="2">
        <f>IF(I43&gt;500,1.74,AJ25-(AJ25-AJ24)/(AI25-AI24)*(AI25-I43))</f>
        <v>1.2377993279123796</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Y30" s="8">
        <v>5.4</v>
      </c>
      <c r="Z30" s="75">
        <f t="shared" si="0"/>
        <v>24.865406696133718</v>
      </c>
      <c r="AC30" s="2">
        <v>6</v>
      </c>
      <c r="AD30" s="2">
        <v>5.25</v>
      </c>
      <c r="AE30" s="2">
        <f t="shared" si="2"/>
        <v>1.3125</v>
      </c>
      <c r="AF30" s="2">
        <f t="shared" si="3"/>
        <v>6</v>
      </c>
      <c r="AI30" s="2">
        <v>0.1</v>
      </c>
      <c r="AJ30" s="2">
        <f>AJ29</f>
        <v>1.2377993279123796</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Y31" s="8">
        <v>5.6</v>
      </c>
      <c r="Z31" s="75">
        <f t="shared" si="0"/>
        <v>24.679081632653062</v>
      </c>
      <c r="AA31" s="24"/>
      <c r="AC31" s="2">
        <v>8</v>
      </c>
      <c r="AD31" s="2">
        <v>5.46</v>
      </c>
      <c r="AE31" s="2">
        <f t="shared" si="2"/>
        <v>1.365</v>
      </c>
      <c r="AF31" s="2">
        <f t="shared" si="3"/>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Y32" s="8">
        <v>5.8</v>
      </c>
      <c r="Z32" s="75">
        <f t="shared" si="0"/>
        <v>24.531608512034115</v>
      </c>
      <c r="AA32" s="24"/>
      <c r="AC32" s="2">
        <v>10</v>
      </c>
      <c r="AD32" s="2">
        <v>5.6</v>
      </c>
      <c r="AE32" s="2">
        <f t="shared" si="2"/>
        <v>1.4</v>
      </c>
      <c r="AF32" s="2">
        <f t="shared" si="3"/>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98">
        <f>Y33-Y27</f>
        <v>1.2000000000000002</v>
      </c>
      <c r="Y33" s="8">
        <v>6</v>
      </c>
      <c r="Z33" s="75">
        <f t="shared" si="0"/>
        <v>24.414814814814815</v>
      </c>
      <c r="AC33" s="2">
        <v>12</v>
      </c>
      <c r="AD33" s="2">
        <v>5.73</v>
      </c>
      <c r="AE33" s="2">
        <f t="shared" si="2"/>
        <v>1.4325000000000001</v>
      </c>
      <c r="AF33" s="2">
        <f t="shared" si="3"/>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Y34" s="8">
        <v>6.2</v>
      </c>
      <c r="Z34" s="75">
        <f t="shared" si="0"/>
        <v>24.32233224799436</v>
      </c>
      <c r="AA34" s="21"/>
      <c r="AC34" s="2">
        <v>16</v>
      </c>
      <c r="AD34" s="2">
        <v>5.93</v>
      </c>
      <c r="AE34" s="2">
        <f t="shared" si="2"/>
        <v>1.4824999999999999</v>
      </c>
      <c r="AF34" s="2">
        <f t="shared" si="3"/>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Y35" s="8">
        <v>6.9</v>
      </c>
      <c r="Z35" s="75">
        <f t="shared" si="0"/>
        <v>24.126959687558028</v>
      </c>
      <c r="AA35" s="21"/>
      <c r="AC35" s="2">
        <v>20</v>
      </c>
      <c r="AD35" s="2">
        <v>6.07</v>
      </c>
      <c r="AE35" s="2">
        <f t="shared" si="2"/>
        <v>1.5175000000000001</v>
      </c>
      <c r="AF35" s="2">
        <f t="shared" si="3"/>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Y36" s="8">
        <v>7.6</v>
      </c>
      <c r="Z36" s="75">
        <f t="shared" si="0"/>
        <v>24.04408805948389</v>
      </c>
      <c r="AA36" s="21"/>
      <c r="AB36" s="9"/>
      <c r="AC36" s="2">
        <v>30</v>
      </c>
      <c r="AD36" s="2">
        <v>6.298</v>
      </c>
      <c r="AE36" s="2">
        <f t="shared" si="2"/>
        <v>1.5745</v>
      </c>
      <c r="AF36" s="2">
        <f t="shared" si="3"/>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Y37" s="8">
        <v>8.3000000000000007</v>
      </c>
      <c r="Z37" s="75">
        <f t="shared" si="0"/>
        <v>24.012029304618679</v>
      </c>
      <c r="AA37" s="21"/>
      <c r="AB37" s="7"/>
      <c r="AC37" s="2">
        <v>40</v>
      </c>
      <c r="AD37" s="2">
        <v>6.42</v>
      </c>
      <c r="AE37" s="2">
        <f t="shared" si="2"/>
        <v>1.605</v>
      </c>
      <c r="AF37" s="2">
        <f t="shared" si="3"/>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Y38" s="8">
        <v>9</v>
      </c>
      <c r="Z38" s="75">
        <f t="shared" si="0"/>
        <v>24.001920438957477</v>
      </c>
      <c r="AA38" s="21"/>
      <c r="AB38" s="7"/>
      <c r="AC38" s="2">
        <v>70</v>
      </c>
      <c r="AD38" s="2">
        <v>6.63</v>
      </c>
      <c r="AE38" s="2">
        <f t="shared" si="2"/>
        <v>1.6575</v>
      </c>
      <c r="AF38" s="2">
        <f t="shared" si="3"/>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97">
        <f>Y39-Y33</f>
        <v>3.6999999999999993</v>
      </c>
      <c r="Y39" s="8">
        <v>9.6999999999999993</v>
      </c>
      <c r="Z39" s="75">
        <f t="shared" si="0"/>
        <v>24.000041416805363</v>
      </c>
      <c r="AA39" s="21"/>
      <c r="AB39" s="29"/>
      <c r="AC39" s="2">
        <v>100</v>
      </c>
      <c r="AD39" s="2">
        <v>6.72</v>
      </c>
      <c r="AE39" s="2">
        <f t="shared" si="2"/>
        <v>1.68</v>
      </c>
      <c r="AF39" s="2">
        <f t="shared" si="3"/>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Y40" s="8">
        <v>10.4</v>
      </c>
      <c r="Z40" s="75">
        <f t="shared" si="0"/>
        <v>23.999920345926263</v>
      </c>
      <c r="AA40" s="21"/>
      <c r="AB40" s="9"/>
      <c r="AC40" s="2">
        <v>200</v>
      </c>
      <c r="AD40" s="2">
        <v>6.85</v>
      </c>
      <c r="AE40" s="2">
        <f t="shared" si="2"/>
        <v>1.7124999999999999</v>
      </c>
      <c r="AF40" s="2">
        <f t="shared" si="3"/>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Y41" s="8">
        <v>11.1</v>
      </c>
      <c r="Z41" s="75">
        <f t="shared" si="0"/>
        <v>23.998637497980084</v>
      </c>
      <c r="AA41" s="21"/>
      <c r="AB41" s="9"/>
      <c r="AC41" s="2">
        <v>500</v>
      </c>
      <c r="AD41" s="2">
        <v>6.96</v>
      </c>
      <c r="AE41" s="2">
        <f t="shared" si="2"/>
        <v>1.74</v>
      </c>
      <c r="AF41" s="2">
        <f t="shared" si="3"/>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H42" s="53" t="s">
        <v>64</v>
      </c>
      <c r="I42" s="71" t="str">
        <f>[1]!xln(I43)</f>
        <v>4 × 150 × 4 / 617</v>
      </c>
      <c r="K42" s="11"/>
      <c r="V42" s="74"/>
      <c r="W42" s="17"/>
      <c r="Y42" s="8">
        <v>11.8</v>
      </c>
      <c r="Z42" s="75">
        <f t="shared" si="0"/>
        <v>23.995030650650747</v>
      </c>
      <c r="AA42" s="21"/>
      <c r="AB42" s="7"/>
      <c r="AC42" s="17"/>
      <c r="AD42" s="74"/>
      <c r="AE42" s="17"/>
      <c r="AF42" s="27"/>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I43" s="108">
        <f>4*G21*G17/G23</f>
        <v>3.8893959508795204</v>
      </c>
      <c r="J43" s="11"/>
      <c r="K43" s="11"/>
      <c r="V43" s="74"/>
      <c r="W43" s="17"/>
      <c r="Y43" s="8">
        <v>12.5</v>
      </c>
      <c r="Z43" s="75">
        <f t="shared" si="0"/>
        <v>23.988800000000001</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4">
        <f>Y44-Y39</f>
        <v>3.5</v>
      </c>
      <c r="Y44" s="8">
        <v>13.2</v>
      </c>
      <c r="Z44" s="75">
        <f t="shared" si="0"/>
        <v>23.980053983359767</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65</v>
      </c>
      <c r="I45" s="109">
        <f>AJ30</f>
        <v>1.2377993279123796</v>
      </c>
      <c r="V45" s="74"/>
      <c r="W45" s="17"/>
      <c r="Y45" s="8">
        <v>13.9</v>
      </c>
      <c r="Z45" s="75">
        <f t="shared" si="0"/>
        <v>23.969077296518979</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Y46" s="8">
        <v>14.6</v>
      </c>
      <c r="Z46" s="75">
        <f t="shared" si="0"/>
        <v>23.956213224614864</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67</v>
      </c>
      <c r="I47" s="71" t="str">
        <f>[1]!xln(I48)</f>
        <v>1.24 × 24</v>
      </c>
      <c r="V47" s="74"/>
      <c r="W47" s="17"/>
      <c r="Y47" s="8">
        <v>15.3</v>
      </c>
      <c r="Z47" s="75">
        <f t="shared" si="0"/>
        <v>23.94180557893911</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67</v>
      </c>
      <c r="I48" s="109">
        <f>I45*I28</f>
        <v>29.707183869897108</v>
      </c>
      <c r="V48" s="74"/>
      <c r="W48" s="17"/>
      <c r="Y48" s="8">
        <v>16</v>
      </c>
      <c r="Z48" s="75">
        <f t="shared" si="0"/>
        <v>23.926171875000001</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Y49" s="8">
        <v>16.7</v>
      </c>
      <c r="Z49" s="75">
        <f t="shared" si="0"/>
        <v>23.909592797623944</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Y50" s="8">
        <v>17.399999999999999</v>
      </c>
      <c r="Z50" s="75">
        <f t="shared" si="0"/>
        <v>23.892309981883152</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Y51" s="8">
        <v>18.100000000000001</v>
      </c>
      <c r="Z51" s="75">
        <f t="shared" si="0"/>
        <v>23.874527841941156</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Y52" s="8">
        <v>18.8</v>
      </c>
      <c r="Z52" s="75">
        <f t="shared" si="0"/>
        <v>23.856417171532321</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x14ac:dyDescent="0.3">
      <c r="B53" s="14"/>
      <c r="C53" s="76"/>
      <c r="D53" s="11"/>
      <c r="E53" s="11"/>
      <c r="F53" s="11"/>
      <c r="G53" s="11"/>
      <c r="V53" s="74"/>
      <c r="W53" s="17"/>
      <c r="Y53" s="8">
        <v>19.5</v>
      </c>
      <c r="Z53" s="75">
        <f t="shared" si="0"/>
        <v>23.838119320959557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A54" s="11"/>
      <c r="J54" s="34"/>
      <c r="K54" s="25"/>
      <c r="V54" s="74"/>
      <c r="W54" s="75"/>
      <c r="Y54" s="8">
        <v>20.2</v>
      </c>
      <c r="Z54" s="75">
        <f t="shared" si="0"/>
        <v>23.819750344802149</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59</v>
      </c>
      <c r="C55" s="71" t="str">
        <f ca="1">[1]!xlv(C57)</f>
        <v>k × (π²) × E × ((t / b)²) / (12 × (1 - νₑ²))</v>
      </c>
      <c r="J55" s="71"/>
      <c r="K55" s="71"/>
      <c r="V55" s="74"/>
      <c r="W55" s="4"/>
      <c r="Y55" s="8">
        <v>20.9</v>
      </c>
      <c r="Z55" s="75">
        <f t="shared" si="0"/>
        <v>23.80140483490079</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B56" s="34" t="s">
        <v>5</v>
      </c>
      <c r="C56" s="71" t="str">
        <f>[1]!xln(C57)</f>
        <v>29.7 × (π²) × (1.6E+07) × ((0.08 / 4)²) / (12 × (1 - 0.31²))</v>
      </c>
      <c r="D56" s="71"/>
      <c r="E56" s="11"/>
      <c r="I56" s="71"/>
      <c r="J56" s="71"/>
      <c r="K56" s="71"/>
      <c r="V56" s="74"/>
      <c r="W56" s="4"/>
      <c r="Y56" s="8">
        <v>21.6</v>
      </c>
      <c r="Z56" s="75">
        <f t="shared" si="0"/>
        <v>23.783159325306102</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ht="15" x14ac:dyDescent="0.35">
      <c r="B57" s="14" t="s">
        <v>59</v>
      </c>
      <c r="C57" s="76">
        <f xml:space="preserve"> I48*(PI()^2)*C24*((G18/G17)^2)/(12*(1-C25^2))</f>
        <v>172997.39804037751</v>
      </c>
      <c r="D57" s="11" t="s">
        <v>57</v>
      </c>
      <c r="E57" s="11"/>
      <c r="F57" s="11"/>
      <c r="V57" s="74"/>
      <c r="Y57" s="8">
        <v>22.3</v>
      </c>
      <c r="Z57" s="75">
        <f t="shared" si="0"/>
        <v>23.765075245949639</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A58" s="11"/>
      <c r="F58" s="11"/>
      <c r="J58" s="34" t="str">
        <f>"M.S. = "&amp;[1]!xln(K58)&amp;" ="</f>
        <v>M.S. = 172997 / 3500 - 1 =</v>
      </c>
      <c r="K58" s="25">
        <f>C57/G19-1</f>
        <v>48.427828011536427</v>
      </c>
      <c r="V58" s="75"/>
      <c r="Y58" s="8">
        <v>23</v>
      </c>
      <c r="Z58" s="75">
        <f t="shared" si="0"/>
        <v>23.747201446535712</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43</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68</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s="4" customFormat="1" x14ac:dyDescent="0.3">
      <c r="A61" s="52"/>
      <c r="B61" s="43"/>
      <c r="C61" s="43"/>
      <c r="D61" s="43"/>
      <c r="E61" s="53" t="s">
        <v>6</v>
      </c>
      <c r="F61" s="54" t="str">
        <f>$C$1</f>
        <v>R. Abbott</v>
      </c>
      <c r="G61" s="43"/>
      <c r="H61" s="55"/>
      <c r="I61" s="53" t="s">
        <v>11</v>
      </c>
      <c r="J61" s="56" t="str">
        <f>$G$2</f>
        <v>AA-SM-007-043</v>
      </c>
      <c r="K61" s="57"/>
      <c r="L61" s="58"/>
      <c r="M61" s="79"/>
      <c r="N61" s="79"/>
      <c r="O61" s="79"/>
      <c r="P61" s="102"/>
      <c r="Q61" s="12"/>
      <c r="R61" s="12"/>
      <c r="S61" s="12"/>
      <c r="T61" s="12"/>
      <c r="AE61" s="2"/>
      <c r="AF61" s="8"/>
      <c r="AG61" s="70"/>
      <c r="AH61" s="74"/>
      <c r="AI61" s="74"/>
      <c r="AJ61" s="74"/>
      <c r="AK61" s="74"/>
    </row>
    <row r="62" spans="1:103" s="5" customFormat="1" x14ac:dyDescent="0.3">
      <c r="A62" s="43"/>
      <c r="B62" s="43"/>
      <c r="C62" s="43"/>
      <c r="D62" s="43"/>
      <c r="E62" s="53" t="s">
        <v>7</v>
      </c>
      <c r="F62" s="55" t="str">
        <f>$C$2</f>
        <v xml:space="preserve"> </v>
      </c>
      <c r="G62" s="43"/>
      <c r="H62" s="55"/>
      <c r="I62" s="53" t="s">
        <v>12</v>
      </c>
      <c r="J62" s="57" t="str">
        <f>$G$3</f>
        <v>IR</v>
      </c>
      <c r="K62" s="57"/>
      <c r="L62" s="58"/>
      <c r="M62" s="79">
        <v>1</v>
      </c>
      <c r="N62" s="79"/>
      <c r="O62" s="79"/>
      <c r="P62" s="102"/>
      <c r="Q62" s="36"/>
      <c r="R62" s="36"/>
      <c r="S62" s="36"/>
      <c r="T62" s="36"/>
      <c r="X62" s="6"/>
      <c r="Y62" s="6"/>
      <c r="Z62" s="6"/>
      <c r="AA62" s="6"/>
      <c r="AB62" s="4"/>
      <c r="AC62" s="4"/>
      <c r="AD62" s="7"/>
      <c r="AE62" s="2"/>
      <c r="AF62" s="8"/>
      <c r="AG62" s="70"/>
      <c r="AH62" s="74"/>
      <c r="AI62" s="74"/>
      <c r="AJ62" s="74"/>
      <c r="AK62" s="74"/>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9"/>
      <c r="N63" s="79"/>
      <c r="O63" s="79"/>
      <c r="P63" s="102"/>
      <c r="Q63" s="12"/>
      <c r="R63" s="12"/>
      <c r="S63" s="12"/>
      <c r="T63" s="12"/>
      <c r="X63" s="8"/>
      <c r="Y63" s="9"/>
      <c r="Z63" s="9"/>
      <c r="AA63" s="9"/>
      <c r="AB63" s="10"/>
      <c r="AC63" s="10"/>
      <c r="AD63" s="10"/>
      <c r="AE63" s="2"/>
      <c r="AF63" s="8"/>
      <c r="AG63" s="70"/>
      <c r="AH63" s="74"/>
      <c r="AI63" s="74"/>
      <c r="AJ63" s="74"/>
      <c r="AK63" s="74"/>
      <c r="AT63" s="19"/>
      <c r="BF63" s="19"/>
      <c r="BR63" s="19"/>
      <c r="CD63" s="19"/>
      <c r="CP63" s="19"/>
    </row>
    <row r="64" spans="1:103" x14ac:dyDescent="0.3">
      <c r="A64" s="43"/>
      <c r="B64" s="43"/>
      <c r="C64" s="43"/>
      <c r="D64" s="43"/>
      <c r="E64" s="53" t="s">
        <v>26</v>
      </c>
      <c r="F64" s="55" t="str">
        <f>$C$5</f>
        <v>STANDARD SPREADSHEET METHOD</v>
      </c>
      <c r="G64" s="43"/>
      <c r="H64" s="43"/>
      <c r="I64" s="59"/>
      <c r="J64" s="54"/>
      <c r="K64" s="43"/>
      <c r="L64" s="43"/>
      <c r="M64" s="79"/>
      <c r="N64" s="79"/>
      <c r="O64" s="79"/>
      <c r="P64" s="102"/>
      <c r="V64" s="8"/>
      <c r="W64" s="9"/>
      <c r="X64" s="9"/>
      <c r="Y64" s="9"/>
      <c r="Z64" s="10"/>
      <c r="AA64" s="10"/>
      <c r="AB64" s="10"/>
      <c r="AD64" s="8"/>
      <c r="AE64" s="70"/>
      <c r="AF64" s="74"/>
      <c r="AG64" s="74"/>
      <c r="AH64" s="74"/>
      <c r="AI64" s="74"/>
      <c r="AP64" s="2"/>
      <c r="AT64" s="34"/>
      <c r="BF64" s="34"/>
      <c r="BR64" s="34"/>
      <c r="CD64" s="34"/>
      <c r="CP64" s="34"/>
    </row>
    <row r="65" spans="1:93" ht="15.6" x14ac:dyDescent="0.3">
      <c r="B65" s="61" t="str">
        <f>$G$4</f>
        <v>PLASTIC BENDING BUCKLING OF FLAT ISOTROPIC PANELS</v>
      </c>
      <c r="E65" s="11"/>
      <c r="F65" s="11"/>
      <c r="G65" s="11"/>
      <c r="H65" s="11"/>
      <c r="I65" s="11"/>
      <c r="J65" s="11"/>
      <c r="K65" s="11"/>
      <c r="V65" s="8"/>
      <c r="W65" s="9"/>
      <c r="AA65" s="10"/>
      <c r="AB65" s="10"/>
      <c r="AD65" s="8"/>
      <c r="AE65" s="70"/>
      <c r="AF65" s="74"/>
      <c r="AG65" s="74"/>
      <c r="AH65" s="74"/>
      <c r="AI65" s="74"/>
      <c r="AP65" s="2"/>
    </row>
    <row r="66" spans="1:93" ht="13.5" customHeight="1" x14ac:dyDescent="0.3">
      <c r="A66" s="13"/>
      <c r="B66" s="144" t="s">
        <v>113</v>
      </c>
      <c r="C66" s="144"/>
      <c r="D66" s="11"/>
      <c r="E66" s="11"/>
      <c r="F66" s="11"/>
      <c r="G66" s="11"/>
      <c r="H66" s="11"/>
      <c r="I66" s="11"/>
      <c r="J66" s="11"/>
      <c r="K66" s="11"/>
      <c r="Y66" s="8"/>
      <c r="Z66" s="70"/>
      <c r="AA66" s="9"/>
      <c r="AB66" s="100"/>
      <c r="AC66" s="70"/>
      <c r="AD66" s="8"/>
      <c r="AE66" s="70"/>
      <c r="AF66" s="74"/>
      <c r="AG66" s="74"/>
      <c r="AH66" s="74"/>
      <c r="AI66" s="74"/>
      <c r="AP66" s="2"/>
      <c r="AQ66" s="15"/>
      <c r="BE66" s="15"/>
      <c r="BQ66" s="15"/>
      <c r="CC66" s="15"/>
      <c r="CO66" s="15"/>
    </row>
    <row r="67" spans="1:93" x14ac:dyDescent="0.3">
      <c r="A67" s="11"/>
      <c r="B67" s="144" t="s">
        <v>114</v>
      </c>
      <c r="C67" s="144"/>
      <c r="D67" s="144"/>
      <c r="E67" s="101"/>
      <c r="F67" s="101"/>
      <c r="G67" s="101"/>
      <c r="H67" s="101"/>
      <c r="I67" s="101"/>
      <c r="J67" s="101"/>
      <c r="K67" s="11"/>
      <c r="W67" s="70"/>
      <c r="Y67" s="8"/>
      <c r="Z67" s="70"/>
      <c r="AA67" s="9"/>
      <c r="AB67" s="100"/>
      <c r="AC67" s="70"/>
      <c r="AF67" s="74"/>
      <c r="AG67" s="74"/>
      <c r="AH67" s="74"/>
      <c r="AI67" s="74"/>
      <c r="AP67" s="2"/>
      <c r="AQ67" s="9"/>
      <c r="BE67" s="9"/>
      <c r="BQ67" s="9"/>
      <c r="CC67" s="9"/>
      <c r="CO67" s="9"/>
    </row>
    <row r="68" spans="1:93" x14ac:dyDescent="0.3">
      <c r="A68" s="11"/>
      <c r="B68" s="116"/>
      <c r="C68" s="101"/>
      <c r="D68" s="101"/>
      <c r="E68" s="101"/>
      <c r="F68" s="101"/>
      <c r="G68" s="101"/>
      <c r="H68" s="101"/>
      <c r="I68" s="101"/>
      <c r="J68" s="101"/>
      <c r="K68" s="11"/>
      <c r="W68" s="70"/>
      <c r="Y68" s="8"/>
      <c r="Z68" s="70"/>
      <c r="AA68" s="9"/>
      <c r="AB68" s="100"/>
      <c r="AC68" s="70"/>
      <c r="AF68" s="74"/>
      <c r="AG68" s="74"/>
      <c r="AH68" s="74"/>
      <c r="AI68" s="74"/>
      <c r="AP68" s="2"/>
      <c r="AQ68" s="9"/>
      <c r="BE68" s="9"/>
      <c r="BQ68" s="9"/>
      <c r="CC68" s="9"/>
      <c r="CO68" s="9"/>
    </row>
    <row r="69" spans="1:93" x14ac:dyDescent="0.3">
      <c r="A69" s="32"/>
      <c r="C69" s="84" t="s">
        <v>73</v>
      </c>
      <c r="D69" s="117">
        <v>0.1</v>
      </c>
      <c r="E69" s="88"/>
      <c r="F69" s="32"/>
      <c r="G69" s="32" t="str">
        <f>"Shape Factor"</f>
        <v>Shape Factor</v>
      </c>
      <c r="H69" s="118"/>
      <c r="I69" s="118"/>
      <c r="J69" s="4"/>
      <c r="K69" s="4"/>
      <c r="N69" s="119"/>
      <c r="O69" s="119"/>
      <c r="P69" s="119"/>
      <c r="Q69" s="119"/>
      <c r="R69" s="119"/>
      <c r="S69" s="119"/>
      <c r="U69" s="2"/>
      <c r="AP69" s="2"/>
    </row>
    <row r="70" spans="1:93" ht="15" x14ac:dyDescent="0.35">
      <c r="A70" s="32"/>
      <c r="B70" s="84" t="s">
        <v>74</v>
      </c>
      <c r="C70" s="84" t="s">
        <v>75</v>
      </c>
      <c r="D70" s="117">
        <v>65000</v>
      </c>
      <c r="E70" s="83" t="s">
        <v>57</v>
      </c>
      <c r="F70" s="120"/>
      <c r="G70" s="121" t="s">
        <v>76</v>
      </c>
      <c r="H70" s="122">
        <v>50</v>
      </c>
      <c r="I70" s="32"/>
      <c r="J70" s="4" t="s">
        <v>8</v>
      </c>
      <c r="K70" s="4"/>
      <c r="N70" s="119"/>
      <c r="O70" s="119"/>
      <c r="P70" s="119"/>
      <c r="Q70" s="119"/>
      <c r="R70" s="119"/>
      <c r="S70" s="119"/>
      <c r="U70" s="2"/>
      <c r="AP70" s="2"/>
    </row>
    <row r="71" spans="1:93" ht="15" x14ac:dyDescent="0.35">
      <c r="A71" s="32"/>
      <c r="B71" s="84"/>
      <c r="C71" s="84" t="s">
        <v>77</v>
      </c>
      <c r="D71" s="117">
        <v>63000</v>
      </c>
      <c r="E71" s="83" t="s">
        <v>57</v>
      </c>
      <c r="G71" s="121" t="s">
        <v>78</v>
      </c>
      <c r="H71" s="122">
        <v>20</v>
      </c>
      <c r="K71" s="4"/>
      <c r="N71" s="119"/>
      <c r="O71" s="119"/>
      <c r="P71" s="119"/>
      <c r="Q71" s="119"/>
      <c r="R71" s="119"/>
      <c r="S71" s="119"/>
      <c r="U71" s="2"/>
      <c r="AP71" s="2"/>
    </row>
    <row r="72" spans="1:93" ht="15" x14ac:dyDescent="0.35">
      <c r="A72" s="32"/>
      <c r="B72" s="84" t="s">
        <v>79</v>
      </c>
      <c r="C72" s="84" t="s">
        <v>80</v>
      </c>
      <c r="D72" s="117">
        <v>52000</v>
      </c>
      <c r="E72" s="83" t="s">
        <v>57</v>
      </c>
      <c r="F72" s="27"/>
      <c r="G72" s="121" t="s">
        <v>81</v>
      </c>
      <c r="H72" s="122">
        <v>25</v>
      </c>
      <c r="I72" s="32"/>
      <c r="J72" s="27"/>
      <c r="K72" s="4"/>
      <c r="N72" s="119"/>
      <c r="O72" s="119"/>
      <c r="P72" s="119"/>
      <c r="Q72" s="119"/>
      <c r="R72" s="119"/>
      <c r="S72" s="119"/>
      <c r="U72" s="2"/>
      <c r="X72" s="123" t="s">
        <v>82</v>
      </c>
      <c r="Y72" s="32"/>
      <c r="Z72" s="123"/>
      <c r="AA72" s="123"/>
      <c r="AB72" s="32"/>
      <c r="AC72" s="32"/>
      <c r="AD72" s="32"/>
      <c r="AF72" s="123" t="s">
        <v>83</v>
      </c>
      <c r="AP72" s="2"/>
    </row>
    <row r="73" spans="1:93" ht="15" x14ac:dyDescent="0.35">
      <c r="A73" s="32"/>
      <c r="B73" s="84"/>
      <c r="C73" s="84" t="s">
        <v>84</v>
      </c>
      <c r="D73" s="117">
        <v>51000</v>
      </c>
      <c r="E73" s="83" t="s">
        <v>57</v>
      </c>
      <c r="F73" s="27"/>
      <c r="G73" s="121" t="s">
        <v>85</v>
      </c>
      <c r="H73" s="122">
        <v>20</v>
      </c>
      <c r="I73" s="124"/>
      <c r="J73" s="21"/>
      <c r="K73" s="21"/>
      <c r="N73" s="119"/>
      <c r="O73" s="119"/>
      <c r="P73" s="119"/>
      <c r="Q73" s="119"/>
      <c r="R73" s="119"/>
      <c r="S73" s="119"/>
      <c r="U73" s="2"/>
      <c r="X73" s="123" t="s">
        <v>86</v>
      </c>
      <c r="Y73" s="32"/>
      <c r="Z73" s="123" t="s">
        <v>87</v>
      </c>
      <c r="AA73" s="123" t="s">
        <v>88</v>
      </c>
      <c r="AB73" s="123" t="s">
        <v>89</v>
      </c>
      <c r="AC73" s="123" t="s">
        <v>90</v>
      </c>
      <c r="AD73" s="145" t="s">
        <v>91</v>
      </c>
      <c r="AE73" s="145"/>
      <c r="AF73" s="123" t="s">
        <v>86</v>
      </c>
      <c r="AP73" s="2"/>
    </row>
    <row r="74" spans="1:93" ht="15" x14ac:dyDescent="0.35">
      <c r="A74" s="32"/>
      <c r="B74" s="84" t="s">
        <v>92</v>
      </c>
      <c r="C74" s="84" t="s">
        <v>93</v>
      </c>
      <c r="D74" s="117">
        <v>55000</v>
      </c>
      <c r="E74" s="83" t="s">
        <v>57</v>
      </c>
      <c r="F74" s="125"/>
      <c r="G74" s="146" t="s">
        <v>94</v>
      </c>
      <c r="H74" s="146"/>
      <c r="I74" s="146"/>
      <c r="J74" s="146"/>
      <c r="K74" s="4"/>
      <c r="N74" s="119"/>
      <c r="O74" s="119"/>
      <c r="P74" s="119"/>
      <c r="Q74" s="119"/>
      <c r="R74" s="119"/>
      <c r="S74" s="119"/>
      <c r="U74" s="2"/>
      <c r="X74" s="123" t="s">
        <v>83</v>
      </c>
      <c r="Y74" s="123" t="s">
        <v>95</v>
      </c>
      <c r="Z74" s="123" t="s">
        <v>96</v>
      </c>
      <c r="AA74" s="123" t="s">
        <v>97</v>
      </c>
      <c r="AB74" s="123" t="s">
        <v>97</v>
      </c>
      <c r="AC74" s="123" t="s">
        <v>98</v>
      </c>
      <c r="AD74" s="145" t="s">
        <v>99</v>
      </c>
      <c r="AE74" s="145"/>
      <c r="AF74" s="123" t="s">
        <v>100</v>
      </c>
      <c r="AP74" s="2"/>
    </row>
    <row r="75" spans="1:93" ht="15" x14ac:dyDescent="0.35">
      <c r="A75" s="32"/>
      <c r="B75" s="83"/>
      <c r="C75" s="84" t="s">
        <v>101</v>
      </c>
      <c r="D75" s="117">
        <v>53000</v>
      </c>
      <c r="E75" s="83" t="s">
        <v>57</v>
      </c>
      <c r="F75" s="125"/>
      <c r="G75" s="146"/>
      <c r="H75" s="146"/>
      <c r="I75" s="146"/>
      <c r="J75" s="146"/>
      <c r="K75" s="4"/>
      <c r="N75" s="119"/>
      <c r="O75" s="119"/>
      <c r="P75" s="119"/>
      <c r="Q75" s="119"/>
      <c r="R75" s="119"/>
      <c r="S75" s="119"/>
      <c r="U75" s="2"/>
      <c r="X75" s="123" t="s">
        <v>102</v>
      </c>
      <c r="Y75" s="123"/>
      <c r="Z75" s="123" t="s">
        <v>103</v>
      </c>
      <c r="AA75" s="123"/>
      <c r="AB75" s="123"/>
      <c r="AC75" s="32"/>
      <c r="AD75" s="145" t="s">
        <v>104</v>
      </c>
      <c r="AE75" s="145"/>
      <c r="AF75" s="123" t="s">
        <v>102</v>
      </c>
      <c r="AH75" s="126">
        <f>C57</f>
        <v>172997.39804037751</v>
      </c>
      <c r="AP75" s="2"/>
    </row>
    <row r="76" spans="1:93" ht="15" x14ac:dyDescent="0.35">
      <c r="A76" s="32"/>
      <c r="B76" s="84" t="s">
        <v>105</v>
      </c>
      <c r="C76" s="84" t="s">
        <v>106</v>
      </c>
      <c r="D76" s="117">
        <v>46000</v>
      </c>
      <c r="E76" s="83" t="s">
        <v>57</v>
      </c>
      <c r="F76" s="32"/>
      <c r="G76" s="32"/>
      <c r="H76" s="32"/>
      <c r="I76" s="4"/>
      <c r="J76" s="4"/>
      <c r="K76" s="4"/>
      <c r="N76" s="119"/>
      <c r="O76" s="119"/>
      <c r="P76" s="119"/>
      <c r="Q76" s="119"/>
      <c r="R76" s="119"/>
      <c r="S76" s="119"/>
      <c r="U76" s="2"/>
      <c r="X76" s="127"/>
      <c r="Y76" s="128"/>
      <c r="Z76" s="128"/>
      <c r="AA76" s="128"/>
      <c r="AB76" s="128"/>
      <c r="AC76" s="128"/>
      <c r="AD76" s="129" t="s">
        <v>107</v>
      </c>
      <c r="AE76" s="2" t="s">
        <v>108</v>
      </c>
      <c r="AF76" s="127"/>
      <c r="AG76" s="4"/>
      <c r="AP76" s="2"/>
    </row>
    <row r="77" spans="1:93" x14ac:dyDescent="0.3">
      <c r="A77" s="32"/>
      <c r="F77" s="32"/>
      <c r="G77" s="32"/>
      <c r="H77" s="32"/>
      <c r="I77" s="4"/>
      <c r="J77" s="4"/>
      <c r="K77" s="4"/>
      <c r="N77" s="119"/>
      <c r="O77" s="119"/>
      <c r="P77" s="119"/>
      <c r="Q77" s="119"/>
      <c r="R77" s="119"/>
      <c r="S77" s="119"/>
      <c r="U77" s="2"/>
      <c r="X77" s="123" t="s">
        <v>109</v>
      </c>
      <c r="Y77" s="123"/>
      <c r="Z77" s="32"/>
      <c r="AA77" s="123" t="s">
        <v>109</v>
      </c>
      <c r="AB77" s="123" t="s">
        <v>109</v>
      </c>
      <c r="AC77" s="32"/>
      <c r="AD77" s="32" t="s">
        <v>110</v>
      </c>
      <c r="AF77" s="123" t="s">
        <v>109</v>
      </c>
      <c r="AG77" s="4"/>
      <c r="AP77" s="2"/>
    </row>
    <row r="78" spans="1:93" x14ac:dyDescent="0.3">
      <c r="A78" s="32"/>
      <c r="F78" s="32"/>
      <c r="G78" s="32"/>
      <c r="H78" s="32"/>
      <c r="I78" s="4"/>
      <c r="J78" s="4"/>
      <c r="K78" s="4"/>
      <c r="N78" s="119"/>
      <c r="O78" s="119"/>
      <c r="P78" s="119"/>
      <c r="Q78" s="119"/>
      <c r="R78" s="119"/>
      <c r="S78" s="119"/>
      <c r="U78" s="2"/>
      <c r="X78" s="130">
        <v>0</v>
      </c>
      <c r="Y78" s="125">
        <f t="shared" ref="Y78:Y103" si="4">IF(X78&lt;MIN($D$74:$D$75),MIN($H$70:$H$73),(LOG(($D$69)/0.002))/(LOG(MIN($D$70:$D$71)/MIN($D$74:$D$75))))</f>
        <v>20</v>
      </c>
      <c r="Z78" s="131">
        <f t="shared" ref="Z78:Z103" si="5">(X78/MIN($G$20:$G$21))+0.002*(X78/MIN($D$74:$D$75))^Y78</f>
        <v>0</v>
      </c>
      <c r="AA78" s="130">
        <f>AB78</f>
        <v>16000000</v>
      </c>
      <c r="AB78" s="130">
        <f>MIN($C$24)</f>
        <v>16000000</v>
      </c>
      <c r="AC78" s="125">
        <f>0.5-((0.5-$C$25)*(AB78/MIN($C$24)))</f>
        <v>0.31</v>
      </c>
      <c r="AD78" s="125">
        <f>((AB78/MIN($C$24))*(1-$C$25^2)/(1-AC78^2))</f>
        <v>1</v>
      </c>
      <c r="AE78" s="28">
        <f>((AB78/MIN($C$24))*(1-$C$25^2)/(1-AC78^2))*(0.33+0.335*(1+((3*AA78)/AB78))^0.5)</f>
        <v>1</v>
      </c>
      <c r="AF78" s="130">
        <f>X78/AE78</f>
        <v>0</v>
      </c>
      <c r="AG78" s="4">
        <v>1</v>
      </c>
      <c r="AJ78" s="2">
        <f t="shared" ref="AJ78:AJ103" si="6">AD78/AE78</f>
        <v>1</v>
      </c>
      <c r="AP78" s="2"/>
    </row>
    <row r="79" spans="1:93" x14ac:dyDescent="0.3">
      <c r="B79" s="147" t="s">
        <v>117</v>
      </c>
      <c r="C79" s="147"/>
      <c r="D79" s="147"/>
      <c r="E79" s="147"/>
      <c r="F79" s="147"/>
      <c r="G79" s="147"/>
      <c r="H79" s="147"/>
      <c r="I79" s="147"/>
      <c r="J79" s="147"/>
      <c r="N79" s="119"/>
      <c r="O79" s="119"/>
      <c r="P79" s="119"/>
      <c r="Q79" s="119"/>
      <c r="R79" s="119"/>
      <c r="S79" s="119"/>
      <c r="U79" s="2"/>
      <c r="W79" s="11"/>
      <c r="X79" s="130">
        <f>MIN(D74:D75)*0.7</f>
        <v>37100</v>
      </c>
      <c r="Y79" s="125">
        <f t="shared" si="4"/>
        <v>20</v>
      </c>
      <c r="Z79" s="131">
        <f t="shared" si="5"/>
        <v>247.33333492917868</v>
      </c>
      <c r="AA79" s="130">
        <f>X79/((X79/MIN($C$24))+0.002*Y79*(X79/MIN($D$74:$D$75))^(Y79-1))</f>
        <v>15691445.574705247</v>
      </c>
      <c r="AB79" s="130">
        <f>X79/((X79/MIN($C$24))+0.002*(X79/MIN($D$74:$D$75))^Y79)</f>
        <v>15988995.810574243</v>
      </c>
      <c r="AC79" s="125">
        <f t="shared" ref="AC79:AC103" si="7">0.5-((0.5-$C$25)*(AB79/MIN($C$24)))</f>
        <v>0.31013067474943085</v>
      </c>
      <c r="AD79" s="125">
        <f t="shared" ref="AD79:AD103" si="8">((AB79/MIN($C$24))*(1-$C$25^2)/(1-AC79^2))</f>
        <v>0.99940183540396765</v>
      </c>
      <c r="AE79" s="28">
        <f t="shared" ref="AE79:AE103" si="9">((AB79/MIN($C$24))*(1-$C$25^2)/(1-AC79^2))*(0.33+0.335*(1+((3*AA79)/AB79))^0.5)</f>
        <v>0.99471252795355602</v>
      </c>
      <c r="AF79" s="130">
        <f t="shared" ref="AF79:AF103" si="10">X79/AE79</f>
        <v>37297.207944416514</v>
      </c>
      <c r="AG79" s="4">
        <v>2</v>
      </c>
      <c r="AH79" s="2">
        <f>MATCH(AH75,AF78:AF103)</f>
        <v>19</v>
      </c>
      <c r="AI79" s="2">
        <f>AH79+1</f>
        <v>20</v>
      </c>
      <c r="AJ79" s="2">
        <f t="shared" si="6"/>
        <v>1.0047142338300081</v>
      </c>
      <c r="AP79" s="2"/>
    </row>
    <row r="80" spans="1:93" x14ac:dyDescent="0.3">
      <c r="B80" s="147"/>
      <c r="C80" s="147"/>
      <c r="D80" s="147"/>
      <c r="E80" s="147"/>
      <c r="F80" s="147"/>
      <c r="G80" s="147"/>
      <c r="H80" s="147"/>
      <c r="I80" s="147"/>
      <c r="J80" s="147"/>
      <c r="N80" s="119"/>
      <c r="O80" s="119"/>
      <c r="P80" s="119"/>
      <c r="Q80" s="119"/>
      <c r="R80" s="119"/>
      <c r="S80" s="119"/>
      <c r="U80" s="2"/>
      <c r="W80" s="2">
        <f>(X95-X79)/16</f>
        <v>993.75</v>
      </c>
      <c r="X80" s="130">
        <f t="shared" ref="X80:X94" si="11">X79+$W$80</f>
        <v>38093.75</v>
      </c>
      <c r="Y80" s="125">
        <f t="shared" si="4"/>
        <v>20</v>
      </c>
      <c r="Z80" s="131">
        <f t="shared" si="5"/>
        <v>253.95833604094983</v>
      </c>
      <c r="AA80" s="130">
        <f t="shared" ref="AA80:AA103" si="12">X80/((X80/MIN($C$24))+0.002*Y80*(X80/MIN($D$74:$D$75))^(Y80-1))</f>
        <v>15509210.532160684</v>
      </c>
      <c r="AB80" s="130">
        <f t="shared" ref="AB80:AB103" si="13">X80/((X80/MIN($C$24))+0.002*(X80/MIN($D$74:$D$75))^Y80)</f>
        <v>15981824.776094742</v>
      </c>
      <c r="AC80" s="125">
        <f t="shared" si="7"/>
        <v>0.31021583078387494</v>
      </c>
      <c r="AD80" s="125">
        <f t="shared" si="8"/>
        <v>0.9990119956383664</v>
      </c>
      <c r="AE80" s="28">
        <f t="shared" si="9"/>
        <v>0.99154775646910387</v>
      </c>
      <c r="AF80" s="130">
        <f t="shared" si="10"/>
        <v>38418.472283827898</v>
      </c>
      <c r="AG80" s="4">
        <v>3</v>
      </c>
      <c r="AH80" s="126">
        <f>INDEX(AF78:AF103,AH79)</f>
        <v>142120.89966863167</v>
      </c>
      <c r="AI80" s="126">
        <f>INDEX(AF78:AF103,AI79)</f>
        <v>189008.20364981226</v>
      </c>
      <c r="AJ80" s="2">
        <f t="shared" si="6"/>
        <v>1.0075278665304459</v>
      </c>
      <c r="AP80" s="2"/>
    </row>
    <row r="81" spans="1:42" x14ac:dyDescent="0.3">
      <c r="A81" s="32"/>
      <c r="B81"/>
      <c r="C81" s="118"/>
      <c r="D81" s="132"/>
      <c r="E81" s="132"/>
      <c r="F81" s="132"/>
      <c r="G81" s="124"/>
      <c r="H81" s="124"/>
      <c r="I81" s="4"/>
      <c r="J81" s="4"/>
      <c r="K81" s="4"/>
      <c r="N81" s="119"/>
      <c r="O81" s="119"/>
      <c r="P81" s="119"/>
      <c r="Q81" s="119"/>
      <c r="R81" s="119"/>
      <c r="S81" s="119"/>
      <c r="U81" s="2"/>
      <c r="X81" s="130">
        <f t="shared" si="11"/>
        <v>39087.5</v>
      </c>
      <c r="Y81" s="125">
        <f t="shared" si="4"/>
        <v>20</v>
      </c>
      <c r="Z81" s="131">
        <f t="shared" si="5"/>
        <v>260.58333786513072</v>
      </c>
      <c r="AA81" s="130">
        <f t="shared" si="12"/>
        <v>15233654.436024761</v>
      </c>
      <c r="AB81" s="130">
        <f t="shared" si="13"/>
        <v>15970374.364599969</v>
      </c>
      <c r="AC81" s="125">
        <f t="shared" si="7"/>
        <v>0.31035180442037535</v>
      </c>
      <c r="AD81" s="125">
        <f t="shared" si="8"/>
        <v>0.99838945433961712</v>
      </c>
      <c r="AE81" s="28">
        <f t="shared" si="9"/>
        <v>0.98671599752831951</v>
      </c>
      <c r="AF81" s="130">
        <f t="shared" si="10"/>
        <v>39613.728872251471</v>
      </c>
      <c r="AG81" s="4">
        <v>4</v>
      </c>
      <c r="AH81" s="126">
        <f>INDEX(X78:X103,AH79)</f>
        <v>54250</v>
      </c>
      <c r="AI81" s="126">
        <f>INDEX(X78:X103,AI79)</f>
        <v>55500</v>
      </c>
      <c r="AJ81" s="2">
        <f t="shared" si="6"/>
        <v>1.0118306147265668</v>
      </c>
      <c r="AP81" s="2"/>
    </row>
    <row r="82" spans="1:42" x14ac:dyDescent="0.3">
      <c r="A82" s="32"/>
      <c r="B82" s="121"/>
      <c r="C82" s="133"/>
      <c r="D82" s="32"/>
      <c r="E82" s="118"/>
      <c r="F82" s="118"/>
      <c r="G82" s="124"/>
      <c r="H82" s="124"/>
      <c r="I82" s="4"/>
      <c r="J82" s="4"/>
      <c r="K82" s="4"/>
      <c r="N82" s="119"/>
      <c r="O82" s="119"/>
      <c r="P82" s="119"/>
      <c r="Q82" s="119"/>
      <c r="R82" s="119"/>
      <c r="S82" s="119"/>
      <c r="U82" s="2"/>
      <c r="W82" s="2">
        <f>(X103-X95)/8</f>
        <v>1250</v>
      </c>
      <c r="X82" s="130">
        <f t="shared" si="11"/>
        <v>40081.25</v>
      </c>
      <c r="Y82" s="125">
        <f t="shared" si="4"/>
        <v>20</v>
      </c>
      <c r="Z82" s="131">
        <f t="shared" si="5"/>
        <v>267.20834082084906</v>
      </c>
      <c r="AA82" s="130">
        <f t="shared" si="12"/>
        <v>14827909.842507055</v>
      </c>
      <c r="AB82" s="130">
        <f t="shared" si="13"/>
        <v>15952319.553352272</v>
      </c>
      <c r="AC82" s="125">
        <f t="shared" si="7"/>
        <v>0.31056620530394174</v>
      </c>
      <c r="AD82" s="125">
        <f t="shared" si="8"/>
        <v>0.99740768867038054</v>
      </c>
      <c r="AE82" s="28">
        <f t="shared" si="9"/>
        <v>0.97950425065167046</v>
      </c>
      <c r="AF82" s="130">
        <f t="shared" si="10"/>
        <v>40919.934725483516</v>
      </c>
      <c r="AG82" s="4">
        <v>5</v>
      </c>
      <c r="AJ82" s="2">
        <f t="shared" si="6"/>
        <v>1.0182780605666579</v>
      </c>
      <c r="AP82" s="2"/>
    </row>
    <row r="83" spans="1:42" x14ac:dyDescent="0.3">
      <c r="A83" s="32"/>
      <c r="K83" s="4"/>
      <c r="N83" s="119"/>
      <c r="O83" s="119"/>
      <c r="P83" s="119"/>
      <c r="Q83" s="119"/>
      <c r="R83" s="119"/>
      <c r="S83" s="119"/>
      <c r="U83" s="2"/>
      <c r="X83" s="130">
        <f t="shared" si="11"/>
        <v>41075</v>
      </c>
      <c r="Y83" s="125">
        <f t="shared" si="4"/>
        <v>20</v>
      </c>
      <c r="Z83" s="131">
        <f t="shared" si="5"/>
        <v>273.83334555313184</v>
      </c>
      <c r="AA83" s="130">
        <f t="shared" si="12"/>
        <v>14249599.575380243</v>
      </c>
      <c r="AB83" s="130">
        <f t="shared" si="13"/>
        <v>15924200.890397154</v>
      </c>
      <c r="AC83" s="125">
        <f t="shared" si="7"/>
        <v>0.31090011442653376</v>
      </c>
      <c r="AD83" s="125">
        <f t="shared" si="8"/>
        <v>0.99587830696510782</v>
      </c>
      <c r="AE83" s="28">
        <f t="shared" si="9"/>
        <v>0.96902521091199478</v>
      </c>
      <c r="AF83" s="130">
        <f t="shared" si="10"/>
        <v>42387.958060804631</v>
      </c>
      <c r="AG83" s="4">
        <v>6</v>
      </c>
      <c r="AJ83" s="2">
        <f t="shared" si="6"/>
        <v>1.0277114524480124</v>
      </c>
      <c r="AP83" s="2"/>
    </row>
    <row r="84" spans="1:42" x14ac:dyDescent="0.3">
      <c r="A84" s="32"/>
      <c r="K84" s="4"/>
      <c r="N84" s="119"/>
      <c r="O84" s="119"/>
      <c r="P84" s="119"/>
      <c r="Q84" s="119"/>
      <c r="R84" s="119"/>
      <c r="S84" s="119"/>
      <c r="U84" s="2"/>
      <c r="W84" s="11"/>
      <c r="X84" s="130">
        <f t="shared" si="11"/>
        <v>42068.75</v>
      </c>
      <c r="Y84" s="125">
        <f t="shared" si="4"/>
        <v>20</v>
      </c>
      <c r="Z84" s="131">
        <f t="shared" si="5"/>
        <v>280.45835304415647</v>
      </c>
      <c r="AA84" s="130">
        <f t="shared" si="12"/>
        <v>13457919.397838172</v>
      </c>
      <c r="AB84" s="130">
        <f t="shared" si="13"/>
        <v>15880946.6764354</v>
      </c>
      <c r="AC84" s="125">
        <f t="shared" si="7"/>
        <v>0.31141375821732964</v>
      </c>
      <c r="AD84" s="125">
        <f t="shared" si="8"/>
        <v>0.99352480524813946</v>
      </c>
      <c r="AE84" s="28">
        <f t="shared" si="9"/>
        <v>0.95428194232645625</v>
      </c>
      <c r="AF84" s="130">
        <f t="shared" si="10"/>
        <v>44084.193710550629</v>
      </c>
      <c r="AG84" s="4">
        <v>7</v>
      </c>
      <c r="AI84" s="2">
        <f>(AI81-AH81)/(AI80-AH80)*(AH75-AH80)+AH81</f>
        <v>55073.157223545495</v>
      </c>
      <c r="AJ84" s="2">
        <f t="shared" si="6"/>
        <v>1.0411229230912749</v>
      </c>
      <c r="AP84" s="2"/>
    </row>
    <row r="85" spans="1:42" x14ac:dyDescent="0.3">
      <c r="A85" s="32"/>
      <c r="B85" s="32"/>
      <c r="C85" s="118"/>
      <c r="D85" s="118"/>
      <c r="E85" s="118"/>
      <c r="F85" s="118"/>
      <c r="G85" s="124"/>
      <c r="H85" s="124"/>
      <c r="I85" s="4"/>
      <c r="J85" s="4"/>
      <c r="K85" s="4"/>
      <c r="N85" s="119"/>
      <c r="O85" s="119"/>
      <c r="P85" s="119"/>
      <c r="Q85" s="119"/>
      <c r="R85" s="119"/>
      <c r="S85" s="119"/>
      <c r="U85" s="2"/>
      <c r="W85" s="11"/>
      <c r="X85" s="130">
        <f t="shared" si="11"/>
        <v>43062.5</v>
      </c>
      <c r="Y85" s="125">
        <f t="shared" si="4"/>
        <v>20</v>
      </c>
      <c r="Z85" s="131">
        <f t="shared" si="5"/>
        <v>287.08336477440849</v>
      </c>
      <c r="AA85" s="130">
        <f t="shared" si="12"/>
        <v>12426629.114181137</v>
      </c>
      <c r="AB85" s="130">
        <f t="shared" si="13"/>
        <v>15815245.901666217</v>
      </c>
      <c r="AC85" s="125">
        <f t="shared" si="7"/>
        <v>0.31219395491771368</v>
      </c>
      <c r="AD85" s="125">
        <f t="shared" si="8"/>
        <v>0.98994788344622053</v>
      </c>
      <c r="AE85" s="28">
        <f t="shared" si="9"/>
        <v>0.93432303446082132</v>
      </c>
      <c r="AF85" s="130">
        <f t="shared" si="10"/>
        <v>46089.519803876487</v>
      </c>
      <c r="AG85" s="4">
        <v>8</v>
      </c>
      <c r="AJ85" s="2">
        <f t="shared" si="6"/>
        <v>1.0595349220063905</v>
      </c>
      <c r="AP85" s="2"/>
    </row>
    <row r="86" spans="1:42" x14ac:dyDescent="0.3">
      <c r="A86" s="32"/>
      <c r="B86" s="134" t="s">
        <v>111</v>
      </c>
      <c r="E86" s="132"/>
      <c r="F86" s="132"/>
      <c r="G86" s="124"/>
      <c r="H86" s="124"/>
      <c r="I86" s="4"/>
      <c r="J86" s="4"/>
      <c r="K86" s="4"/>
      <c r="N86" s="119"/>
      <c r="O86" s="119"/>
      <c r="P86" s="119"/>
      <c r="Q86" s="119"/>
      <c r="R86" s="119"/>
      <c r="S86" s="119"/>
      <c r="U86" s="2"/>
      <c r="X86" s="130">
        <f t="shared" si="11"/>
        <v>44056.25</v>
      </c>
      <c r="Y86" s="125">
        <f t="shared" si="4"/>
        <v>20</v>
      </c>
      <c r="Z86" s="131">
        <f t="shared" si="5"/>
        <v>293.70838295406475</v>
      </c>
      <c r="AA86" s="130">
        <f t="shared" si="12"/>
        <v>11160833.358314747</v>
      </c>
      <c r="AB86" s="130">
        <f t="shared" si="13"/>
        <v>15716770.216524825</v>
      </c>
      <c r="AC86" s="125">
        <f t="shared" si="7"/>
        <v>0.31336335367876766</v>
      </c>
      <c r="AD86" s="125">
        <f t="shared" si="8"/>
        <v>0.98458187114925011</v>
      </c>
      <c r="AE86" s="28">
        <f t="shared" si="9"/>
        <v>0.90848384921121095</v>
      </c>
      <c r="AF86" s="130">
        <f t="shared" si="10"/>
        <v>48494.257810143507</v>
      </c>
      <c r="AG86" s="4">
        <v>9</v>
      </c>
      <c r="AJ86" s="2">
        <f t="shared" si="6"/>
        <v>1.0837637587108577</v>
      </c>
      <c r="AP86" s="2"/>
    </row>
    <row r="87" spans="1:42" x14ac:dyDescent="0.3">
      <c r="A87" s="32"/>
      <c r="B87" s="121"/>
      <c r="C87" s="120"/>
      <c r="D87" s="124"/>
      <c r="E87" s="121"/>
      <c r="F87" s="120"/>
      <c r="G87" s="124"/>
      <c r="H87" s="124"/>
      <c r="I87" s="4"/>
      <c r="J87" s="4"/>
      <c r="K87" s="4"/>
      <c r="N87" s="119"/>
      <c r="O87" s="119"/>
      <c r="P87" s="119"/>
      <c r="Q87" s="119"/>
      <c r="R87" s="119"/>
      <c r="S87" s="119"/>
      <c r="U87" s="2"/>
      <c r="X87" s="130">
        <f t="shared" si="11"/>
        <v>45050</v>
      </c>
      <c r="Y87" s="125">
        <f t="shared" si="4"/>
        <v>20</v>
      </c>
      <c r="Z87" s="131">
        <f t="shared" si="5"/>
        <v>300.3334108523955</v>
      </c>
      <c r="AA87" s="130">
        <f t="shared" si="12"/>
        <v>9709882.6444387324</v>
      </c>
      <c r="AB87" s="130">
        <f t="shared" si="13"/>
        <v>15571295.114224425</v>
      </c>
      <c r="AC87" s="125">
        <f t="shared" si="7"/>
        <v>0.31509087051858498</v>
      </c>
      <c r="AD87" s="125">
        <f t="shared" si="8"/>
        <v>0.97664430382021739</v>
      </c>
      <c r="AE87" s="28">
        <f t="shared" si="9"/>
        <v>0.87663387860497033</v>
      </c>
      <c r="AF87" s="130">
        <f t="shared" si="10"/>
        <v>51389.75471914254</v>
      </c>
      <c r="AG87" s="4">
        <v>10</v>
      </c>
      <c r="AH87" s="126">
        <f>AH75</f>
        <v>172997.39804037751</v>
      </c>
      <c r="AI87" s="2">
        <v>0</v>
      </c>
      <c r="AJ87" s="2">
        <f t="shared" si="6"/>
        <v>1.1140845998039666</v>
      </c>
      <c r="AP87" s="2"/>
    </row>
    <row r="88" spans="1:42" x14ac:dyDescent="0.3">
      <c r="A88" s="32"/>
      <c r="B88" s="121"/>
      <c r="C88" s="135"/>
      <c r="D88" s="124"/>
      <c r="E88" s="121"/>
      <c r="F88" s="120"/>
      <c r="G88" s="124"/>
      <c r="H88" s="124"/>
      <c r="I88" s="19"/>
      <c r="J88" s="4"/>
      <c r="K88" s="4"/>
      <c r="L88" s="21"/>
      <c r="N88" s="119"/>
      <c r="O88" s="119"/>
      <c r="P88" s="119"/>
      <c r="Q88" s="119"/>
      <c r="R88" s="119"/>
      <c r="S88" s="119"/>
      <c r="U88" s="2"/>
      <c r="X88" s="130">
        <f t="shared" si="11"/>
        <v>46043.75</v>
      </c>
      <c r="Y88" s="125">
        <f t="shared" si="4"/>
        <v>20</v>
      </c>
      <c r="Z88" s="131">
        <f t="shared" si="5"/>
        <v>306.95845326292294</v>
      </c>
      <c r="AA88" s="130">
        <f t="shared" si="12"/>
        <v>8165662.7745685196</v>
      </c>
      <c r="AB88" s="130">
        <f t="shared" si="13"/>
        <v>15359877.072047317</v>
      </c>
      <c r="AC88" s="125">
        <f t="shared" si="7"/>
        <v>0.3176014597694381</v>
      </c>
      <c r="AD88" s="125">
        <f t="shared" si="8"/>
        <v>0.9650859370636532</v>
      </c>
      <c r="AE88" s="28">
        <f t="shared" si="9"/>
        <v>0.83927538373418964</v>
      </c>
      <c r="AF88" s="130">
        <f t="shared" si="10"/>
        <v>54861.313571640159</v>
      </c>
      <c r="AG88" s="4">
        <v>11</v>
      </c>
      <c r="AH88" s="126">
        <f>AH75</f>
        <v>172997.39804037751</v>
      </c>
      <c r="AI88" s="2">
        <f>AI84</f>
        <v>55073.157223545495</v>
      </c>
      <c r="AJ88" s="2">
        <f t="shared" si="6"/>
        <v>1.1499037810089157</v>
      </c>
      <c r="AP88" s="2"/>
    </row>
    <row r="89" spans="1:42" x14ac:dyDescent="0.3">
      <c r="A89" s="32"/>
      <c r="B89" s="121"/>
      <c r="C89" s="120"/>
      <c r="D89" s="124"/>
      <c r="E89" s="121"/>
      <c r="F89" s="120"/>
      <c r="G89" s="124"/>
      <c r="H89" s="124"/>
      <c r="I89" s="4"/>
      <c r="J89" s="4"/>
      <c r="K89" s="4"/>
      <c r="L89" s="136"/>
      <c r="N89" s="119"/>
      <c r="O89" s="119"/>
      <c r="P89" s="119"/>
      <c r="Q89" s="119"/>
      <c r="R89" s="119"/>
      <c r="S89" s="119"/>
      <c r="U89" s="2"/>
      <c r="X89" s="130">
        <f t="shared" si="11"/>
        <v>47037.5</v>
      </c>
      <c r="Y89" s="125">
        <f t="shared" si="4"/>
        <v>20</v>
      </c>
      <c r="Z89" s="131">
        <f t="shared" si="5"/>
        <v>313.58351715522463</v>
      </c>
      <c r="AA89" s="130">
        <f t="shared" si="12"/>
        <v>6641548.7689063996</v>
      </c>
      <c r="AB89" s="130">
        <f t="shared" si="13"/>
        <v>15058429.870882384</v>
      </c>
      <c r="AC89" s="125">
        <f t="shared" si="7"/>
        <v>0.32118114528327169</v>
      </c>
      <c r="AD89" s="125">
        <f t="shared" si="8"/>
        <v>0.94855786768277106</v>
      </c>
      <c r="AE89" s="28">
        <f t="shared" si="9"/>
        <v>0.79736125551555848</v>
      </c>
      <c r="AF89" s="130">
        <f t="shared" si="10"/>
        <v>58991.454218058861</v>
      </c>
      <c r="AG89" s="4">
        <v>12</v>
      </c>
      <c r="AH89" s="2">
        <v>0</v>
      </c>
      <c r="AI89" s="2">
        <f>AI84</f>
        <v>55073.157223545495</v>
      </c>
      <c r="AJ89" s="2">
        <f t="shared" si="6"/>
        <v>1.1896212176367307</v>
      </c>
      <c r="AP89" s="2"/>
    </row>
    <row r="90" spans="1:42" x14ac:dyDescent="0.3">
      <c r="A90" s="32"/>
      <c r="B90" s="32"/>
      <c r="C90" s="32"/>
      <c r="D90" s="32"/>
      <c r="E90" s="32"/>
      <c r="F90" s="32"/>
      <c r="G90" s="32"/>
      <c r="H90" s="32"/>
      <c r="I90" s="4"/>
      <c r="J90" s="4"/>
      <c r="K90" s="4"/>
      <c r="L90" s="136"/>
      <c r="N90" s="119"/>
      <c r="O90" s="119"/>
      <c r="P90" s="119"/>
      <c r="Q90" s="119"/>
      <c r="R90" s="119"/>
      <c r="S90" s="119"/>
      <c r="U90" s="2"/>
      <c r="X90" s="130">
        <f t="shared" si="11"/>
        <v>48031.25</v>
      </c>
      <c r="Y90" s="125">
        <f t="shared" si="4"/>
        <v>20</v>
      </c>
      <c r="Z90" s="131">
        <f t="shared" si="5"/>
        <v>320.20861258153644</v>
      </c>
      <c r="AA90" s="130">
        <f t="shared" si="12"/>
        <v>5240913.0982292648</v>
      </c>
      <c r="AB90" s="130">
        <f t="shared" si="13"/>
        <v>14638312.373068586</v>
      </c>
      <c r="AC90" s="125">
        <f t="shared" si="7"/>
        <v>0.32617004056981053</v>
      </c>
      <c r="AD90" s="125">
        <f t="shared" si="8"/>
        <v>0.92542640135533005</v>
      </c>
      <c r="AE90" s="28">
        <f t="shared" si="9"/>
        <v>0.75186822761664351</v>
      </c>
      <c r="AF90" s="130">
        <f t="shared" si="10"/>
        <v>63882.537173109253</v>
      </c>
      <c r="AG90" s="4">
        <v>13</v>
      </c>
      <c r="AJ90" s="2">
        <f t="shared" si="6"/>
        <v>1.2308358929979668</v>
      </c>
      <c r="AP90" s="2"/>
    </row>
    <row r="91" spans="1:42" x14ac:dyDescent="0.3">
      <c r="A91" s="32"/>
      <c r="B91" s="32"/>
      <c r="C91" s="32"/>
      <c r="D91" s="32"/>
      <c r="E91" s="32"/>
      <c r="F91" s="32"/>
      <c r="G91" s="32"/>
      <c r="H91" s="32"/>
      <c r="I91" s="4"/>
      <c r="J91" s="4"/>
      <c r="K91" s="4"/>
      <c r="L91" s="136"/>
      <c r="N91" s="119"/>
      <c r="O91" s="119"/>
      <c r="P91" s="119"/>
      <c r="Q91" s="119"/>
      <c r="R91" s="119"/>
      <c r="S91" s="119"/>
      <c r="U91" s="2"/>
      <c r="X91" s="130">
        <f t="shared" si="11"/>
        <v>49025</v>
      </c>
      <c r="Y91" s="125">
        <f t="shared" si="4"/>
        <v>20</v>
      </c>
      <c r="Z91" s="131">
        <f t="shared" si="5"/>
        <v>326.83375392886103</v>
      </c>
      <c r="AA91" s="130">
        <f t="shared" si="12"/>
        <v>4032317.8098956924</v>
      </c>
      <c r="AB91" s="130">
        <f t="shared" si="13"/>
        <v>14068812.379816609</v>
      </c>
      <c r="AC91" s="125">
        <f t="shared" si="7"/>
        <v>0.33293285298967779</v>
      </c>
      <c r="AD91" s="125">
        <f t="shared" si="8"/>
        <v>0.89388164032053097</v>
      </c>
      <c r="AE91" s="28">
        <f t="shared" si="9"/>
        <v>0.703359404377359</v>
      </c>
      <c r="AF91" s="130">
        <f t="shared" si="10"/>
        <v>69701.207796316914</v>
      </c>
      <c r="AG91" s="4">
        <v>14</v>
      </c>
      <c r="AJ91" s="2">
        <f t="shared" si="6"/>
        <v>1.2708746549167558</v>
      </c>
      <c r="AP91" s="2"/>
    </row>
    <row r="92" spans="1:42" x14ac:dyDescent="0.3">
      <c r="A92" s="32"/>
      <c r="B92" s="137"/>
      <c r="C92" s="138"/>
      <c r="D92" s="138"/>
      <c r="E92" s="138"/>
      <c r="F92" s="138"/>
      <c r="G92" s="138"/>
      <c r="H92" s="138"/>
      <c r="I92" s="138"/>
      <c r="J92" s="138"/>
      <c r="K92" s="4"/>
      <c r="L92" s="136"/>
      <c r="N92" s="119"/>
      <c r="O92" s="119"/>
      <c r="P92" s="119"/>
      <c r="Q92" s="119"/>
      <c r="R92" s="119"/>
      <c r="S92" s="119"/>
      <c r="U92" s="2"/>
      <c r="X92" s="130">
        <f t="shared" si="11"/>
        <v>50018.75</v>
      </c>
      <c r="Y92" s="125">
        <f t="shared" si="4"/>
        <v>20</v>
      </c>
      <c r="Z92" s="131">
        <f t="shared" si="5"/>
        <v>333.4589616365576</v>
      </c>
      <c r="AA92" s="130">
        <f t="shared" si="12"/>
        <v>3042279.66480166</v>
      </c>
      <c r="AB92" s="130">
        <f t="shared" si="13"/>
        <v>13322434.874973243</v>
      </c>
      <c r="AC92" s="125">
        <f t="shared" si="7"/>
        <v>0.34179608585969273</v>
      </c>
      <c r="AD92" s="125">
        <f t="shared" si="8"/>
        <v>0.85219116701220421</v>
      </c>
      <c r="AE92" s="28">
        <f t="shared" si="9"/>
        <v>0.65181093938896617</v>
      </c>
      <c r="AF92" s="130">
        <f t="shared" si="10"/>
        <v>76738.126007657367</v>
      </c>
      <c r="AG92" s="4">
        <v>15</v>
      </c>
      <c r="AJ92" s="2">
        <f t="shared" si="6"/>
        <v>1.3074207803432734</v>
      </c>
      <c r="AP92" s="2"/>
    </row>
    <row r="93" spans="1:42" x14ac:dyDescent="0.3">
      <c r="A93" s="32"/>
      <c r="B93" s="121"/>
      <c r="C93" s="138"/>
      <c r="D93" s="138"/>
      <c r="E93" s="138"/>
      <c r="F93" s="138"/>
      <c r="G93" s="138"/>
      <c r="H93" s="138"/>
      <c r="I93" s="138"/>
      <c r="J93" s="138"/>
      <c r="K93" s="4"/>
      <c r="L93" s="136"/>
      <c r="N93" s="119"/>
      <c r="O93" s="119"/>
      <c r="P93" s="119"/>
      <c r="Q93" s="119"/>
      <c r="R93" s="119"/>
      <c r="S93" s="119"/>
      <c r="U93" s="2"/>
      <c r="X93" s="130">
        <f t="shared" si="11"/>
        <v>51012.5</v>
      </c>
      <c r="Y93" s="125">
        <f t="shared" si="4"/>
        <v>20</v>
      </c>
      <c r="Z93" s="131">
        <f t="shared" si="5"/>
        <v>340.08426453717561</v>
      </c>
      <c r="AA93" s="130">
        <f t="shared" si="12"/>
        <v>2263402.4560137042</v>
      </c>
      <c r="AB93" s="130">
        <f t="shared" si="13"/>
        <v>12383222.382692179</v>
      </c>
      <c r="AC93" s="125">
        <f t="shared" si="7"/>
        <v>0.35294923420553037</v>
      </c>
      <c r="AD93" s="125">
        <f t="shared" si="8"/>
        <v>0.7991240833117994</v>
      </c>
      <c r="AE93" s="28">
        <f t="shared" si="9"/>
        <v>0.59682434003172702</v>
      </c>
      <c r="AF93" s="130">
        <f t="shared" si="10"/>
        <v>85473.223155222164</v>
      </c>
      <c r="AG93" s="4">
        <v>16</v>
      </c>
      <c r="AH93" s="2">
        <v>0</v>
      </c>
      <c r="AI93" s="2">
        <v>0</v>
      </c>
      <c r="AJ93" s="2">
        <f t="shared" si="6"/>
        <v>1.3389602764346342</v>
      </c>
      <c r="AP93" s="2"/>
    </row>
    <row r="94" spans="1:42" x14ac:dyDescent="0.3">
      <c r="L94" s="136"/>
      <c r="N94" s="119"/>
      <c r="O94" s="119"/>
      <c r="P94" s="119"/>
      <c r="Q94" s="119"/>
      <c r="R94" s="119"/>
      <c r="S94" s="119"/>
      <c r="U94" s="2"/>
      <c r="X94" s="130">
        <f t="shared" si="11"/>
        <v>52006.25</v>
      </c>
      <c r="Y94" s="125">
        <f t="shared" si="4"/>
        <v>20</v>
      </c>
      <c r="Z94" s="131">
        <f t="shared" si="5"/>
        <v>346.70970302682053</v>
      </c>
      <c r="AA94" s="130">
        <f t="shared" si="12"/>
        <v>1668593.8690076515</v>
      </c>
      <c r="AB94" s="130">
        <f t="shared" si="13"/>
        <v>11256559.131138744</v>
      </c>
      <c r="AC94" s="125">
        <f t="shared" si="7"/>
        <v>0.36632836031772742</v>
      </c>
      <c r="AD94" s="125">
        <f t="shared" si="8"/>
        <v>0.73449138701503536</v>
      </c>
      <c r="AE94" s="28">
        <f t="shared" si="9"/>
        <v>0.53812906660763293</v>
      </c>
      <c r="AF94" s="130">
        <f t="shared" si="10"/>
        <v>96642.707534546571</v>
      </c>
      <c r="AG94" s="4">
        <v>17</v>
      </c>
      <c r="AH94" s="126">
        <f>AI94</f>
        <v>53000</v>
      </c>
      <c r="AI94" s="126">
        <f>X95</f>
        <v>53000</v>
      </c>
      <c r="AJ94" s="2">
        <f t="shared" si="6"/>
        <v>1.3648981863129435</v>
      </c>
      <c r="AP94" s="2"/>
    </row>
    <row r="95" spans="1:42" x14ac:dyDescent="0.3">
      <c r="N95" s="119"/>
      <c r="O95" s="119"/>
      <c r="P95" s="119"/>
      <c r="Q95" s="119"/>
      <c r="R95" s="119"/>
      <c r="S95" s="119"/>
      <c r="U95" s="2"/>
      <c r="X95" s="130">
        <f>MIN(D74:D75)</f>
        <v>53000</v>
      </c>
      <c r="Y95" s="125">
        <f t="shared" si="4"/>
        <v>22.633414379010524</v>
      </c>
      <c r="Z95" s="131">
        <f t="shared" si="5"/>
        <v>353.33533333333332</v>
      </c>
      <c r="AA95" s="130">
        <f t="shared" si="12"/>
        <v>1090999.0186154854</v>
      </c>
      <c r="AB95" s="130">
        <f t="shared" si="13"/>
        <v>9976470.5882352944</v>
      </c>
      <c r="AC95" s="125">
        <f t="shared" si="7"/>
        <v>0.38152941176470589</v>
      </c>
      <c r="AD95" s="125">
        <f t="shared" si="8"/>
        <v>0.65962657446911943</v>
      </c>
      <c r="AE95" s="28">
        <f t="shared" si="9"/>
        <v>0.47233264579574974</v>
      </c>
      <c r="AF95" s="130">
        <f t="shared" si="10"/>
        <v>112209.05535908845</v>
      </c>
      <c r="AG95" s="4">
        <v>18</v>
      </c>
      <c r="AH95" s="126">
        <f>AF103</f>
        <v>2014935.5819624227</v>
      </c>
      <c r="AI95" s="126">
        <f>AI94</f>
        <v>53000</v>
      </c>
      <c r="AJ95" s="2">
        <f t="shared" si="6"/>
        <v>1.3965297134137982</v>
      </c>
      <c r="AP95" s="2"/>
    </row>
    <row r="96" spans="1:42" s="27" customFormat="1" x14ac:dyDescent="0.3">
      <c r="L96" s="4"/>
      <c r="M96" s="12"/>
      <c r="N96" s="119"/>
      <c r="O96" s="119"/>
      <c r="P96" s="119"/>
      <c r="Q96" s="119"/>
      <c r="R96" s="119"/>
      <c r="S96" s="119"/>
      <c r="T96" s="119"/>
      <c r="V96" s="2"/>
      <c r="W96" s="2"/>
      <c r="X96" s="130">
        <f t="shared" ref="X96:X102" si="14">X95+$W$82</f>
        <v>54250</v>
      </c>
      <c r="Y96" s="125">
        <f t="shared" si="4"/>
        <v>22.633414379010524</v>
      </c>
      <c r="Z96" s="131">
        <f t="shared" si="5"/>
        <v>361.67005641773733</v>
      </c>
      <c r="AA96" s="130">
        <f t="shared" si="12"/>
        <v>692454.60464128107</v>
      </c>
      <c r="AB96" s="130">
        <f t="shared" si="13"/>
        <v>8001031.1278722193</v>
      </c>
      <c r="AC96" s="125">
        <f t="shared" si="7"/>
        <v>0.40498775535651743</v>
      </c>
      <c r="AD96" s="125">
        <f t="shared" si="8"/>
        <v>0.54068948200107003</v>
      </c>
      <c r="AE96" s="28">
        <f t="shared" si="9"/>
        <v>0.38171725711340848</v>
      </c>
      <c r="AF96" s="130">
        <f t="shared" si="10"/>
        <v>142120.89966863167</v>
      </c>
      <c r="AG96" s="4">
        <v>19</v>
      </c>
      <c r="AH96" s="2"/>
      <c r="AI96" s="2"/>
      <c r="AJ96" s="2">
        <f t="shared" si="6"/>
        <v>1.4164659101079906</v>
      </c>
    </row>
    <row r="97" spans="1:103" s="27" customFormat="1" x14ac:dyDescent="0.3">
      <c r="L97" s="4"/>
      <c r="M97" s="12"/>
      <c r="N97" s="119"/>
      <c r="O97" s="119"/>
      <c r="P97" s="119"/>
      <c r="Q97" s="119"/>
      <c r="R97" s="119"/>
      <c r="S97" s="119"/>
      <c r="T97" s="119"/>
      <c r="V97" s="2"/>
      <c r="X97" s="130">
        <f t="shared" si="14"/>
        <v>55500</v>
      </c>
      <c r="Y97" s="125">
        <f t="shared" si="4"/>
        <v>22.633414379010524</v>
      </c>
      <c r="Z97" s="131">
        <f t="shared" si="5"/>
        <v>370.00567656507229</v>
      </c>
      <c r="AA97" s="130">
        <f t="shared" si="12"/>
        <v>439912.64871412161</v>
      </c>
      <c r="AB97" s="130">
        <f t="shared" si="13"/>
        <v>6068681.019871546</v>
      </c>
      <c r="AC97" s="125">
        <f t="shared" si="7"/>
        <v>0.4279344128890254</v>
      </c>
      <c r="AD97" s="125">
        <f t="shared" si="8"/>
        <v>0.41970160604867002</v>
      </c>
      <c r="AE97" s="28">
        <f t="shared" si="9"/>
        <v>0.29363804812847405</v>
      </c>
      <c r="AF97" s="130">
        <f t="shared" si="10"/>
        <v>189008.20364981226</v>
      </c>
      <c r="AG97" s="4">
        <v>20</v>
      </c>
      <c r="AH97" s="2"/>
      <c r="AI97" s="2"/>
      <c r="AJ97" s="2">
        <f t="shared" si="6"/>
        <v>1.4293161554630684</v>
      </c>
    </row>
    <row r="98" spans="1:103" s="27" customFormat="1" x14ac:dyDescent="0.3">
      <c r="L98" s="4"/>
      <c r="M98" s="12"/>
      <c r="N98" s="119"/>
      <c r="O98" s="119"/>
      <c r="P98" s="119"/>
      <c r="Q98" s="119"/>
      <c r="R98" s="119"/>
      <c r="S98" s="119"/>
      <c r="T98" s="119"/>
      <c r="V98" s="2"/>
      <c r="X98" s="130">
        <f t="shared" si="14"/>
        <v>56750</v>
      </c>
      <c r="Y98" s="125">
        <f t="shared" si="4"/>
        <v>22.633414379010524</v>
      </c>
      <c r="Z98" s="131">
        <f t="shared" si="5"/>
        <v>378.34273091230654</v>
      </c>
      <c r="AA98" s="130">
        <f t="shared" si="12"/>
        <v>280674.98895634961</v>
      </c>
      <c r="AB98" s="130">
        <f t="shared" si="13"/>
        <v>4384116.9443914471</v>
      </c>
      <c r="AC98" s="125">
        <f t="shared" si="7"/>
        <v>0.44793861128535156</v>
      </c>
      <c r="AD98" s="125">
        <f t="shared" si="8"/>
        <v>0.30984537013924046</v>
      </c>
      <c r="AE98" s="28">
        <f t="shared" si="9"/>
        <v>0.21557752738353184</v>
      </c>
      <c r="AF98" s="130">
        <f t="shared" si="10"/>
        <v>263246.36286896752</v>
      </c>
      <c r="AG98" s="4">
        <v>21</v>
      </c>
      <c r="AH98" s="2"/>
      <c r="AI98" s="2"/>
      <c r="AJ98" s="2">
        <f t="shared" si="6"/>
        <v>1.4372804712060625</v>
      </c>
    </row>
    <row r="99" spans="1:103" s="27" customFormat="1" x14ac:dyDescent="0.3">
      <c r="L99" s="4"/>
      <c r="M99" s="12"/>
      <c r="N99" s="119"/>
      <c r="O99" s="119"/>
      <c r="P99" s="119"/>
      <c r="Q99" s="119"/>
      <c r="R99" s="119"/>
      <c r="S99" s="119"/>
      <c r="T99" s="119"/>
      <c r="V99" s="2"/>
      <c r="X99" s="130">
        <f t="shared" si="14"/>
        <v>58000</v>
      </c>
      <c r="Y99" s="125">
        <f t="shared" si="4"/>
        <v>22.633414379010524</v>
      </c>
      <c r="Z99" s="131">
        <f t="shared" si="5"/>
        <v>386.68205445632441</v>
      </c>
      <c r="AA99" s="130">
        <f t="shared" si="12"/>
        <v>180191.80378702484</v>
      </c>
      <c r="AB99" s="130">
        <f t="shared" si="13"/>
        <v>3050578.1131658163</v>
      </c>
      <c r="AC99" s="125">
        <f t="shared" si="7"/>
        <v>0.46377438490615591</v>
      </c>
      <c r="AD99" s="125">
        <f t="shared" si="8"/>
        <v>0.21956385872205381</v>
      </c>
      <c r="AE99" s="28">
        <f t="shared" si="9"/>
        <v>0.1522613436390545</v>
      </c>
      <c r="AF99" s="130">
        <f t="shared" si="10"/>
        <v>380923.99957728473</v>
      </c>
      <c r="AG99" s="4">
        <v>22</v>
      </c>
      <c r="AH99" s="2"/>
      <c r="AI99" s="2"/>
      <c r="AJ99" s="2">
        <f t="shared" si="6"/>
        <v>1.4420197108108039</v>
      </c>
    </row>
    <row r="100" spans="1:103" s="27" customFormat="1" x14ac:dyDescent="0.3">
      <c r="L100" s="4"/>
      <c r="M100" s="12"/>
      <c r="N100" s="119"/>
      <c r="O100" s="119"/>
      <c r="P100" s="119"/>
      <c r="Q100" s="119"/>
      <c r="R100" s="119"/>
      <c r="S100" s="119"/>
      <c r="T100" s="119"/>
      <c r="V100" s="2"/>
      <c r="X100" s="130">
        <f t="shared" si="14"/>
        <v>59250</v>
      </c>
      <c r="Y100" s="125">
        <f t="shared" si="4"/>
        <v>22.633414379010524</v>
      </c>
      <c r="Z100" s="131">
        <f t="shared" si="5"/>
        <v>395.02493272986266</v>
      </c>
      <c r="AA100" s="130">
        <f t="shared" si="12"/>
        <v>116521.63412105794</v>
      </c>
      <c r="AB100" s="130">
        <f t="shared" si="13"/>
        <v>2069084.3798505887</v>
      </c>
      <c r="AC100" s="125">
        <f t="shared" si="7"/>
        <v>0.47542962298927427</v>
      </c>
      <c r="AD100" s="125">
        <f t="shared" si="8"/>
        <v>0.15102760838894974</v>
      </c>
      <c r="AE100" s="28">
        <f t="shared" si="9"/>
        <v>0.10454051812759588</v>
      </c>
      <c r="AF100" s="130">
        <f t="shared" si="10"/>
        <v>566765.89193563221</v>
      </c>
      <c r="AG100" s="4">
        <v>23</v>
      </c>
      <c r="AH100" s="2"/>
      <c r="AI100" s="2"/>
      <c r="AJ100" s="2">
        <f t="shared" si="6"/>
        <v>1.4446801211049529</v>
      </c>
    </row>
    <row r="101" spans="1:103" s="27" customFormat="1" x14ac:dyDescent="0.3">
      <c r="L101" s="4"/>
      <c r="M101" s="12"/>
      <c r="N101" s="119"/>
      <c r="O101" s="119"/>
      <c r="P101" s="119"/>
      <c r="Q101" s="119"/>
      <c r="R101" s="119"/>
      <c r="S101" s="119"/>
      <c r="T101" s="119"/>
      <c r="V101" s="2"/>
      <c r="X101" s="130">
        <f t="shared" si="14"/>
        <v>60500</v>
      </c>
      <c r="Y101" s="125">
        <f t="shared" si="4"/>
        <v>22.633414379010524</v>
      </c>
      <c r="Z101" s="131">
        <f t="shared" si="5"/>
        <v>403.37332665275375</v>
      </c>
      <c r="AA101" s="130">
        <f t="shared" si="12"/>
        <v>75933.14063946066</v>
      </c>
      <c r="AB101" s="130">
        <f t="shared" si="13"/>
        <v>1382080.9844852858</v>
      </c>
      <c r="AC101" s="125">
        <f t="shared" si="7"/>
        <v>0.48358778830923721</v>
      </c>
      <c r="AD101" s="125">
        <f t="shared" si="8"/>
        <v>0.10191172248822701</v>
      </c>
      <c r="AE101" s="28">
        <f t="shared" si="9"/>
        <v>7.0477603385030757E-2</v>
      </c>
      <c r="AF101" s="130">
        <f t="shared" si="10"/>
        <v>858428.73614016827</v>
      </c>
      <c r="AG101" s="4">
        <v>24</v>
      </c>
      <c r="AJ101" s="2">
        <f t="shared" si="6"/>
        <v>1.4460157212138227</v>
      </c>
    </row>
    <row r="102" spans="1:103" s="27" customFormat="1" x14ac:dyDescent="0.3">
      <c r="L102" s="4"/>
      <c r="M102" s="12"/>
      <c r="N102" s="119"/>
      <c r="O102" s="119"/>
      <c r="P102" s="119"/>
      <c r="Q102" s="119"/>
      <c r="R102" s="119"/>
      <c r="S102" s="119"/>
      <c r="T102" s="119"/>
      <c r="V102" s="2"/>
      <c r="X102" s="130">
        <f t="shared" si="14"/>
        <v>61750</v>
      </c>
      <c r="Y102" s="125">
        <f t="shared" si="4"/>
        <v>22.633414379010524</v>
      </c>
      <c r="Z102" s="131">
        <f t="shared" si="5"/>
        <v>411.73020094438078</v>
      </c>
      <c r="AA102" s="130">
        <f t="shared" si="12"/>
        <v>49875.123886803049</v>
      </c>
      <c r="AB102" s="130">
        <f t="shared" si="13"/>
        <v>916258.39397624636</v>
      </c>
      <c r="AC102" s="125">
        <f t="shared" si="7"/>
        <v>0.48911943157153209</v>
      </c>
      <c r="AD102" s="125">
        <f t="shared" si="8"/>
        <v>6.8040806828496989E-2</v>
      </c>
      <c r="AE102" s="28">
        <f t="shared" si="9"/>
        <v>4.7037899596584817E-2</v>
      </c>
      <c r="AF102" s="130">
        <f t="shared" si="10"/>
        <v>1312771.2021495823</v>
      </c>
      <c r="AG102" s="4">
        <v>25</v>
      </c>
      <c r="AJ102" s="2">
        <f t="shared" si="6"/>
        <v>1.4465103121534169</v>
      </c>
    </row>
    <row r="103" spans="1:103" s="27" customFormat="1" x14ac:dyDescent="0.3">
      <c r="L103" s="4"/>
      <c r="M103" s="12"/>
      <c r="N103" s="119"/>
      <c r="O103" s="119"/>
      <c r="P103" s="119"/>
      <c r="Q103" s="119"/>
      <c r="R103" s="119"/>
      <c r="S103" s="119"/>
      <c r="T103" s="119"/>
      <c r="V103" s="2"/>
      <c r="X103" s="130">
        <f>MIN(D70:D71)</f>
        <v>63000</v>
      </c>
      <c r="Y103" s="125">
        <f t="shared" si="4"/>
        <v>22.633414379010524</v>
      </c>
      <c r="Z103" s="131">
        <f t="shared" si="5"/>
        <v>420.1</v>
      </c>
      <c r="AA103" s="130">
        <f t="shared" si="12"/>
        <v>33018.549641587859</v>
      </c>
      <c r="AB103" s="130">
        <f t="shared" si="13"/>
        <v>606133.49368610955</v>
      </c>
      <c r="AC103" s="125">
        <f t="shared" si="7"/>
        <v>0.49280216476247746</v>
      </c>
      <c r="AD103" s="125">
        <f t="shared" si="8"/>
        <v>4.5226089637554631E-2</v>
      </c>
      <c r="AE103" s="28">
        <f t="shared" si="9"/>
        <v>3.126650825166425E-2</v>
      </c>
      <c r="AF103" s="130">
        <f t="shared" si="10"/>
        <v>2014935.5819624227</v>
      </c>
      <c r="AG103" s="4">
        <v>26</v>
      </c>
      <c r="AJ103" s="2">
        <f t="shared" si="6"/>
        <v>1.4464707499004894</v>
      </c>
    </row>
    <row r="104" spans="1:103" s="27" customFormat="1" x14ac:dyDescent="0.3">
      <c r="L104" s="4"/>
      <c r="M104" s="12"/>
      <c r="N104" s="119"/>
      <c r="O104" s="119"/>
      <c r="P104" s="119"/>
      <c r="Q104" s="119"/>
      <c r="R104" s="119"/>
      <c r="S104" s="119"/>
      <c r="T104" s="119"/>
      <c r="V104" s="2"/>
      <c r="AB104" s="2"/>
      <c r="AC104" s="21"/>
      <c r="AG104" s="4"/>
    </row>
    <row r="105" spans="1:103" s="27" customFormat="1" x14ac:dyDescent="0.3">
      <c r="L105" s="4"/>
      <c r="M105" s="12"/>
      <c r="N105" s="119"/>
      <c r="O105" s="119"/>
      <c r="P105" s="119"/>
      <c r="Q105" s="119"/>
      <c r="R105" s="119"/>
      <c r="S105" s="119"/>
      <c r="T105" s="119"/>
      <c r="V105" s="2"/>
      <c r="AG105" s="4"/>
    </row>
    <row r="106" spans="1:103" s="27" customFormat="1" x14ac:dyDescent="0.3">
      <c r="A106" s="83"/>
      <c r="B106" s="139" t="s">
        <v>112</v>
      </c>
      <c r="C106" s="83"/>
      <c r="D106" s="93"/>
      <c r="E106" s="83"/>
      <c r="F106" s="83"/>
      <c r="G106" s="43"/>
      <c r="H106" s="43"/>
      <c r="I106" s="43"/>
      <c r="J106" s="83"/>
      <c r="K106" s="83"/>
      <c r="L106" s="4"/>
      <c r="M106" s="12"/>
      <c r="N106" s="119"/>
      <c r="O106" s="119"/>
      <c r="P106" s="119"/>
      <c r="Q106" s="119"/>
      <c r="R106" s="119"/>
      <c r="S106" s="119"/>
      <c r="T106" s="119"/>
      <c r="V106" s="2"/>
      <c r="AG106" s="4"/>
    </row>
    <row r="107" spans="1:103" s="27" customFormat="1" ht="15" x14ac:dyDescent="0.35">
      <c r="A107" s="83"/>
      <c r="B107" s="84"/>
      <c r="C107" s="14" t="s">
        <v>59</v>
      </c>
      <c r="D107" s="140">
        <f>AI84</f>
        <v>55073.157223545495</v>
      </c>
      <c r="E107" s="83"/>
      <c r="F107" s="83"/>
      <c r="G107" s="43"/>
      <c r="H107" s="43"/>
      <c r="I107" s="43"/>
      <c r="J107" s="83"/>
      <c r="K107" s="83"/>
      <c r="L107" s="4"/>
      <c r="M107" s="12"/>
      <c r="N107" s="119"/>
      <c r="O107" s="119"/>
      <c r="P107" s="119"/>
      <c r="Q107" s="119"/>
      <c r="R107" s="119"/>
      <c r="S107" s="119"/>
      <c r="T107" s="119"/>
      <c r="V107" s="2"/>
      <c r="AG107" s="4"/>
    </row>
    <row r="108" spans="1:103" s="27" customFormat="1" x14ac:dyDescent="0.3">
      <c r="A108" s="83"/>
      <c r="B108" s="84"/>
      <c r="C108" s="43"/>
      <c r="D108" s="43"/>
      <c r="E108" s="43"/>
      <c r="F108" s="83"/>
      <c r="G108" s="43"/>
      <c r="H108" s="43"/>
      <c r="I108" s="1"/>
      <c r="J108" s="34" t="str">
        <f>"M.S. = "&amp;[1]!xln(K108)&amp;" ="</f>
        <v>M.S. = 55073 / 3500 - 1 =</v>
      </c>
      <c r="K108" s="25">
        <f>D107/G19-1</f>
        <v>14.735187778155856</v>
      </c>
      <c r="L108" s="4"/>
      <c r="M108" s="12"/>
      <c r="N108" s="119"/>
      <c r="O108" s="119"/>
      <c r="P108" s="119"/>
      <c r="Q108" s="119"/>
      <c r="R108" s="119"/>
      <c r="S108" s="119"/>
      <c r="T108" s="119"/>
      <c r="V108" s="2"/>
      <c r="AK108" s="21"/>
    </row>
    <row r="109" spans="1:103" s="27" customFormat="1" x14ac:dyDescent="0.3">
      <c r="L109" s="4"/>
      <c r="M109" s="12"/>
      <c r="N109" s="119"/>
      <c r="O109" s="119"/>
      <c r="P109" s="119"/>
      <c r="Q109" s="119"/>
      <c r="R109" s="119"/>
      <c r="S109" s="119"/>
      <c r="T109" s="119"/>
      <c r="V109" s="2"/>
      <c r="AB109" s="2"/>
      <c r="AC109" s="21"/>
      <c r="AK109" s="21"/>
    </row>
    <row r="110" spans="1:103" s="27" customFormat="1" x14ac:dyDescent="0.3">
      <c r="L110" s="4"/>
      <c r="M110" s="12"/>
      <c r="N110" s="119"/>
      <c r="O110" s="119"/>
      <c r="P110" s="119"/>
      <c r="Q110" s="119"/>
      <c r="R110" s="119"/>
      <c r="S110" s="119"/>
      <c r="T110" s="119"/>
      <c r="U110" s="26"/>
      <c r="V110" s="11"/>
      <c r="AB110" s="2"/>
      <c r="AC110" s="21"/>
      <c r="AK110" s="123"/>
      <c r="AL110" s="26"/>
      <c r="AM110" s="26"/>
      <c r="AN110" s="26"/>
      <c r="AO110" s="26"/>
      <c r="AP110" s="26"/>
      <c r="AQ110" s="26"/>
    </row>
    <row r="111" spans="1:103" x14ac:dyDescent="0.3">
      <c r="B111" s="14"/>
      <c r="C111" s="76"/>
      <c r="D111" s="11"/>
      <c r="E111" s="11"/>
      <c r="F111" s="11"/>
      <c r="V111" s="74"/>
      <c r="Y111" s="8"/>
      <c r="Z111" s="70"/>
      <c r="AF111" s="74"/>
      <c r="AG111" s="74"/>
      <c r="AH111" s="74"/>
      <c r="AI111" s="74"/>
      <c r="AJ111" s="74"/>
      <c r="AK111" s="74"/>
      <c r="AL111" s="74"/>
      <c r="AM111" s="74"/>
      <c r="AO111" s="96"/>
      <c r="AP111" s="2"/>
      <c r="AQ111" s="9"/>
      <c r="AT111" s="74"/>
      <c r="AU111" s="74"/>
      <c r="AV111" s="74"/>
      <c r="AW111" s="74"/>
      <c r="AX111" s="74"/>
      <c r="AY111" s="74"/>
      <c r="AZ111" s="74"/>
      <c r="BA111" s="74"/>
      <c r="BB111" s="74"/>
      <c r="BC111" s="70"/>
      <c r="BE111" s="9"/>
      <c r="BF111" s="74"/>
      <c r="BG111" s="74"/>
      <c r="BH111" s="74"/>
      <c r="BI111" s="74"/>
      <c r="BJ111" s="74"/>
      <c r="BK111" s="74"/>
      <c r="BL111" s="74"/>
      <c r="BM111" s="74"/>
      <c r="BN111" s="74"/>
      <c r="BO111" s="70"/>
      <c r="BQ111" s="9"/>
      <c r="BR111" s="74"/>
      <c r="BS111" s="74"/>
      <c r="BT111" s="74"/>
      <c r="BU111" s="74"/>
      <c r="BV111" s="74"/>
      <c r="BW111" s="74"/>
      <c r="BX111" s="74"/>
      <c r="BY111" s="74"/>
      <c r="BZ111" s="74"/>
      <c r="CA111" s="70"/>
      <c r="CC111" s="9"/>
      <c r="CD111" s="74"/>
      <c r="CE111" s="74"/>
      <c r="CF111" s="74"/>
      <c r="CG111" s="74"/>
      <c r="CH111" s="74"/>
      <c r="CI111" s="74"/>
      <c r="CJ111" s="74"/>
      <c r="CK111" s="74"/>
      <c r="CL111" s="74"/>
      <c r="CM111" s="70"/>
      <c r="CO111" s="9"/>
      <c r="CP111" s="74"/>
      <c r="CQ111" s="74"/>
      <c r="CR111" s="74"/>
      <c r="CS111" s="74"/>
      <c r="CT111" s="74"/>
      <c r="CU111" s="74"/>
      <c r="CV111" s="74"/>
      <c r="CW111" s="74"/>
      <c r="CX111" s="74"/>
      <c r="CY111" s="70"/>
    </row>
    <row r="112" spans="1:103" s="4" customFormat="1" x14ac:dyDescent="0.3">
      <c r="A112" s="32"/>
      <c r="B112" s="3"/>
      <c r="C112" s="37"/>
      <c r="D112" s="33"/>
      <c r="E112" s="33"/>
      <c r="F112" s="38" t="s">
        <v>43</v>
      </c>
      <c r="G112" s="37"/>
      <c r="H112" s="33"/>
      <c r="I112" s="33"/>
      <c r="J112" s="33"/>
      <c r="K112" s="32"/>
      <c r="M112" s="12"/>
      <c r="N112" s="12"/>
      <c r="O112" s="12"/>
      <c r="P112" s="35"/>
      <c r="Q112" s="12"/>
      <c r="R112" s="12"/>
      <c r="S112" s="12"/>
      <c r="T112" s="12"/>
      <c r="W112" s="2"/>
      <c r="X112" s="2"/>
      <c r="Y112" s="8"/>
      <c r="Z112" s="70"/>
      <c r="AA112" s="2"/>
      <c r="AF112" s="74"/>
      <c r="AG112" s="74"/>
      <c r="AH112" s="74"/>
      <c r="AI112" s="74"/>
      <c r="AJ112" s="74"/>
      <c r="AK112" s="74"/>
      <c r="AL112" s="74"/>
      <c r="AM112" s="74"/>
      <c r="AO112" s="96"/>
      <c r="AQ112" s="9"/>
      <c r="AT112" s="74"/>
      <c r="AU112" s="74"/>
      <c r="AV112" s="74"/>
      <c r="AW112" s="74"/>
      <c r="AX112" s="74"/>
      <c r="AY112" s="74"/>
      <c r="AZ112" s="74"/>
      <c r="BA112" s="74"/>
      <c r="BB112" s="74"/>
      <c r="BC112" s="70"/>
      <c r="BE112" s="9"/>
      <c r="BF112" s="74"/>
      <c r="BG112" s="74"/>
      <c r="BH112" s="74"/>
      <c r="BI112" s="74"/>
      <c r="BJ112" s="74"/>
      <c r="BK112" s="74"/>
      <c r="BL112" s="74"/>
      <c r="BM112" s="74"/>
      <c r="BN112" s="74"/>
      <c r="BO112" s="70"/>
      <c r="BQ112" s="9"/>
      <c r="BR112" s="74"/>
      <c r="BS112" s="74"/>
      <c r="BT112" s="74"/>
      <c r="BU112" s="74"/>
      <c r="BV112" s="74"/>
      <c r="BW112" s="74"/>
      <c r="BX112" s="74"/>
      <c r="BY112" s="74"/>
      <c r="BZ112" s="74"/>
      <c r="CA112" s="70"/>
      <c r="CC112" s="9"/>
      <c r="CD112" s="74"/>
      <c r="CE112" s="74"/>
      <c r="CF112" s="74"/>
      <c r="CG112" s="74"/>
      <c r="CH112" s="74"/>
      <c r="CI112" s="74"/>
      <c r="CJ112" s="74"/>
      <c r="CK112" s="74"/>
      <c r="CL112" s="74"/>
      <c r="CM112" s="70"/>
      <c r="CO112" s="9"/>
      <c r="CP112" s="74"/>
      <c r="CQ112" s="74"/>
      <c r="CR112" s="74"/>
      <c r="CS112" s="74"/>
      <c r="CT112" s="74"/>
      <c r="CU112" s="74"/>
      <c r="CV112" s="74"/>
      <c r="CW112" s="74"/>
      <c r="CX112" s="74"/>
      <c r="CY112" s="70"/>
    </row>
    <row r="113" spans="1:103" s="4" customFormat="1" x14ac:dyDescent="0.3">
      <c r="A113" s="32"/>
      <c r="B113" s="33"/>
      <c r="C113" s="33"/>
      <c r="D113" s="33"/>
      <c r="E113" s="33"/>
      <c r="F113" s="69" t="s">
        <v>68</v>
      </c>
      <c r="G113" s="33"/>
      <c r="H113" s="33"/>
      <c r="I113" s="33"/>
      <c r="J113" s="33"/>
      <c r="K113" s="32"/>
      <c r="M113" s="12"/>
      <c r="N113" s="12"/>
      <c r="O113" s="12"/>
      <c r="P113" s="35"/>
      <c r="Q113" s="12"/>
      <c r="R113" s="12"/>
      <c r="S113" s="12"/>
      <c r="T113" s="12"/>
      <c r="W113" s="2"/>
      <c r="X113" s="2"/>
      <c r="AF113" s="74"/>
      <c r="AG113" s="74"/>
      <c r="AH113" s="74"/>
      <c r="AI113" s="74"/>
      <c r="AJ113" s="74"/>
      <c r="AK113" s="74"/>
      <c r="AL113" s="74"/>
      <c r="AM113" s="74"/>
      <c r="AO113" s="96"/>
      <c r="AQ113" s="9"/>
      <c r="AT113" s="74"/>
      <c r="AU113" s="74"/>
      <c r="AV113" s="74"/>
      <c r="AW113" s="74"/>
      <c r="AX113" s="74"/>
      <c r="AY113" s="74"/>
      <c r="AZ113" s="74"/>
      <c r="BA113" s="74"/>
      <c r="BB113" s="74"/>
      <c r="BC113" s="70"/>
      <c r="BE113" s="9"/>
      <c r="BF113" s="74"/>
      <c r="BG113" s="74"/>
      <c r="BH113" s="74"/>
      <c r="BI113" s="74"/>
      <c r="BJ113" s="74"/>
      <c r="BK113" s="74"/>
      <c r="BL113" s="74"/>
      <c r="BM113" s="74"/>
      <c r="BN113" s="74"/>
      <c r="BO113" s="70"/>
      <c r="BQ113" s="9"/>
      <c r="BR113" s="74"/>
      <c r="BS113" s="74"/>
      <c r="BT113" s="74"/>
      <c r="BU113" s="74"/>
      <c r="BV113" s="74"/>
      <c r="BW113" s="74"/>
      <c r="BX113" s="74"/>
      <c r="BY113" s="74"/>
      <c r="BZ113" s="74"/>
      <c r="CA113" s="70"/>
      <c r="CC113" s="9"/>
      <c r="CD113" s="74"/>
      <c r="CE113" s="74"/>
      <c r="CF113" s="74"/>
      <c r="CG113" s="74"/>
      <c r="CH113" s="74"/>
      <c r="CI113" s="74"/>
      <c r="CJ113" s="74"/>
      <c r="CK113" s="74"/>
      <c r="CL113" s="74"/>
      <c r="CM113" s="70"/>
      <c r="CO113" s="9"/>
      <c r="CP113" s="74"/>
      <c r="CQ113" s="74"/>
      <c r="CR113" s="74"/>
      <c r="CS113" s="74"/>
      <c r="CT113" s="74"/>
      <c r="CU113" s="74"/>
      <c r="CV113" s="74"/>
      <c r="CW113" s="74"/>
      <c r="CX113" s="74"/>
      <c r="CY113" s="70"/>
    </row>
  </sheetData>
  <mergeCells count="9">
    <mergeCell ref="G74:J75"/>
    <mergeCell ref="AD74:AE74"/>
    <mergeCell ref="AD75:AE75"/>
    <mergeCell ref="B79:J80"/>
    <mergeCell ref="B13:C13"/>
    <mergeCell ref="B14:D14"/>
    <mergeCell ref="B66:C66"/>
    <mergeCell ref="B67:D67"/>
    <mergeCell ref="AD73:AE73"/>
  </mergeCells>
  <hyperlinks>
    <hyperlink ref="F60" r:id="rId1"/>
    <hyperlink ref="F113" r:id="rId2"/>
    <hyperlink ref="B13" r:id="rId3"/>
    <hyperlink ref="B14" r:id="rId4" display="(NACA-REPORT-734, 1942)"/>
    <hyperlink ref="B66" r:id="rId5"/>
    <hyperlink ref="B67" r:id="rId6" display="(NACA-REPORT-734, 1942)"/>
  </hyperlinks>
  <pageMargins left="0.47244094488188981" right="0.23622047244094491" top="0.31496062992125984" bottom="0.98425196850393704" header="0.43307086614173229" footer="0.59055118110236227"/>
  <pageSetup orientation="portrait" r:id="rId7"/>
  <headerFooter alignWithMargins="0"/>
  <drawing r:id="rId8"/>
  <legacyDrawing r:id="rId9"/>
  <oleObjects>
    <mc:AlternateContent xmlns:mc="http://schemas.openxmlformats.org/markup-compatibility/2006">
      <mc:Choice Requires="x14">
        <oleObject progId="Equation.3" shapeId="154625" r:id="rId10">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5" r:id="rId10"/>
      </mc:Fallback>
    </mc:AlternateContent>
    <mc:AlternateContent xmlns:mc="http://schemas.openxmlformats.org/markup-compatibility/2006">
      <mc:Choice Requires="x14">
        <oleObject progId="Equation.3" shapeId="154626" r:id="rId12">
          <objectPr defaultSize="0" r:id="rId11">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2"/>
      </mc:Fallback>
    </mc:AlternateContent>
    <mc:AlternateContent xmlns:mc="http://schemas.openxmlformats.org/markup-compatibility/2006">
      <mc:Choice Requires="x14">
        <oleObject progId="Equation.3" shapeId="154628" r:id="rId13">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8" r:id="rId13"/>
      </mc:Fallback>
    </mc:AlternateContent>
    <mc:AlternateContent xmlns:mc="http://schemas.openxmlformats.org/markup-compatibility/2006">
      <mc:Choice Requires="x14">
        <oleObject progId="Equation.3" shapeId="154629" r:id="rId14">
          <objectPr defaultSize="0" r:id="rId11">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2016-06-13T03:10:04Z</dcterms:modified>
  <cp:category>Engineering Spreadsheets;Analysis;AA-SM</cp:category>
  <cp:contentStatus>Released</cp:contentStatus>
</cp:coreProperties>
</file>