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0" yWindow="36" windowWidth="15168" windowHeight="12060" tabRatio="728" activeTab="1"/>
  </bookViews>
  <sheets>
    <sheet name="READ ME" sheetId="15" r:id="rId1"/>
    <sheet name="Flat Plates" sheetId="12" r:id="rId2"/>
  </sheets>
  <externalReferences>
    <externalReference r:id="rId3"/>
  </externalReferences>
  <definedNames>
    <definedName name="_xlnm.Print_Area" localSheetId="1">'Flat Plates'!$A$8:$K$112</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15" l="1"/>
  <c r="W56" i="12" l="1"/>
  <c r="W55" i="12"/>
  <c r="W54" i="12"/>
  <c r="W53" i="12"/>
  <c r="W52" i="12"/>
  <c r="W51" i="12"/>
  <c r="W50" i="12"/>
  <c r="W49" i="12"/>
  <c r="W48" i="12"/>
  <c r="W47" i="12"/>
  <c r="W46" i="12"/>
  <c r="W45" i="12"/>
  <c r="W44" i="12"/>
  <c r="W43" i="12"/>
  <c r="W42" i="12"/>
  <c r="W41" i="12"/>
  <c r="W40" i="12"/>
  <c r="W39" i="12"/>
  <c r="W38" i="12"/>
  <c r="W37" i="12"/>
  <c r="W36" i="12"/>
  <c r="W35" i="12"/>
  <c r="W34" i="12"/>
  <c r="W33" i="12"/>
  <c r="W32" i="12"/>
  <c r="W31" i="12"/>
  <c r="W30" i="12"/>
  <c r="W29" i="12"/>
  <c r="W28" i="12"/>
  <c r="W27" i="12"/>
  <c r="W26" i="12"/>
  <c r="W25" i="12"/>
  <c r="W24" i="12"/>
  <c r="W23" i="12"/>
  <c r="W22" i="12"/>
  <c r="W21" i="12"/>
  <c r="W20" i="12"/>
  <c r="W19" i="12"/>
  <c r="W18" i="12"/>
  <c r="W17" i="12"/>
  <c r="W16" i="12"/>
  <c r="W15" i="12"/>
  <c r="I15" i="12" l="1"/>
  <c r="B65" i="12"/>
  <c r="X15" i="12"/>
  <c r="X16" i="12"/>
  <c r="X17" i="12"/>
  <c r="X18" i="12"/>
  <c r="X19" i="12"/>
  <c r="X20" i="12"/>
  <c r="G21" i="12"/>
  <c r="AA40" i="12" s="1"/>
  <c r="X21" i="12"/>
  <c r="AG21" i="12"/>
  <c r="X22" i="12"/>
  <c r="X23" i="12"/>
  <c r="G24" i="12"/>
  <c r="AH21" i="12" s="1"/>
  <c r="X24" i="12"/>
  <c r="G25" i="12"/>
  <c r="AH29" i="12" s="1"/>
  <c r="X25" i="12"/>
  <c r="X26" i="12"/>
  <c r="X27" i="12"/>
  <c r="X28" i="12"/>
  <c r="X29" i="12"/>
  <c r="AG29" i="12"/>
  <c r="X30" i="12"/>
  <c r="X31" i="12"/>
  <c r="X32" i="12"/>
  <c r="X33" i="12"/>
  <c r="X34" i="12"/>
  <c r="X35" i="12"/>
  <c r="X36" i="12"/>
  <c r="X37" i="12"/>
  <c r="X38" i="12"/>
  <c r="X39" i="12"/>
  <c r="X40" i="12"/>
  <c r="X41" i="12"/>
  <c r="X42" i="12"/>
  <c r="X43" i="12"/>
  <c r="AF43" i="12"/>
  <c r="X44" i="12"/>
  <c r="AE44" i="12"/>
  <c r="X45" i="12"/>
  <c r="X46" i="12"/>
  <c r="AE46" i="12"/>
  <c r="X47" i="12"/>
  <c r="X48" i="12"/>
  <c r="X49" i="12"/>
  <c r="AA42" i="12" l="1"/>
  <c r="AA41" i="12"/>
  <c r="Z25" i="12"/>
  <c r="AA25" i="12" s="1"/>
  <c r="AJ21" i="12"/>
  <c r="AH22" i="12"/>
  <c r="AH24" i="12" s="1"/>
  <c r="AH30" i="12"/>
  <c r="AH32" i="12" s="1"/>
  <c r="AJ29" i="12"/>
  <c r="X50" i="12"/>
  <c r="X51" i="12"/>
  <c r="X52" i="12"/>
  <c r="Z26" i="12" l="1"/>
  <c r="AA26" i="12" s="1"/>
  <c r="AK29" i="12"/>
  <c r="AL29" i="12"/>
  <c r="AJ30" i="12"/>
  <c r="AM29" i="12"/>
  <c r="AM21" i="12"/>
  <c r="AK21" i="12"/>
  <c r="AL21" i="12"/>
  <c r="AJ22" i="12"/>
  <c r="X53" i="12"/>
  <c r="AK22" i="12" l="1"/>
  <c r="AL22" i="12"/>
  <c r="AM22" i="12"/>
  <c r="AM30" i="12"/>
  <c r="AK30" i="12"/>
  <c r="AL30" i="12"/>
  <c r="X54" i="12"/>
  <c r="X55" i="12"/>
  <c r="AO29" i="12" l="1"/>
  <c r="AI30" i="12" s="1"/>
  <c r="AI32" i="12" s="1"/>
  <c r="AI33" i="12" s="1"/>
  <c r="AN29" i="12"/>
  <c r="AO21" i="12"/>
  <c r="AN21" i="12"/>
  <c r="AI22" i="12" s="1"/>
  <c r="AI24" i="12" s="1"/>
  <c r="X56" i="12"/>
  <c r="C49" i="12" l="1"/>
  <c r="AI25" i="12"/>
  <c r="C48" i="12"/>
  <c r="I48" i="12" s="1"/>
  <c r="E69" i="12"/>
  <c r="G67" i="12"/>
  <c r="E70" i="12"/>
  <c r="E68" i="12"/>
  <c r="E71" i="12"/>
  <c r="E72" i="12"/>
  <c r="E73" i="12"/>
  <c r="AG74" i="12"/>
  <c r="AH74" i="12" s="1"/>
  <c r="AI74" i="12" s="1"/>
  <c r="E74" i="12"/>
  <c r="E75" i="12"/>
  <c r="H73" i="12"/>
  <c r="H72" i="12"/>
  <c r="C51" i="12" l="1"/>
  <c r="C80" i="12"/>
  <c r="AB101" i="12"/>
  <c r="B64" i="12"/>
  <c r="F63" i="12"/>
  <c r="L62" i="12"/>
  <c r="F62" i="12"/>
  <c r="J61" i="12"/>
  <c r="F61" i="12"/>
  <c r="J60" i="12"/>
  <c r="F60" i="12"/>
  <c r="C79" i="12"/>
  <c r="C78" i="12"/>
  <c r="C50" i="12"/>
  <c r="AB93" i="12" l="1"/>
  <c r="AL89" i="12"/>
  <c r="AL88" i="12"/>
  <c r="AK88" i="12" s="1"/>
  <c r="Y22" i="12"/>
  <c r="AA28" i="12"/>
  <c r="Y54" i="12"/>
  <c r="Y43" i="12"/>
  <c r="Y18" i="12"/>
  <c r="Y50" i="12"/>
  <c r="Y36" i="12"/>
  <c r="Y35" i="12"/>
  <c r="Y37" i="12"/>
  <c r="Y32" i="12"/>
  <c r="Y26" i="12"/>
  <c r="Y41" i="12"/>
  <c r="Y51" i="12"/>
  <c r="Y34" i="12"/>
  <c r="Y47" i="12"/>
  <c r="Y28" i="12"/>
  <c r="Y29" i="12"/>
  <c r="Y55" i="12"/>
  <c r="Y46" i="12"/>
  <c r="Y20" i="12"/>
  <c r="Y30" i="12"/>
  <c r="Y49" i="12"/>
  <c r="Y53" i="12"/>
  <c r="Y45" i="12"/>
  <c r="Y42" i="12"/>
  <c r="Y27" i="12"/>
  <c r="Y16" i="12"/>
  <c r="Y44" i="12"/>
  <c r="Y21" i="12"/>
  <c r="Y19" i="12"/>
  <c r="Y40" i="12"/>
  <c r="Y25" i="12"/>
  <c r="Y56" i="12"/>
  <c r="Y52" i="12"/>
  <c r="Y17" i="12"/>
  <c r="Y38" i="12"/>
  <c r="Y24" i="12"/>
  <c r="Y39" i="12"/>
  <c r="Y31" i="12"/>
  <c r="Y48" i="12"/>
  <c r="Y15" i="12"/>
  <c r="Y33" i="12"/>
  <c r="Y23" i="12"/>
  <c r="AC93" i="12"/>
  <c r="Z77" i="12"/>
  <c r="AB94" i="12" s="1"/>
  <c r="AC74" i="12"/>
  <c r="AB75" i="12"/>
  <c r="AC101" i="12"/>
  <c r="AB26" i="12" l="1"/>
  <c r="AB25" i="12"/>
  <c r="AF74" i="12"/>
  <c r="AF93" i="12"/>
  <c r="AC94" i="12"/>
  <c r="AB95" i="12"/>
  <c r="AF101" i="12"/>
  <c r="AC75" i="12"/>
  <c r="Z75" i="12"/>
  <c r="AB76" i="12" s="1"/>
  <c r="AB42" i="12" l="1"/>
  <c r="AF75" i="12"/>
  <c r="AF94" i="12"/>
  <c r="AB77" i="12"/>
  <c r="AC76" i="12"/>
  <c r="AC95" i="12"/>
  <c r="AB96" i="12"/>
  <c r="AB40" i="12" l="1"/>
  <c r="AB39" i="12"/>
  <c r="C52" i="12" s="1"/>
  <c r="C55" i="12" s="1"/>
  <c r="X69" i="12" s="1"/>
  <c r="AD74" i="12"/>
  <c r="AF95" i="12"/>
  <c r="AC77" i="12"/>
  <c r="AB78" i="12"/>
  <c r="AC96" i="12"/>
  <c r="AB97" i="12"/>
  <c r="AF76" i="12"/>
  <c r="B12" i="12"/>
  <c r="F11" i="12"/>
  <c r="L10" i="12"/>
  <c r="F10" i="12"/>
  <c r="J9" i="12"/>
  <c r="F9" i="12"/>
  <c r="J8" i="12"/>
  <c r="F8" i="12"/>
  <c r="X7" i="12"/>
  <c r="X6" i="12"/>
  <c r="X5" i="12"/>
  <c r="X4" i="12"/>
  <c r="X3" i="12"/>
  <c r="X2" i="12"/>
  <c r="X1" i="12"/>
  <c r="G1" i="12" s="1"/>
  <c r="J62" i="12" s="1"/>
  <c r="C54" i="12"/>
  <c r="C53" i="12"/>
  <c r="AF96" i="12" l="1"/>
  <c r="AD75" i="12"/>
  <c r="AF77" i="12"/>
  <c r="AC78" i="12"/>
  <c r="AB79" i="12"/>
  <c r="AC97" i="12"/>
  <c r="AB98" i="12"/>
  <c r="J10" i="12"/>
  <c r="AF78" i="12" l="1"/>
  <c r="AF97" i="12"/>
  <c r="AD95" i="12"/>
  <c r="AD76" i="12"/>
  <c r="AC98" i="12"/>
  <c r="AB99" i="12"/>
  <c r="AC79" i="12"/>
  <c r="AB80" i="12"/>
  <c r="AD96" i="12" l="1"/>
  <c r="AE74" i="12"/>
  <c r="AD77" i="12"/>
  <c r="AF79" i="12"/>
  <c r="AF98" i="12"/>
  <c r="AC80" i="12"/>
  <c r="AB81" i="12"/>
  <c r="AC99" i="12"/>
  <c r="AB100" i="12"/>
  <c r="AF80" i="12" l="1"/>
  <c r="AD78" i="12"/>
  <c r="AE76" i="12" s="1"/>
  <c r="AG76" i="12" s="1"/>
  <c r="AH76" i="12" s="1"/>
  <c r="AI76" i="12" s="1"/>
  <c r="AE75" i="12"/>
  <c r="AG75" i="12" s="1"/>
  <c r="AH75" i="12" s="1"/>
  <c r="AI75" i="12" s="1"/>
  <c r="AD97" i="12"/>
  <c r="AF99" i="12"/>
  <c r="AC100" i="12"/>
  <c r="AD101" i="12" s="1"/>
  <c r="AC81" i="12"/>
  <c r="AB82" i="12"/>
  <c r="AD98" i="12" l="1"/>
  <c r="AD99" i="12"/>
  <c r="AF81" i="12"/>
  <c r="AD79" i="12"/>
  <c r="AD100" i="12"/>
  <c r="AC82" i="12"/>
  <c r="AB83" i="12"/>
  <c r="AF100" i="12"/>
  <c r="AE100" i="12" l="1"/>
  <c r="AG100" i="12" s="1"/>
  <c r="AH100" i="12" s="1"/>
  <c r="AI100" i="12" s="1"/>
  <c r="AE97" i="12"/>
  <c r="AG97" i="12" s="1"/>
  <c r="AH97" i="12" s="1"/>
  <c r="AI97" i="12" s="1"/>
  <c r="AE98" i="12"/>
  <c r="AG98" i="12" s="1"/>
  <c r="AH98" i="12" s="1"/>
  <c r="AI98" i="12" s="1"/>
  <c r="AE101" i="12"/>
  <c r="AG101" i="12" s="1"/>
  <c r="AH101" i="12" s="1"/>
  <c r="AI101" i="12" s="1"/>
  <c r="AD80" i="12"/>
  <c r="AE77" i="12"/>
  <c r="AG77" i="12" s="1"/>
  <c r="AH77" i="12" s="1"/>
  <c r="AI77" i="12" s="1"/>
  <c r="AE99" i="12"/>
  <c r="AG99" i="12" s="1"/>
  <c r="AH99" i="12" s="1"/>
  <c r="AI99" i="12" s="1"/>
  <c r="AL81" i="12"/>
  <c r="AL80" i="12" s="1"/>
  <c r="AF82" i="12"/>
  <c r="AC83" i="12"/>
  <c r="AB84" i="12"/>
  <c r="AE78" i="12" l="1"/>
  <c r="AG78" i="12" s="1"/>
  <c r="AH78" i="12" s="1"/>
  <c r="AI78" i="12" s="1"/>
  <c r="AF83" i="12"/>
  <c r="AD81" i="12"/>
  <c r="AC84" i="12"/>
  <c r="AD82" i="12" s="1"/>
  <c r="AB85" i="12"/>
  <c r="AE79" i="12" l="1"/>
  <c r="AG79" i="12" s="1"/>
  <c r="AH79" i="12" s="1"/>
  <c r="AI79" i="12" s="1"/>
  <c r="AE80" i="12"/>
  <c r="AG80" i="12" s="1"/>
  <c r="AH80" i="12" s="1"/>
  <c r="AI80" i="12" s="1"/>
  <c r="AF84" i="12"/>
  <c r="AC85" i="12"/>
  <c r="AB86" i="12"/>
  <c r="AD83" i="12" l="1"/>
  <c r="AF85" i="12"/>
  <c r="AC86" i="12"/>
  <c r="AD84" i="12" s="1"/>
  <c r="AB87" i="12"/>
  <c r="AE81" i="12" l="1"/>
  <c r="AG81" i="12" s="1"/>
  <c r="AH81" i="12" s="1"/>
  <c r="AI81" i="12" s="1"/>
  <c r="AE82" i="12"/>
  <c r="AG82" i="12" s="1"/>
  <c r="AH82" i="12" s="1"/>
  <c r="AI82" i="12" s="1"/>
  <c r="AF86" i="12"/>
  <c r="AC87" i="12"/>
  <c r="AD85" i="12" s="1"/>
  <c r="AB88" i="12"/>
  <c r="AE83" i="12" l="1"/>
  <c r="AG83" i="12" s="1"/>
  <c r="AH83" i="12" s="1"/>
  <c r="AI83" i="12" s="1"/>
  <c r="AF87" i="12"/>
  <c r="AC88" i="12"/>
  <c r="AB89" i="12"/>
  <c r="AD86" i="12" l="1"/>
  <c r="AF88" i="12"/>
  <c r="AC89" i="12"/>
  <c r="AD87" i="12" s="1"/>
  <c r="AB90" i="12"/>
  <c r="AF89" i="12" l="1"/>
  <c r="AE85" i="12"/>
  <c r="AG85" i="12" s="1"/>
  <c r="AH85" i="12" s="1"/>
  <c r="AI85" i="12" s="1"/>
  <c r="AE84" i="12"/>
  <c r="AG84" i="12" s="1"/>
  <c r="AH84" i="12" s="1"/>
  <c r="AI84" i="12" s="1"/>
  <c r="AC90" i="12"/>
  <c r="AB91" i="12"/>
  <c r="AD88" i="12" l="1"/>
  <c r="AF90" i="12"/>
  <c r="AC91" i="12"/>
  <c r="AB92" i="12"/>
  <c r="AE86" i="12" l="1"/>
  <c r="AG86" i="12" s="1"/>
  <c r="AH86" i="12" s="1"/>
  <c r="AI86" i="12" s="1"/>
  <c r="AD89" i="12"/>
  <c r="AF91" i="12"/>
  <c r="AC92" i="12"/>
  <c r="AD92" i="12" s="1"/>
  <c r="AE87" i="12" l="1"/>
  <c r="AG87" i="12" s="1"/>
  <c r="AH87" i="12" s="1"/>
  <c r="AI87" i="12" s="1"/>
  <c r="AD94" i="12"/>
  <c r="AE96" i="12" s="1"/>
  <c r="AG96" i="12" s="1"/>
  <c r="AH96" i="12" s="1"/>
  <c r="AI96" i="12" s="1"/>
  <c r="AD91" i="12"/>
  <c r="AD93" i="12"/>
  <c r="AD90" i="12"/>
  <c r="AF92" i="12"/>
  <c r="AE95" i="12" l="1"/>
  <c r="AG95" i="12" s="1"/>
  <c r="AH95" i="12" s="1"/>
  <c r="AI95" i="12" s="1"/>
  <c r="AE92" i="12"/>
  <c r="AG92" i="12" s="1"/>
  <c r="AH92" i="12" s="1"/>
  <c r="AI92" i="12" s="1"/>
  <c r="AE88" i="12"/>
  <c r="AG88" i="12" s="1"/>
  <c r="AH88" i="12" s="1"/>
  <c r="AI88" i="12" s="1"/>
  <c r="AE89" i="12"/>
  <c r="AG89" i="12" s="1"/>
  <c r="AH89" i="12" s="1"/>
  <c r="AI89" i="12" s="1"/>
  <c r="AE90" i="12"/>
  <c r="AG90" i="12" s="1"/>
  <c r="AH90" i="12" s="1"/>
  <c r="AI90" i="12" s="1"/>
  <c r="AE93" i="12"/>
  <c r="AG93" i="12" s="1"/>
  <c r="AH93" i="12" s="1"/>
  <c r="AI93" i="12" s="1"/>
  <c r="AE91" i="12"/>
  <c r="AG91" i="12" s="1"/>
  <c r="AH91" i="12" s="1"/>
  <c r="AI91" i="12" s="1"/>
  <c r="AE94" i="12"/>
  <c r="AG94" i="12" s="1"/>
  <c r="AH94" i="12" s="1"/>
  <c r="AI94" i="12" s="1"/>
  <c r="AK75" i="12" l="1"/>
  <c r="AL75" i="12" s="1"/>
  <c r="AK76" i="12" l="1"/>
  <c r="AL76" i="12" s="1"/>
  <c r="AM75" i="12"/>
  <c r="AM76" i="12" l="1"/>
  <c r="AM81" i="12" s="1"/>
  <c r="AM82" i="12" s="1"/>
  <c r="D103" i="12" s="1"/>
  <c r="K104" i="12" s="1"/>
  <c r="J104" i="12"/>
</calcChain>
</file>

<file path=xl/comments1.xml><?xml version="1.0" encoding="utf-8"?>
<comments xmlns="http://schemas.openxmlformats.org/spreadsheetml/2006/main">
  <authors>
    <author>AA-Cayman-Laptop</author>
    <author>R Abbott</author>
  </authors>
  <commentList>
    <comment ref="I15" authorId="0" shapeId="0">
      <text>
        <r>
          <rPr>
            <sz val="9"/>
            <color indexed="81"/>
            <rFont val="Tahoma"/>
            <family val="2"/>
          </rPr>
          <t xml:space="preserve">Do not delete this cell
</t>
        </r>
      </text>
    </comment>
    <comment ref="I48" authorId="0" shapeId="0">
      <text>
        <r>
          <rPr>
            <sz val="9"/>
            <color indexed="81"/>
            <rFont val="Tahoma"/>
            <family val="2"/>
          </rPr>
          <t xml:space="preserve">Do not delete this cell
</t>
        </r>
      </text>
    </comment>
    <comment ref="AB75" authorId="1" shapeId="0">
      <text>
        <r>
          <rPr>
            <b/>
            <sz val="8"/>
            <color indexed="81"/>
            <rFont val="Tahoma"/>
            <family val="2"/>
          </rPr>
          <t>R Abbott:</t>
        </r>
        <r>
          <rPr>
            <sz val="8"/>
            <color indexed="81"/>
            <rFont val="Tahoma"/>
            <family val="2"/>
          </rPr>
          <t xml:space="preserve">
Fsy x 0.7</t>
        </r>
      </text>
    </comment>
    <comment ref="AB93" authorId="1" shapeId="0">
      <text>
        <r>
          <rPr>
            <b/>
            <sz val="8"/>
            <color indexed="81"/>
            <rFont val="Tahoma"/>
            <family val="2"/>
          </rPr>
          <t>R Abbott:</t>
        </r>
        <r>
          <rPr>
            <sz val="8"/>
            <color indexed="81"/>
            <rFont val="Tahoma"/>
            <family val="2"/>
          </rPr>
          <t xml:space="preserve">
Fsy</t>
        </r>
      </text>
    </comment>
    <comment ref="AB101" authorId="1" shapeId="0">
      <text>
        <r>
          <rPr>
            <b/>
            <sz val="8"/>
            <color indexed="81"/>
            <rFont val="Tahoma"/>
            <family val="2"/>
          </rPr>
          <t>R Abbott:</t>
        </r>
        <r>
          <rPr>
            <sz val="8"/>
            <color indexed="81"/>
            <rFont val="Tahoma"/>
            <family val="2"/>
          </rPr>
          <t xml:space="preserve">
Fsu</t>
        </r>
      </text>
    </comment>
  </commentList>
</comments>
</file>

<file path=xl/sharedStrings.xml><?xml version="1.0" encoding="utf-8"?>
<sst xmlns="http://schemas.openxmlformats.org/spreadsheetml/2006/main" count="177" uniqueCount="126">
  <si>
    <t>Date:</t>
  </si>
  <si>
    <t>Revision:</t>
  </si>
  <si>
    <t>b =</t>
  </si>
  <si>
    <t>a/b</t>
  </si>
  <si>
    <t>K</t>
  </si>
  <si>
    <t>x</t>
  </si>
  <si>
    <t>y</t>
  </si>
  <si>
    <t>horiz</t>
  </si>
  <si>
    <t>vert</t>
  </si>
  <si>
    <t>R. Abbott</t>
  </si>
  <si>
    <t>=</t>
  </si>
  <si>
    <t>Author:</t>
  </si>
  <si>
    <t>Check:</t>
  </si>
  <si>
    <t xml:space="preserve"> </t>
  </si>
  <si>
    <t>Report:</t>
  </si>
  <si>
    <t>Section:</t>
  </si>
  <si>
    <t>Document Number:</t>
  </si>
  <si>
    <t>Revision Level :</t>
  </si>
  <si>
    <t>Page:</t>
  </si>
  <si>
    <t>νₑ =</t>
  </si>
  <si>
    <t>a =</t>
  </si>
  <si>
    <t>E =</t>
  </si>
  <si>
    <r>
      <t>f</t>
    </r>
    <r>
      <rPr>
        <vertAlign val="subscript"/>
        <sz val="10"/>
        <rFont val="Calibri"/>
        <family val="2"/>
      </rPr>
      <t>S</t>
    </r>
    <r>
      <rPr>
        <sz val="10"/>
        <rFont val="Calibri"/>
        <family val="2"/>
      </rPr>
      <t xml:space="preserve"> =</t>
    </r>
  </si>
  <si>
    <t>t =</t>
  </si>
  <si>
    <t>Total Report Pages:</t>
  </si>
  <si>
    <t>20/10/2013</t>
  </si>
  <si>
    <t>IR</t>
  </si>
  <si>
    <t>Section Number:</t>
  </si>
  <si>
    <t>Sheet Name</t>
  </si>
  <si>
    <t>IMPORTANT INFORMATION</t>
  </si>
  <si>
    <t>Report Title:</t>
  </si>
  <si>
    <t>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</si>
  <si>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</si>
  <si>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</si>
  <si>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</si>
  <si>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</si>
  <si>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</si>
  <si>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</si>
  <si>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</si>
  <si>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</si>
  <si>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</si>
  <si>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</si>
  <si>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</si>
  <si>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</si>
  <si>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</si>
  <si>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</si>
  <si>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</si>
  <si>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</si>
  <si>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</si>
  <si>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</si>
  <si>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</si>
  <si>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</si>
  <si>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</si>
  <si>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</si>
  <si>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</si>
  <si>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</si>
  <si>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</si>
  <si>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</si>
  <si>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</si>
  <si>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</si>
  <si>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</si>
  <si>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(NACA-TN-3781, 1957)</t>
  </si>
  <si>
    <t>in</t>
  </si>
  <si>
    <t>psi</t>
  </si>
  <si>
    <t>Rotational Fixity Side 'a' (1 = SS,  1.62 =  Built-in)</t>
  </si>
  <si>
    <t>Rotational Fixity Side 'b' (1 = SS,  1.62 =  Built-in)</t>
  </si>
  <si>
    <r>
      <t>R</t>
    </r>
    <r>
      <rPr>
        <vertAlign val="subscript"/>
        <sz val="10"/>
        <rFont val="Calibri"/>
        <family val="2"/>
        <scheme val="minor"/>
      </rPr>
      <t>a</t>
    </r>
    <r>
      <rPr>
        <sz val="10"/>
        <rFont val="Calibri"/>
        <family val="2"/>
        <scheme val="minor"/>
      </rPr>
      <t xml:space="preserve"> =</t>
    </r>
  </si>
  <si>
    <r>
      <t>R</t>
    </r>
    <r>
      <rPr>
        <vertAlign val="subscript"/>
        <sz val="10"/>
        <rFont val="Calibri"/>
        <family val="2"/>
        <scheme val="minor"/>
      </rPr>
      <t>b</t>
    </r>
    <r>
      <rPr>
        <sz val="10"/>
        <rFont val="Calibri"/>
        <family val="2"/>
        <scheme val="minor"/>
      </rPr>
      <t xml:space="preserve"> =</t>
    </r>
  </si>
  <si>
    <t>(NACA-TN-2661, 1952)</t>
  </si>
  <si>
    <r>
      <t>k</t>
    </r>
    <r>
      <rPr>
        <sz val="10"/>
        <rFont val="Calibri"/>
        <family val="2"/>
      </rPr>
      <t xml:space="preserve"> =</t>
    </r>
  </si>
  <si>
    <r>
      <t>k/k</t>
    </r>
    <r>
      <rPr>
        <vertAlign val="subscript"/>
        <sz val="10"/>
        <rFont val="Calibri"/>
        <family val="2"/>
        <scheme val="minor"/>
      </rPr>
      <t>ss</t>
    </r>
    <r>
      <rPr>
        <sz val="10"/>
        <rFont val="Calibri"/>
        <family val="2"/>
      </rPr>
      <t xml:space="preserve"> =</t>
    </r>
  </si>
  <si>
    <t>a/b =</t>
  </si>
  <si>
    <t>(Psi)</t>
  </si>
  <si>
    <t>Stress</t>
  </si>
  <si>
    <t>Modulus</t>
  </si>
  <si>
    <t>Elastic</t>
  </si>
  <si>
    <t>Strain</t>
  </si>
  <si>
    <t>Osgood</t>
  </si>
  <si>
    <t>Plastic</t>
  </si>
  <si>
    <t>Secant</t>
  </si>
  <si>
    <t>Ramberg</t>
  </si>
  <si>
    <r>
      <t>n</t>
    </r>
    <r>
      <rPr>
        <vertAlign val="subscript"/>
        <sz val="10"/>
        <rFont val="Calibri"/>
        <family val="2"/>
        <scheme val="minor"/>
      </rPr>
      <t>s</t>
    </r>
  </si>
  <si>
    <t>Gs/G</t>
  </si>
  <si>
    <t xml:space="preserve">Shear </t>
  </si>
  <si>
    <r>
      <t>n</t>
    </r>
    <r>
      <rPr>
        <vertAlign val="subscript"/>
        <sz val="10"/>
        <rFont val="Calibri"/>
        <family val="2"/>
        <scheme val="minor"/>
      </rPr>
      <t>s</t>
    </r>
    <r>
      <rPr>
        <sz val="10"/>
        <rFont val="Calibri"/>
        <family val="2"/>
        <scheme val="minor"/>
      </rPr>
      <t xml:space="preserve"> =</t>
    </r>
  </si>
  <si>
    <r>
      <t>n</t>
    </r>
    <r>
      <rPr>
        <vertAlign val="subscript"/>
        <sz val="10"/>
        <rFont val="Calibri"/>
        <family val="2"/>
        <scheme val="minor"/>
      </rPr>
      <t>tLT</t>
    </r>
    <r>
      <rPr>
        <sz val="10"/>
        <rFont val="Calibri"/>
        <family val="2"/>
        <scheme val="minor"/>
      </rPr>
      <t xml:space="preserve"> =</t>
    </r>
  </si>
  <si>
    <r>
      <t>n</t>
    </r>
    <r>
      <rPr>
        <vertAlign val="subscript"/>
        <sz val="10"/>
        <rFont val="Calibri"/>
        <family val="2"/>
        <scheme val="minor"/>
      </rPr>
      <t>tL</t>
    </r>
    <r>
      <rPr>
        <sz val="10"/>
        <rFont val="Calibri"/>
        <family val="2"/>
        <scheme val="minor"/>
      </rPr>
      <t xml:space="preserve"> =</t>
    </r>
  </si>
  <si>
    <r>
      <t>n</t>
    </r>
    <r>
      <rPr>
        <vertAlign val="subscript"/>
        <sz val="10"/>
        <rFont val="Calibri"/>
        <family val="2"/>
        <scheme val="minor"/>
      </rPr>
      <t>cLT</t>
    </r>
    <r>
      <rPr>
        <sz val="10"/>
        <rFont val="Calibri"/>
        <family val="2"/>
        <scheme val="minor"/>
      </rPr>
      <t xml:space="preserve"> =</t>
    </r>
  </si>
  <si>
    <r>
      <t>n</t>
    </r>
    <r>
      <rPr>
        <vertAlign val="subscript"/>
        <sz val="10"/>
        <rFont val="Calibri"/>
        <family val="2"/>
        <scheme val="minor"/>
      </rPr>
      <t>cL</t>
    </r>
    <r>
      <rPr>
        <sz val="10"/>
        <rFont val="Calibri"/>
        <family val="2"/>
        <scheme val="minor"/>
      </rPr>
      <t xml:space="preserve"> =</t>
    </r>
  </si>
  <si>
    <t>Elongation</t>
  </si>
  <si>
    <r>
      <t>F</t>
    </r>
    <r>
      <rPr>
        <vertAlign val="subscript"/>
        <sz val="10"/>
        <rFont val="Calibri"/>
        <family val="2"/>
        <scheme val="minor"/>
      </rPr>
      <t>sy</t>
    </r>
    <r>
      <rPr>
        <sz val="10"/>
        <rFont val="Calibri"/>
        <family val="2"/>
        <scheme val="minor"/>
      </rPr>
      <t xml:space="preserve"> = </t>
    </r>
  </si>
  <si>
    <r>
      <t>F</t>
    </r>
    <r>
      <rPr>
        <vertAlign val="subscript"/>
        <sz val="10"/>
        <rFont val="Calibri"/>
        <family val="2"/>
        <scheme val="minor"/>
      </rPr>
      <t>su</t>
    </r>
  </si>
  <si>
    <r>
      <t>F</t>
    </r>
    <r>
      <rPr>
        <vertAlign val="subscript"/>
        <sz val="10"/>
        <rFont val="Calibri"/>
        <family val="2"/>
        <scheme val="minor"/>
      </rPr>
      <t>tu</t>
    </r>
    <r>
      <rPr>
        <sz val="10"/>
        <rFont val="Calibri"/>
        <family val="2"/>
        <scheme val="minor"/>
      </rPr>
      <t>(LT) =</t>
    </r>
  </si>
  <si>
    <r>
      <t>F</t>
    </r>
    <r>
      <rPr>
        <vertAlign val="subscript"/>
        <sz val="10"/>
        <rFont val="Calibri"/>
        <family val="2"/>
        <scheme val="minor"/>
      </rPr>
      <t>tu</t>
    </r>
    <r>
      <rPr>
        <sz val="10"/>
        <rFont val="Calibri"/>
        <family val="2"/>
        <scheme val="minor"/>
      </rPr>
      <t xml:space="preserve"> (L) =</t>
    </r>
  </si>
  <si>
    <r>
      <t>F</t>
    </r>
    <r>
      <rPr>
        <vertAlign val="subscript"/>
        <sz val="10"/>
        <rFont val="Calibri"/>
        <family val="2"/>
        <scheme val="minor"/>
      </rPr>
      <t>su</t>
    </r>
    <r>
      <rPr>
        <sz val="10"/>
        <rFont val="Calibri"/>
        <family val="2"/>
        <scheme val="minor"/>
      </rPr>
      <t xml:space="preserve"> =</t>
    </r>
  </si>
  <si>
    <r>
      <t>F</t>
    </r>
    <r>
      <rPr>
        <vertAlign val="subscript"/>
        <sz val="10"/>
        <rFont val="Calibri"/>
        <family val="2"/>
        <scheme val="minor"/>
      </rPr>
      <t>cy</t>
    </r>
  </si>
  <si>
    <r>
      <t>F</t>
    </r>
    <r>
      <rPr>
        <vertAlign val="subscript"/>
        <sz val="10"/>
        <rFont val="Calibri"/>
        <family val="2"/>
        <scheme val="minor"/>
      </rPr>
      <t>cy</t>
    </r>
    <r>
      <rPr>
        <sz val="10"/>
        <rFont val="Calibri"/>
        <family val="2"/>
        <scheme val="minor"/>
      </rPr>
      <t>(LT) =</t>
    </r>
  </si>
  <si>
    <r>
      <t>F</t>
    </r>
    <r>
      <rPr>
        <vertAlign val="subscript"/>
        <sz val="10"/>
        <rFont val="Calibri"/>
        <family val="2"/>
        <scheme val="minor"/>
      </rPr>
      <t>cy</t>
    </r>
    <r>
      <rPr>
        <sz val="10"/>
        <rFont val="Calibri"/>
        <family val="2"/>
        <scheme val="minor"/>
      </rPr>
      <t>(L) =</t>
    </r>
  </si>
  <si>
    <r>
      <t>F</t>
    </r>
    <r>
      <rPr>
        <vertAlign val="subscript"/>
        <sz val="10"/>
        <rFont val="Calibri"/>
        <family val="2"/>
        <scheme val="minor"/>
      </rPr>
      <t>ty</t>
    </r>
    <r>
      <rPr>
        <sz val="10"/>
        <rFont val="Calibri"/>
        <family val="2"/>
        <scheme val="minor"/>
      </rPr>
      <t>(LT) =</t>
    </r>
  </si>
  <si>
    <r>
      <t>F</t>
    </r>
    <r>
      <rPr>
        <vertAlign val="subscript"/>
        <sz val="10"/>
        <rFont val="Calibri"/>
        <family val="2"/>
        <scheme val="minor"/>
      </rPr>
      <t>ty</t>
    </r>
  </si>
  <si>
    <r>
      <t>F</t>
    </r>
    <r>
      <rPr>
        <vertAlign val="subscript"/>
        <sz val="10"/>
        <rFont val="Calibri"/>
        <family val="2"/>
        <scheme val="minor"/>
      </rPr>
      <t>ty</t>
    </r>
    <r>
      <rPr>
        <sz val="10"/>
        <rFont val="Calibri"/>
        <family val="2"/>
        <scheme val="minor"/>
      </rPr>
      <t>(L) =</t>
    </r>
  </si>
  <si>
    <r>
      <t>F</t>
    </r>
    <r>
      <rPr>
        <vertAlign val="subscript"/>
        <sz val="10"/>
        <rFont val="Calibri"/>
        <family val="2"/>
        <scheme val="minor"/>
      </rPr>
      <t>tu</t>
    </r>
  </si>
  <si>
    <t>Derivation of shear yield stress (MIL-HNDBK-5J, 2003) Eqn 9.8.4.6.2</t>
  </si>
  <si>
    <t>G =</t>
  </si>
  <si>
    <r>
      <t>F</t>
    </r>
    <r>
      <rPr>
        <vertAlign val="subscript"/>
        <sz val="10"/>
        <rFont val="Calibri"/>
        <family val="2"/>
      </rPr>
      <t>cr</t>
    </r>
    <r>
      <rPr>
        <sz val="10"/>
        <rFont val="Calibri"/>
        <family val="2"/>
      </rPr>
      <t xml:space="preserve"> =</t>
    </r>
  </si>
  <si>
    <t>Buckling Allowable corrected for Material Plasticity effects</t>
  </si>
  <si>
    <t>AA-SM-007-003</t>
  </si>
  <si>
    <t>Shear Buckling Coefficient. K</t>
  </si>
  <si>
    <t>Panel Edge Fixity Terms</t>
  </si>
  <si>
    <r>
      <t>t</t>
    </r>
    <r>
      <rPr>
        <vertAlign val="subscript"/>
        <sz val="10"/>
        <rFont val="Calibri"/>
        <family val="2"/>
        <scheme val="minor"/>
      </rPr>
      <t>b</t>
    </r>
    <r>
      <rPr>
        <sz val="10"/>
        <rFont val="Calibri"/>
        <family val="2"/>
        <scheme val="minor"/>
      </rPr>
      <t>/t =</t>
    </r>
  </si>
  <si>
    <r>
      <t>t</t>
    </r>
    <r>
      <rPr>
        <vertAlign val="subscript"/>
        <sz val="10"/>
        <rFont val="Calibri"/>
        <family val="2"/>
        <scheme val="minor"/>
      </rPr>
      <t>a</t>
    </r>
    <r>
      <rPr>
        <sz val="10"/>
        <rFont val="Calibri"/>
        <family val="2"/>
        <scheme val="minor"/>
      </rPr>
      <t>/t =</t>
    </r>
  </si>
  <si>
    <t>Double</t>
  </si>
  <si>
    <r>
      <t>t</t>
    </r>
    <r>
      <rPr>
        <vertAlign val="subscript"/>
        <sz val="10"/>
        <rFont val="Calibri"/>
        <family val="2"/>
        <scheme val="minor"/>
      </rPr>
      <t>b</t>
    </r>
    <r>
      <rPr>
        <sz val="10"/>
        <rFont val="Calibri"/>
        <family val="2"/>
        <scheme val="minor"/>
      </rPr>
      <t xml:space="preserve"> =</t>
    </r>
  </si>
  <si>
    <t>Single</t>
  </si>
  <si>
    <r>
      <t>t</t>
    </r>
    <r>
      <rPr>
        <vertAlign val="subscript"/>
        <sz val="10"/>
        <rFont val="Calibri"/>
        <family val="2"/>
        <scheme val="minor"/>
      </rPr>
      <t>a</t>
    </r>
    <r>
      <rPr>
        <sz val="10"/>
        <rFont val="Calibri"/>
        <family val="2"/>
        <scheme val="minor"/>
      </rPr>
      <t xml:space="preserve"> =</t>
    </r>
  </si>
  <si>
    <t>Type of Stiffener</t>
  </si>
  <si>
    <t>psi - elastic shear buckling allowable</t>
  </si>
  <si>
    <t>Correction for Plasticity shown on the next page.</t>
  </si>
  <si>
    <t>Correcting the elastic buckling stress for material plasticity:</t>
  </si>
  <si>
    <t>www.xl-viking.com</t>
  </si>
  <si>
    <t>http://www.abbottaerospace.com/subscribe</t>
  </si>
  <si>
    <t>http://www.xl-viking.com/download-free-trial/</t>
  </si>
  <si>
    <t>http://www.abbottaerospace.com/engineering-services</t>
  </si>
  <si>
    <t>Panel Thickness</t>
  </si>
  <si>
    <t>Shear Stress in the Panel</t>
  </si>
  <si>
    <t>PLASTIC SHEAR BUCKLING OF FLAT ISOTROPIC PANELS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</si>
</sst>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0"/>
    <numFmt numFmtId="166" formatCode="0.000"/>
    <numFmt numFmtId="167" formatCode="#,##0.0"/>
  </numFmts>
  <fonts count="30">
    <font>
      <sz val="10"/>
      <name val="Arial"/>
    </font>
    <font>
      <sz val="10"/>
      <name val="Arial"/>
      <family val="2"/>
    </font>
    <font>
      <sz val="8"/>
      <name val="Arial"/>
      <family val="2"/>
    </font>
    <font>
      <sz val="10"/>
      <name val="Arial"/>
      <family val="2"/>
    </font>
    <font>
      <sz val="10"/>
      <name val="Calibri"/>
      <family val="2"/>
    </font>
    <font>
      <vertAlign val="subscript"/>
      <sz val="10"/>
      <name val="Calibri"/>
      <family val="2"/>
    </font>
    <font>
      <sz val="10"/>
      <name val="Calibri"/>
      <family val="2"/>
      <scheme val="minor"/>
    </font>
    <font>
      <sz val="12"/>
      <name val="Calibri"/>
      <family val="2"/>
      <scheme val="minor"/>
    </font>
    <font>
      <b/>
      <sz val="12"/>
      <name val="Calibri"/>
      <family val="2"/>
      <scheme val="minor"/>
    </font>
    <font>
      <b/>
      <sz val="10"/>
      <name val="Calibri"/>
      <family val="2"/>
      <scheme val="minor"/>
    </font>
    <font>
      <b/>
      <i/>
      <sz val="10"/>
      <name val="Calibri"/>
      <family val="2"/>
      <scheme val="minor"/>
    </font>
    <font>
      <sz val="10"/>
      <color indexed="12"/>
      <name val="Calibri"/>
      <family val="2"/>
      <scheme val="minor"/>
    </font>
    <font>
      <sz val="10"/>
      <color indexed="8"/>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i/>
      <u/>
      <sz val="10"/>
      <color theme="10"/>
      <name val="Calibri"/>
      <family val="2"/>
    </font>
    <font>
      <vertAlign val="subscript"/>
      <sz val="10"/>
      <name val="Calibri"/>
      <family val="2"/>
      <scheme val="minor"/>
    </font>
    <font>
      <sz val="10"/>
      <color rgb="FF0000FF"/>
      <name val="Calibri"/>
      <family val="2"/>
      <scheme val="minor"/>
    </font>
    <font>
      <sz val="8"/>
      <name val="Calibri"/>
      <family val="2"/>
      <scheme val="minor"/>
    </font>
    <font>
      <sz val="12"/>
      <color indexed="8"/>
      <name val="Arial MT"/>
    </font>
    <font>
      <b/>
      <sz val="10"/>
      <color indexed="10"/>
      <name val="Calibri"/>
      <family val="2"/>
      <scheme val="minor"/>
    </font>
    <font>
      <b/>
      <sz val="10"/>
      <color indexed="8"/>
      <name val="Calibri"/>
      <family val="2"/>
      <scheme val="minor"/>
    </font>
    <font>
      <b/>
      <sz val="8"/>
      <color indexed="81"/>
      <name val="Tahoma"/>
      <family val="2"/>
    </font>
    <font>
      <sz val="8"/>
      <color indexed="81"/>
      <name val="Tahoma"/>
      <family val="2"/>
    </font>
    <font>
      <sz val="9"/>
      <color indexed="81"/>
      <name val="Tahoma"/>
      <family val="2"/>
    </font>
    <font>
      <u/>
      <sz val="10"/>
      <color theme="10"/>
      <name val="Arial"/>
      <family val="2"/>
    </font>
    <font>
      <u/>
      <sz val="10"/>
      <color theme="10"/>
      <name val="Calibri"/>
      <family val="2"/>
      <scheme val="minor"/>
    </font>
    <font>
      <u/>
      <sz val="10"/>
      <color theme="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11">
    <xf numFmtId="0" fontId="0" fillId="0" borderId="0"/>
    <xf numFmtId="0" fontId="3" fillId="0" borderId="0"/>
    <xf numFmtId="0" fontId="3" fillId="0" borderId="0"/>
    <xf numFmtId="0" fontId="3" fillId="0" borderId="0"/>
    <xf numFmtId="9" fontId="1" fillId="0" borderId="0" applyFont="0" applyFill="0" applyBorder="0" applyAlignment="0" applyProtection="0"/>
    <xf numFmtId="0" fontId="1" fillId="0" borderId="0"/>
    <xf numFmtId="0" fontId="1" fillId="0" borderId="0"/>
    <xf numFmtId="0" fontId="16" fillId="0" borderId="0" applyNumberFormat="0" applyFill="0" applyBorder="0" applyAlignment="0" applyProtection="0">
      <alignment vertical="top"/>
      <protection locked="0"/>
    </xf>
    <xf numFmtId="0" fontId="21" fillId="0" borderId="0"/>
    <xf numFmtId="0" fontId="27" fillId="0" borderId="0" applyNumberFormat="0" applyFill="0" applyBorder="0" applyAlignment="0" applyProtection="0"/>
    <xf numFmtId="0" fontId="29" fillId="0" borderId="0" applyNumberFormat="0" applyFill="0" applyBorder="0" applyAlignment="0" applyProtection="0"/>
  </cellStyleXfs>
  <cellXfs count="149">
    <xf numFmtId="0" fontId="0" fillId="0" borderId="0" xfId="0"/>
    <xf numFmtId="0" fontId="6" fillId="0" borderId="0" xfId="0" applyFont="1" applyFill="1" applyAlignment="1" applyProtection="1">
      <alignment horizontal="right"/>
      <protection locked="0"/>
    </xf>
    <xf numFmtId="0" fontId="9" fillId="0" borderId="0" xfId="0" applyFont="1"/>
    <xf numFmtId="0" fontId="6" fillId="0" borderId="0" xfId="0" applyFont="1"/>
    <xf numFmtId="0" fontId="6" fillId="0" borderId="2" xfId="1" applyFont="1" applyBorder="1" applyAlignment="1">
      <alignment horizontal="center"/>
    </xf>
    <xf numFmtId="0" fontId="9" fillId="0" borderId="0" xfId="0" applyFont="1" applyAlignment="1">
      <alignment horizontal="center"/>
    </xf>
    <xf numFmtId="0" fontId="6" fillId="0" borderId="0" xfId="0" applyFont="1" applyBorder="1"/>
    <xf numFmtId="0" fontId="6" fillId="0" borderId="0" xfId="0" applyFont="1" applyBorder="1" applyAlignment="1"/>
    <xf numFmtId="0" fontId="10" fillId="0" borderId="0" xfId="0" applyFont="1" applyBorder="1" applyAlignment="1">
      <alignment horizontal="center"/>
    </xf>
    <xf numFmtId="166" fontId="6" fillId="0" borderId="0" xfId="0" applyNumberFormat="1" applyFont="1" applyBorder="1"/>
    <xf numFmtId="2" fontId="6" fillId="0" borderId="0" xfId="0" applyNumberFormat="1" applyFont="1" applyBorder="1" applyAlignment="1">
      <alignment horizontal="center"/>
    </xf>
    <xf numFmtId="166" fontId="6" fillId="0" borderId="0" xfId="0" applyNumberFormat="1" applyFont="1" applyBorder="1" applyAlignment="1">
      <alignment horizontal="center"/>
    </xf>
    <xf numFmtId="9" fontId="6" fillId="0" borderId="0" xfId="4" applyFont="1" applyBorder="1" applyAlignment="1">
      <alignment horizontal="center"/>
    </xf>
    <xf numFmtId="0" fontId="6" fillId="0" borderId="0" xfId="0" applyFont="1" applyProtection="1">
      <protection locked="0"/>
    </xf>
    <xf numFmtId="0" fontId="6" fillId="0" borderId="2" xfId="0" applyFont="1" applyBorder="1"/>
    <xf numFmtId="0" fontId="9" fillId="0" borderId="0" xfId="0" applyFont="1" applyFill="1" applyBorder="1" applyAlignment="1" applyProtection="1">
      <alignment horizontal="right"/>
      <protection locked="0"/>
    </xf>
    <xf numFmtId="0" fontId="9" fillId="0" borderId="0" xfId="0" applyFont="1" applyFill="1" applyProtection="1">
      <protection locked="0"/>
    </xf>
    <xf numFmtId="0" fontId="6" fillId="0" borderId="0" xfId="0" applyFont="1" applyAlignment="1" applyProtection="1">
      <alignment horizontal="right"/>
      <protection locked="0"/>
    </xf>
    <xf numFmtId="0" fontId="6" fillId="0" borderId="0" xfId="0" applyFont="1" applyFill="1" applyProtection="1">
      <protection locked="0"/>
    </xf>
    <xf numFmtId="0" fontId="9" fillId="0" borderId="0" xfId="0" applyFont="1" applyBorder="1" applyAlignment="1">
      <alignment horizontal="center"/>
    </xf>
    <xf numFmtId="2" fontId="6" fillId="0" borderId="0" xfId="0" applyNumberFormat="1" applyFont="1" applyAlignment="1" applyProtection="1">
      <alignment horizontal="center"/>
      <protection locked="0"/>
    </xf>
    <xf numFmtId="164" fontId="6" fillId="0" borderId="0" xfId="0" applyNumberFormat="1" applyFont="1" applyBorder="1" applyAlignment="1">
      <alignment horizontal="center"/>
    </xf>
    <xf numFmtId="0" fontId="6" fillId="0" borderId="0" xfId="0" quotePrefix="1" applyFont="1" applyBorder="1"/>
    <xf numFmtId="0" fontId="6" fillId="0" borderId="0" xfId="0" applyFont="1" applyBorder="1" applyAlignment="1">
      <alignment horizontal="right"/>
    </xf>
    <xf numFmtId="2" fontId="11" fillId="0" borderId="0" xfId="0" applyNumberFormat="1" applyFont="1" applyAlignment="1" applyProtection="1">
      <alignment horizontal="right"/>
      <protection locked="0"/>
    </xf>
    <xf numFmtId="0" fontId="6" fillId="0" borderId="0" xfId="0" applyFont="1" applyBorder="1" applyAlignment="1">
      <alignment horizontal="center"/>
    </xf>
    <xf numFmtId="0" fontId="11" fillId="0" borderId="0" xfId="0" applyFont="1" applyAlignment="1" applyProtection="1">
      <alignment horizontal="right"/>
      <protection locked="0"/>
    </xf>
    <xf numFmtId="167" fontId="11" fillId="0" borderId="0" xfId="0" applyNumberFormat="1" applyFont="1" applyAlignment="1" applyProtection="1">
      <alignment horizontal="right"/>
      <protection locked="0"/>
    </xf>
    <xf numFmtId="2" fontId="6" fillId="0" borderId="0" xfId="0" applyNumberFormat="1" applyFont="1" applyAlignment="1" applyProtection="1">
      <alignment horizontal="right"/>
      <protection locked="0"/>
    </xf>
    <xf numFmtId="0" fontId="6" fillId="0" borderId="0" xfId="0" applyFont="1" applyBorder="1" applyAlignment="1">
      <alignment horizontal="left"/>
    </xf>
    <xf numFmtId="0" fontId="6" fillId="0" borderId="0" xfId="0" applyFont="1" applyFill="1" applyAlignment="1" applyProtection="1">
      <alignment horizontal="left"/>
      <protection locked="0"/>
    </xf>
    <xf numFmtId="2" fontId="9" fillId="0" borderId="0" xfId="0" applyNumberFormat="1" applyFont="1" applyFill="1" applyBorder="1" applyAlignment="1" applyProtection="1">
      <alignment horizontal="center"/>
      <protection locked="0"/>
    </xf>
    <xf numFmtId="0" fontId="9" fillId="0" borderId="0" xfId="0" applyFont="1" applyBorder="1" applyAlignment="1">
      <alignment horizontal="left"/>
    </xf>
    <xf numFmtId="0" fontId="6" fillId="0" borderId="0" xfId="0" applyFont="1" applyAlignment="1" applyProtection="1">
      <alignment horizontal="center"/>
      <protection locked="0"/>
    </xf>
    <xf numFmtId="0" fontId="6" fillId="0" borderId="0" xfId="0" applyFont="1" applyAlignment="1">
      <alignment horizontal="center"/>
    </xf>
    <xf numFmtId="2" fontId="6" fillId="0" borderId="0" xfId="0" applyNumberFormat="1" applyFont="1" applyAlignment="1">
      <alignment horizontal="center"/>
    </xf>
    <xf numFmtId="1" fontId="6" fillId="0" borderId="0" xfId="0" applyNumberFormat="1" applyFont="1" applyBorder="1" applyAlignment="1">
      <alignment horizontal="center"/>
    </xf>
    <xf numFmtId="0" fontId="6" fillId="0" borderId="0" xfId="0" applyFont="1" applyBorder="1" applyProtection="1">
      <protection locked="0"/>
    </xf>
    <xf numFmtId="0" fontId="9" fillId="0" borderId="0" xfId="0" applyFont="1" applyBorder="1" applyProtection="1">
      <protection locked="0"/>
    </xf>
    <xf numFmtId="2" fontId="12" fillId="0" borderId="0" xfId="0" applyNumberFormat="1" applyFont="1" applyAlignment="1">
      <alignment horizontal="center"/>
    </xf>
    <xf numFmtId="0" fontId="9" fillId="0" borderId="0" xfId="0" applyFont="1" applyAlignment="1">
      <alignment horizontal="right"/>
    </xf>
    <xf numFmtId="0" fontId="6" fillId="0" borderId="0" xfId="2" applyFont="1" applyProtection="1">
      <protection locked="0"/>
    </xf>
    <xf numFmtId="0" fontId="6" fillId="0" borderId="0" xfId="2" applyFont="1" applyAlignment="1" applyProtection="1">
      <alignment horizontal="right"/>
      <protection locked="0"/>
    </xf>
    <xf numFmtId="0" fontId="6" fillId="0" borderId="0" xfId="0" applyFont="1" applyAlignment="1">
      <alignment horizontal="right"/>
    </xf>
    <xf numFmtId="0" fontId="13" fillId="0" borderId="0" xfId="2" applyFont="1" applyProtection="1">
      <protection locked="0"/>
    </xf>
    <xf numFmtId="0" fontId="13" fillId="0" borderId="0" xfId="2" applyFont="1" applyAlignment="1" applyProtection="1">
      <alignment horizontal="left"/>
      <protection locked="0"/>
    </xf>
    <xf numFmtId="14" fontId="13" fillId="0" borderId="0" xfId="2" quotePrefix="1" applyNumberFormat="1" applyFont="1" applyProtection="1">
      <protection locked="0"/>
    </xf>
    <xf numFmtId="0" fontId="14" fillId="0" borderId="0" xfId="2" applyFont="1" applyAlignment="1" applyProtection="1">
      <alignment horizontal="left"/>
      <protection locked="0"/>
    </xf>
    <xf numFmtId="0" fontId="6" fillId="0" borderId="0" xfId="2" applyFont="1"/>
    <xf numFmtId="0" fontId="6" fillId="0" borderId="0" xfId="2" applyFont="1" applyAlignment="1">
      <alignment horizontal="right"/>
    </xf>
    <xf numFmtId="0" fontId="9" fillId="0" borderId="0" xfId="2" applyFont="1" applyAlignment="1">
      <alignment horizontal="left"/>
    </xf>
    <xf numFmtId="0" fontId="9" fillId="0" borderId="0" xfId="2" applyFont="1"/>
    <xf numFmtId="0" fontId="9" fillId="0" borderId="0" xfId="2" quotePrefix="1" applyFont="1" applyAlignment="1">
      <alignment vertical="center"/>
    </xf>
    <xf numFmtId="0" fontId="9" fillId="0" borderId="0" xfId="2" applyFont="1" applyAlignment="1">
      <alignment vertical="center"/>
    </xf>
    <xf numFmtId="0" fontId="9" fillId="0" borderId="0" xfId="2" applyFont="1" applyAlignment="1">
      <alignment horizontal="right"/>
    </xf>
    <xf numFmtId="0" fontId="8" fillId="0" borderId="0" xfId="2" applyFont="1"/>
    <xf numFmtId="0" fontId="6" fillId="0" borderId="4" xfId="1" applyFont="1" applyBorder="1" applyAlignment="1">
      <alignment horizontal="center"/>
    </xf>
    <xf numFmtId="0" fontId="6" fillId="0" borderId="4" xfId="0" applyFont="1" applyBorder="1"/>
    <xf numFmtId="0" fontId="6" fillId="0" borderId="2" xfId="0" applyFont="1" applyBorder="1" applyAlignment="1"/>
    <xf numFmtId="0" fontId="6" fillId="0" borderId="1" xfId="2" applyFont="1" applyBorder="1" applyAlignment="1">
      <alignment horizontal="center"/>
    </xf>
    <xf numFmtId="0" fontId="6" fillId="0" borderId="3" xfId="2" applyFont="1" applyBorder="1" applyAlignment="1">
      <alignment horizontal="center"/>
    </xf>
    <xf numFmtId="0" fontId="6" fillId="0" borderId="1" xfId="2" applyFont="1" applyBorder="1"/>
    <xf numFmtId="0" fontId="6" fillId="0" borderId="2" xfId="2" applyFont="1" applyBorder="1" applyAlignment="1">
      <alignment horizontal="center"/>
    </xf>
    <xf numFmtId="0" fontId="6" fillId="0" borderId="4" xfId="2" applyFont="1" applyBorder="1" applyAlignment="1">
      <alignment horizontal="center"/>
    </xf>
    <xf numFmtId="0" fontId="6" fillId="0" borderId="2" xfId="2" applyFont="1" applyBorder="1"/>
    <xf numFmtId="0" fontId="6" fillId="0" borderId="2" xfId="3" applyFont="1" applyBorder="1" applyAlignment="1">
      <alignment horizontal="center"/>
    </xf>
    <xf numFmtId="1" fontId="6" fillId="0" borderId="2" xfId="3" applyNumberFormat="1" applyFont="1" applyBorder="1" applyAlignment="1">
      <alignment horizontal="center"/>
    </xf>
    <xf numFmtId="1" fontId="6" fillId="0" borderId="4" xfId="3" applyNumberFormat="1" applyFont="1" applyBorder="1" applyAlignment="1">
      <alignment horizontal="center"/>
    </xf>
    <xf numFmtId="0" fontId="6" fillId="0" borderId="0" xfId="2" applyFont="1" applyAlignment="1">
      <alignment horizontal="center"/>
    </xf>
    <xf numFmtId="1" fontId="9" fillId="0" borderId="0" xfId="0" applyNumberFormat="1" applyFont="1" applyBorder="1" applyAlignment="1" applyProtection="1">
      <alignment horizontal="right"/>
      <protection locked="0"/>
    </xf>
    <xf numFmtId="0" fontId="10" fillId="0" borderId="0" xfId="0" applyFont="1" applyAlignment="1">
      <alignment horizontal="center"/>
    </xf>
    <xf numFmtId="0" fontId="6" fillId="0" borderId="0" xfId="5" applyFont="1" applyProtection="1">
      <protection locked="0"/>
    </xf>
    <xf numFmtId="0" fontId="6" fillId="0" borderId="0" xfId="5" applyFont="1" applyAlignment="1" applyProtection="1">
      <alignment horizontal="right"/>
      <protection locked="0"/>
    </xf>
    <xf numFmtId="0" fontId="13" fillId="0" borderId="0" xfId="5" applyFont="1" applyProtection="1">
      <protection locked="0"/>
    </xf>
    <xf numFmtId="0" fontId="13" fillId="0" borderId="0" xfId="5" applyFont="1" applyAlignment="1" applyProtection="1">
      <alignment horizontal="left"/>
      <protection locked="0"/>
    </xf>
    <xf numFmtId="0" fontId="6" fillId="0" borderId="0" xfId="5" applyFont="1"/>
    <xf numFmtId="0" fontId="6" fillId="0" borderId="0" xfId="5" applyFont="1" applyBorder="1" applyAlignment="1">
      <alignment horizontal="center"/>
    </xf>
    <xf numFmtId="0" fontId="6" fillId="0" borderId="0" xfId="5" applyFont="1" applyBorder="1"/>
    <xf numFmtId="0" fontId="6" fillId="0" borderId="0" xfId="5" applyFont="1" applyBorder="1" applyAlignment="1">
      <alignment horizontal="right"/>
    </xf>
    <xf numFmtId="0" fontId="9" fillId="0" borderId="0" xfId="5" applyFont="1" applyBorder="1" applyAlignment="1">
      <alignment horizontal="left"/>
    </xf>
    <xf numFmtId="14" fontId="13" fillId="0" borderId="0" xfId="5" quotePrefix="1" applyNumberFormat="1" applyFont="1" applyProtection="1">
      <protection locked="0"/>
    </xf>
    <xf numFmtId="0" fontId="6" fillId="0" borderId="0" xfId="6" applyFont="1" applyBorder="1" applyAlignment="1">
      <alignment horizontal="center"/>
    </xf>
    <xf numFmtId="1" fontId="6" fillId="0" borderId="0" xfId="6" applyNumberFormat="1" applyFont="1" applyBorder="1" applyAlignment="1">
      <alignment horizontal="center"/>
    </xf>
    <xf numFmtId="0" fontId="14" fillId="0" borderId="0" xfId="5" applyFont="1" applyAlignment="1" applyProtection="1">
      <alignment horizontal="left"/>
      <protection locked="0"/>
    </xf>
    <xf numFmtId="0" fontId="6" fillId="0" borderId="0" xfId="6" applyFont="1"/>
    <xf numFmtId="0" fontId="6" fillId="0" borderId="0" xfId="5" applyFont="1" applyAlignment="1">
      <alignment horizontal="right"/>
    </xf>
    <xf numFmtId="0" fontId="9" fillId="0" borderId="0" xfId="5" applyFont="1" applyAlignment="1">
      <alignment horizontal="left"/>
    </xf>
    <xf numFmtId="0" fontId="9" fillId="0" borderId="0" xfId="5" applyFont="1"/>
    <xf numFmtId="0" fontId="9" fillId="0" borderId="0" xfId="5" quotePrefix="1" applyFont="1" applyAlignment="1">
      <alignment vertical="center"/>
    </xf>
    <xf numFmtId="0" fontId="9" fillId="0" borderId="0" xfId="5" applyFont="1" applyAlignment="1">
      <alignment vertical="center"/>
    </xf>
    <xf numFmtId="0" fontId="6" fillId="0" borderId="0" xfId="5" applyFont="1" applyAlignment="1">
      <alignment horizontal="center"/>
    </xf>
    <xf numFmtId="0" fontId="9" fillId="0" borderId="0" xfId="5" applyFont="1" applyAlignment="1">
      <alignment horizontal="right"/>
    </xf>
    <xf numFmtId="0" fontId="7" fillId="0" borderId="0" xfId="5" applyFont="1"/>
    <xf numFmtId="0" fontId="8" fillId="0" borderId="0" xfId="5" applyFont="1"/>
    <xf numFmtId="0" fontId="7" fillId="0" borderId="0" xfId="5" applyFont="1" applyBorder="1" applyAlignment="1">
      <alignment horizontal="center"/>
    </xf>
    <xf numFmtId="0" fontId="7" fillId="0" borderId="0" xfId="5" applyFont="1" applyBorder="1"/>
    <xf numFmtId="0" fontId="15" fillId="0" borderId="0" xfId="5" applyFont="1"/>
    <xf numFmtId="0" fontId="6" fillId="0" borderId="0" xfId="5" applyFont="1" applyBorder="1" applyAlignment="1"/>
    <xf numFmtId="164" fontId="6" fillId="0" borderId="0" xfId="6" applyNumberFormat="1" applyFont="1" applyBorder="1" applyAlignment="1">
      <alignment horizontal="center"/>
    </xf>
    <xf numFmtId="0" fontId="15" fillId="0" borderId="0" xfId="5" applyFont="1" applyBorder="1" applyAlignment="1"/>
    <xf numFmtId="0" fontId="16" fillId="0" borderId="0" xfId="7" applyFont="1" applyBorder="1" applyAlignment="1" applyProtection="1">
      <alignment horizontal="center"/>
    </xf>
    <xf numFmtId="0" fontId="17" fillId="0" borderId="0" xfId="7" applyFont="1" applyBorder="1" applyAlignment="1" applyProtection="1">
      <alignment horizontal="center"/>
      <protection locked="0"/>
    </xf>
    <xf numFmtId="2" fontId="6" fillId="0" borderId="0" xfId="0" applyNumberFormat="1" applyFont="1"/>
    <xf numFmtId="0" fontId="6" fillId="0" borderId="0" xfId="0" applyFont="1" applyAlignment="1"/>
    <xf numFmtId="0" fontId="19" fillId="0" borderId="0" xfId="0" applyFont="1"/>
    <xf numFmtId="164" fontId="6" fillId="0" borderId="0" xfId="0" applyNumberFormat="1" applyFont="1"/>
    <xf numFmtId="1" fontId="9" fillId="0" borderId="0" xfId="0" applyNumberFormat="1" applyFont="1" applyAlignment="1" applyProtection="1">
      <alignment horizontal="right"/>
      <protection locked="0"/>
    </xf>
    <xf numFmtId="2" fontId="6" fillId="0" borderId="0" xfId="0" applyNumberFormat="1" applyFont="1" applyAlignment="1" applyProtection="1">
      <protection locked="0"/>
    </xf>
    <xf numFmtId="0" fontId="6" fillId="0" borderId="2" xfId="5" applyFont="1" applyBorder="1" applyAlignment="1">
      <alignment horizontal="center"/>
    </xf>
    <xf numFmtId="0" fontId="6" fillId="0" borderId="0" xfId="5" applyFont="1" applyBorder="1" applyProtection="1">
      <protection locked="0"/>
    </xf>
    <xf numFmtId="1" fontId="6" fillId="0" borderId="0" xfId="5" applyNumberFormat="1" applyFont="1" applyBorder="1" applyAlignment="1" applyProtection="1">
      <alignment horizontal="center"/>
      <protection locked="0"/>
    </xf>
    <xf numFmtId="165" fontId="6" fillId="0" borderId="0" xfId="5" applyNumberFormat="1" applyFont="1" applyBorder="1" applyAlignment="1" applyProtection="1">
      <alignment horizontal="center"/>
      <protection locked="0"/>
    </xf>
    <xf numFmtId="2" fontId="6" fillId="0" borderId="0" xfId="5" applyNumberFormat="1" applyFont="1" applyBorder="1" applyAlignment="1" applyProtection="1">
      <alignment horizontal="center"/>
      <protection locked="0"/>
    </xf>
    <xf numFmtId="0" fontId="6" fillId="0" borderId="0" xfId="5" applyFont="1" applyBorder="1" applyAlignment="1" applyProtection="1">
      <alignment horizontal="center"/>
      <protection locked="0"/>
    </xf>
    <xf numFmtId="0" fontId="6" fillId="0" borderId="0" xfId="5" applyFont="1" applyBorder="1" applyAlignment="1" applyProtection="1">
      <alignment horizontal="left"/>
      <protection locked="0"/>
    </xf>
    <xf numFmtId="0" fontId="6" fillId="0" borderId="0" xfId="5" applyFont="1" applyBorder="1" applyAlignment="1" applyProtection="1">
      <protection locked="0"/>
    </xf>
    <xf numFmtId="0" fontId="6" fillId="0" borderId="0" xfId="5" applyFont="1" applyBorder="1" applyAlignment="1" applyProtection="1">
      <alignment horizontal="right"/>
      <protection locked="0"/>
    </xf>
    <xf numFmtId="1" fontId="6" fillId="0" borderId="0" xfId="5" applyNumberFormat="1" applyFont="1" applyBorder="1" applyAlignment="1" applyProtection="1">
      <alignment horizontal="right"/>
      <protection locked="0"/>
    </xf>
    <xf numFmtId="0" fontId="9" fillId="0" borderId="0" xfId="5" applyFont="1" applyBorder="1" applyAlignment="1" applyProtection="1">
      <alignment horizontal="center"/>
      <protection locked="0"/>
    </xf>
    <xf numFmtId="0" fontId="9" fillId="0" borderId="0" xfId="5" applyFont="1" applyBorder="1" applyAlignment="1" applyProtection="1">
      <alignment horizontal="right"/>
      <protection locked="0"/>
    </xf>
    <xf numFmtId="0" fontId="6" fillId="0" borderId="0" xfId="5" applyFont="1" applyAlignment="1" applyProtection="1">
      <alignment horizontal="center"/>
      <protection locked="0"/>
    </xf>
    <xf numFmtId="0" fontId="20" fillId="0" borderId="0" xfId="5" applyFont="1" applyBorder="1" applyAlignment="1" applyProtection="1">
      <alignment horizontal="center"/>
      <protection locked="0"/>
    </xf>
    <xf numFmtId="0" fontId="20" fillId="0" borderId="0" xfId="5" applyFont="1" applyBorder="1" applyAlignment="1" applyProtection="1">
      <alignment horizontal="center" shrinkToFit="1"/>
      <protection locked="0"/>
    </xf>
    <xf numFmtId="164" fontId="9" fillId="0" borderId="0" xfId="5" applyNumberFormat="1" applyFont="1" applyBorder="1" applyAlignment="1" applyProtection="1">
      <alignment horizontal="left"/>
      <protection locked="0"/>
    </xf>
    <xf numFmtId="0" fontId="19" fillId="0" borderId="0" xfId="5" applyFont="1" applyBorder="1" applyAlignment="1" applyProtection="1">
      <alignment horizontal="left"/>
      <protection locked="0"/>
    </xf>
    <xf numFmtId="0" fontId="6" fillId="0" borderId="0" xfId="5" applyFont="1" applyBorder="1" applyAlignment="1" applyProtection="1">
      <alignment vertical="top"/>
      <protection locked="0"/>
    </xf>
    <xf numFmtId="0" fontId="12" fillId="0" borderId="0" xfId="8" applyFont="1" applyBorder="1" applyProtection="1">
      <protection locked="0"/>
    </xf>
    <xf numFmtId="0" fontId="22" fillId="0" borderId="0" xfId="5" applyFont="1" applyBorder="1" applyAlignment="1" applyProtection="1">
      <alignment horizontal="center"/>
      <protection locked="0"/>
    </xf>
    <xf numFmtId="0" fontId="6" fillId="0" borderId="0" xfId="5" applyFont="1" applyFill="1" applyBorder="1" applyAlignment="1" applyProtection="1">
      <alignment horizontal="center"/>
      <protection locked="0"/>
    </xf>
    <xf numFmtId="0" fontId="23" fillId="0" borderId="0" xfId="8" applyFont="1" applyBorder="1" applyProtection="1">
      <protection locked="0"/>
    </xf>
    <xf numFmtId="0" fontId="6" fillId="0" borderId="0" xfId="5" applyFont="1" applyBorder="1" applyAlignment="1">
      <alignment vertical="top"/>
    </xf>
    <xf numFmtId="0" fontId="6" fillId="0" borderId="0" xfId="5" applyFont="1" applyBorder="1" applyAlignment="1">
      <alignment horizontal="left"/>
    </xf>
    <xf numFmtId="0" fontId="19" fillId="0" borderId="0" xfId="5" applyFont="1" applyBorder="1" applyAlignment="1" applyProtection="1">
      <protection locked="0"/>
    </xf>
    <xf numFmtId="0" fontId="12" fillId="0" borderId="0" xfId="8" applyFont="1" applyBorder="1" applyAlignment="1" applyProtection="1">
      <protection locked="0"/>
    </xf>
    <xf numFmtId="164" fontId="9" fillId="0" borderId="0" xfId="5" applyNumberFormat="1" applyFont="1" applyBorder="1" applyAlignment="1" applyProtection="1">
      <protection locked="0"/>
    </xf>
    <xf numFmtId="1" fontId="6" fillId="0" borderId="0" xfId="0" applyNumberFormat="1" applyFont="1"/>
    <xf numFmtId="1" fontId="19" fillId="0" borderId="0" xfId="5" applyNumberFormat="1" applyFont="1" applyBorder="1" applyAlignment="1" applyProtection="1">
      <protection locked="0"/>
    </xf>
    <xf numFmtId="2" fontId="6" fillId="0" borderId="0" xfId="0" applyNumberFormat="1" applyFont="1" applyProtection="1">
      <protection locked="0"/>
    </xf>
    <xf numFmtId="1" fontId="6" fillId="0" borderId="0" xfId="0" applyNumberFormat="1" applyFont="1" applyBorder="1" applyAlignment="1">
      <alignment horizontal="right"/>
    </xf>
    <xf numFmtId="166" fontId="11" fillId="0" borderId="0" xfId="0" applyNumberFormat="1" applyFont="1" applyAlignment="1" applyProtection="1">
      <alignment horizontal="right"/>
      <protection locked="0"/>
    </xf>
    <xf numFmtId="0" fontId="6" fillId="0" borderId="0" xfId="5" applyFont="1" applyBorder="1" applyAlignment="1">
      <alignment horizontal="left" vertical="top" wrapText="1"/>
    </xf>
    <xf numFmtId="0" fontId="16" fillId="0" borderId="0" xfId="7" applyBorder="1" applyAlignment="1" applyProtection="1">
      <alignment horizontal="center"/>
    </xf>
    <xf numFmtId="0" fontId="28" fillId="0" borderId="0" xfId="9" applyFont="1"/>
    <xf numFmtId="0" fontId="28" fillId="0" borderId="0" xfId="10" applyFont="1" applyBorder="1" applyAlignment="1" applyProtection="1">
      <alignment horizontal="center"/>
    </xf>
    <xf numFmtId="0" fontId="29" fillId="0" borderId="0" xfId="10" applyBorder="1" applyAlignment="1">
      <alignment horizontal="center"/>
    </xf>
    <xf numFmtId="0" fontId="6" fillId="0" borderId="0" xfId="5" applyFont="1" applyBorder="1" applyAlignment="1">
      <alignment horizontal="left" vertical="top" wrapText="1"/>
    </xf>
    <xf numFmtId="0" fontId="6" fillId="0" borderId="0" xfId="5" applyFont="1" applyBorder="1" applyAlignment="1">
      <alignment horizontal="left" wrapText="1"/>
    </xf>
    <xf numFmtId="0" fontId="16" fillId="0" borderId="0" xfId="7" applyBorder="1" applyAlignment="1" applyProtection="1">
      <alignment horizontal="center"/>
    </xf>
    <xf numFmtId="0" fontId="13" fillId="0" borderId="0" xfId="0" applyFont="1" applyAlignment="1">
      <alignment horizontal="left" wrapText="1"/>
    </xf>
  </cellXfs>
  <cellStyles count="11">
    <cellStyle name="Hyperlink" xfId="9" builtinId="8"/>
    <cellStyle name="Hyperlink 2" xfId="7"/>
    <cellStyle name="Hyperlink 3" xfId="10"/>
    <cellStyle name="Normal" xfId="0" builtinId="0"/>
    <cellStyle name="Normal 2" xfId="1"/>
    <cellStyle name="Normal 2 2" xfId="2"/>
    <cellStyle name="Normal 2 2 2" xfId="5"/>
    <cellStyle name="Normal 4" xfId="3"/>
    <cellStyle name="Normal 4 2" xfId="6"/>
    <cellStyle name="Normal_MAT" xfId="8"/>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668502146436906"/>
          <c:y val="6.9053794674355962E-2"/>
          <c:w val="0.77426929550346857"/>
          <c:h val="0.79795496068144667"/>
        </c:manualLayout>
      </c:layout>
      <c:scatterChart>
        <c:scatterStyle val="lineMarker"/>
        <c:varyColors val="0"/>
        <c:ser>
          <c:idx val="3"/>
          <c:order val="0"/>
          <c:tx>
            <c:v>Elastic-Plastic Shear Buckling Curve</c:v>
          </c:tx>
          <c:spPr>
            <a:ln w="19050">
              <a:solidFill>
                <a:schemeClr val="tx1"/>
              </a:solidFill>
              <a:prstDash val="solid"/>
            </a:ln>
          </c:spPr>
          <c:marker>
            <c:symbol val="none"/>
          </c:marker>
          <c:xVal>
            <c:numRef>
              <c:f>'Flat Plates'!$AI$74:$AI$101</c:f>
              <c:numCache>
                <c:formatCode>0</c:formatCode>
                <c:ptCount val="28"/>
                <c:pt idx="0">
                  <c:v>0</c:v>
                </c:pt>
                <c:pt idx="1">
                  <c:v>29132.327053458048</c:v>
                </c:pt>
                <c:pt idx="2">
                  <c:v>29828.716332181641</c:v>
                </c:pt>
                <c:pt idx="3">
                  <c:v>30526.985388597474</c:v>
                </c:pt>
                <c:pt idx="4">
                  <c:v>31228.280806975432</c:v>
                </c:pt>
                <c:pt idx="5">
                  <c:v>31934.396844360857</c:v>
                </c:pt>
                <c:pt idx="6">
                  <c:v>32648.113606022005</c:v>
                </c:pt>
                <c:pt idx="7">
                  <c:v>33373.698081119277</c:v>
                </c:pt>
                <c:pt idx="8">
                  <c:v>34117.640193713371</c:v>
                </c:pt>
                <c:pt idx="9">
                  <c:v>34889.725347224667</c:v>
                </c:pt>
                <c:pt idx="10">
                  <c:v>35704.585156094021</c:v>
                </c:pt>
                <c:pt idx="11">
                  <c:v>36583.922850327988</c:v>
                </c:pt>
                <c:pt idx="12">
                  <c:v>37559.684019169646</c:v>
                </c:pt>
                <c:pt idx="13">
                  <c:v>38678.543181888213</c:v>
                </c:pt>
                <c:pt idx="14">
                  <c:v>40008.210217950014</c:v>
                </c:pt>
                <c:pt idx="15">
                  <c:v>41632.58161359388</c:v>
                </c:pt>
                <c:pt idx="16">
                  <c:v>43686.824982346421</c:v>
                </c:pt>
                <c:pt idx="17">
                  <c:v>46375.774148302116</c:v>
                </c:pt>
                <c:pt idx="18">
                  <c:v>50015.893426875751</c:v>
                </c:pt>
                <c:pt idx="19">
                  <c:v>55105.842105263153</c:v>
                </c:pt>
                <c:pt idx="20">
                  <c:v>60660.008603258641</c:v>
                </c:pt>
                <c:pt idx="21">
                  <c:v>68107.5115953028</c:v>
                </c:pt>
                <c:pt idx="22">
                  <c:v>78082.35170521136</c:v>
                </c:pt>
                <c:pt idx="23">
                  <c:v>91366.076963112253</c:v>
                </c:pt>
                <c:pt idx="24">
                  <c:v>108880.69999594129</c:v>
                </c:pt>
                <c:pt idx="25">
                  <c:v>132119.97700771916</c:v>
                </c:pt>
                <c:pt idx="26">
                  <c:v>162907.97313425949</c:v>
                </c:pt>
                <c:pt idx="27">
                  <c:v>203616.62348876786</c:v>
                </c:pt>
              </c:numCache>
            </c:numRef>
          </c:xVal>
          <c:yVal>
            <c:numRef>
              <c:f>'Flat Plates'!$AB$74:$AB$101</c:f>
              <c:numCache>
                <c:formatCode>0</c:formatCode>
                <c:ptCount val="28"/>
                <c:pt idx="0">
                  <c:v>0</c:v>
                </c:pt>
                <c:pt idx="1">
                  <c:v>29128.28947368421</c:v>
                </c:pt>
                <c:pt idx="2">
                  <c:v>29821.820175438595</c:v>
                </c:pt>
                <c:pt idx="3">
                  <c:v>30515.350877192981</c:v>
                </c:pt>
                <c:pt idx="4">
                  <c:v>31208.881578947367</c:v>
                </c:pt>
                <c:pt idx="5">
                  <c:v>31902.412280701752</c:v>
                </c:pt>
                <c:pt idx="6">
                  <c:v>32595.942982456138</c:v>
                </c:pt>
                <c:pt idx="7">
                  <c:v>33289.473684210527</c:v>
                </c:pt>
                <c:pt idx="8">
                  <c:v>33983.004385964916</c:v>
                </c:pt>
                <c:pt idx="9">
                  <c:v>34676.535087719305</c:v>
                </c:pt>
                <c:pt idx="10">
                  <c:v>35370.065789473694</c:v>
                </c:pt>
                <c:pt idx="11">
                  <c:v>36063.596491228083</c:v>
                </c:pt>
                <c:pt idx="12">
                  <c:v>36757.127192982472</c:v>
                </c:pt>
                <c:pt idx="13">
                  <c:v>37450.657894736862</c:v>
                </c:pt>
                <c:pt idx="14">
                  <c:v>38144.188596491251</c:v>
                </c:pt>
                <c:pt idx="15">
                  <c:v>38837.71929824564</c:v>
                </c:pt>
                <c:pt idx="16">
                  <c:v>39531.250000000029</c:v>
                </c:pt>
                <c:pt idx="17">
                  <c:v>40224.780701754418</c:v>
                </c:pt>
                <c:pt idx="18">
                  <c:v>40918.311403508807</c:v>
                </c:pt>
                <c:pt idx="19">
                  <c:v>41611.84210526316</c:v>
                </c:pt>
                <c:pt idx="20">
                  <c:v>42160.361842105267</c:v>
                </c:pt>
                <c:pt idx="21">
                  <c:v>42708.881578947374</c:v>
                </c:pt>
                <c:pt idx="22">
                  <c:v>43257.401315789481</c:v>
                </c:pt>
                <c:pt idx="23">
                  <c:v>43805.921052631587</c:v>
                </c:pt>
                <c:pt idx="24">
                  <c:v>44354.440789473694</c:v>
                </c:pt>
                <c:pt idx="25">
                  <c:v>44902.960526315801</c:v>
                </c:pt>
                <c:pt idx="26">
                  <c:v>45451.480263157908</c:v>
                </c:pt>
                <c:pt idx="27">
                  <c:v>46000</c:v>
                </c:pt>
              </c:numCache>
            </c:numRef>
          </c:yVal>
          <c:smooth val="0"/>
          <c:extLst>
            <c:ext xmlns:c16="http://schemas.microsoft.com/office/drawing/2014/chart" uri="{C3380CC4-5D6E-409C-BE32-E72D297353CC}">
              <c16:uniqueId val="{00000000-E11C-4D66-93F2-B6AF1B432FE9}"/>
            </c:ext>
          </c:extLst>
        </c:ser>
        <c:ser>
          <c:idx val="0"/>
          <c:order val="1"/>
          <c:spPr>
            <a:ln w="12700">
              <a:solidFill>
                <a:schemeClr val="tx1"/>
              </a:solidFill>
            </a:ln>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3-E11C-4D66-93F2-B6AF1B432FE9}"/>
                </c:ext>
              </c:extLst>
            </c:dLbl>
            <c:spPr>
              <a:noFill/>
              <a:ln>
                <a:noFill/>
              </a:ln>
              <a:effectLst/>
            </c:spPr>
            <c:txPr>
              <a:bodyPr wrap="square" lIns="38100" tIns="19050" rIns="38100" bIns="19050" anchor="ctr">
                <a:spAutoFit/>
              </a:bodyPr>
              <a:lstStyle/>
              <a:p>
                <a:pPr>
                  <a:defRPr b="1">
                    <a:solidFill>
                      <a:srgbClr val="FF0000"/>
                    </a:solidFill>
                  </a:defRPr>
                </a:pPr>
                <a:endParaRPr lang="en-US"/>
              </a:p>
            </c:txPr>
            <c:dLblPos val="b"/>
            <c:showLegendKey val="0"/>
            <c:showVal val="0"/>
            <c:showCatName val="1"/>
            <c:showSerName val="0"/>
            <c:showPercent val="0"/>
            <c:showBubbleSize val="0"/>
            <c:showLeaderLines val="0"/>
            <c:extLst>
              <c:ext xmlns:c15="http://schemas.microsoft.com/office/drawing/2012/chart" uri="{CE6537A1-D6FC-4f65-9D91-7224C49458BB}">
                <c15:showLeaderLines val="1"/>
              </c:ext>
            </c:extLst>
          </c:dLbls>
          <c:xVal>
            <c:numRef>
              <c:f>'Flat Plates'!$AL$80:$AL$81</c:f>
              <c:numCache>
                <c:formatCode>0</c:formatCode>
                <c:ptCount val="2"/>
                <c:pt idx="0">
                  <c:v>119924.06096471648</c:v>
                </c:pt>
                <c:pt idx="1">
                  <c:v>119924.06096471648</c:v>
                </c:pt>
              </c:numCache>
            </c:numRef>
          </c:xVal>
          <c:yVal>
            <c:numRef>
              <c:f>'Flat Plates'!$AM$80:$AM$81</c:f>
              <c:numCache>
                <c:formatCode>0</c:formatCode>
                <c:ptCount val="2"/>
                <c:pt idx="0">
                  <c:v>0</c:v>
                </c:pt>
                <c:pt idx="1">
                  <c:v>44615.098702771727</c:v>
                </c:pt>
              </c:numCache>
            </c:numRef>
          </c:yVal>
          <c:smooth val="0"/>
          <c:extLst>
            <c:ext xmlns:c16="http://schemas.microsoft.com/office/drawing/2014/chart" uri="{C3380CC4-5D6E-409C-BE32-E72D297353CC}">
              <c16:uniqueId val="{00000001-E11C-4D66-93F2-B6AF1B432FE9}"/>
            </c:ext>
          </c:extLst>
        </c:ser>
        <c:ser>
          <c:idx val="1"/>
          <c:order val="2"/>
          <c:spPr>
            <a:ln w="12700">
              <a:solidFill>
                <a:schemeClr val="tx1"/>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4-E11C-4D66-93F2-B6AF1B432FE9}"/>
                </c:ext>
              </c:extLst>
            </c:dLbl>
            <c:dLbl>
              <c:idx val="1"/>
              <c:spPr>
                <a:noFill/>
                <a:ln>
                  <a:noFill/>
                </a:ln>
                <a:effectLst/>
              </c:spPr>
              <c:txPr>
                <a:bodyPr wrap="square" lIns="38100" tIns="19050" rIns="38100" bIns="19050" anchor="ctr">
                  <a:spAutoFit/>
                </a:bodyPr>
                <a:lstStyle/>
                <a:p>
                  <a:pPr>
                    <a:defRPr b="1">
                      <a:solidFill>
                        <a:srgbClr val="FF0000"/>
                      </a:solidFill>
                    </a:defRPr>
                  </a:pPr>
                  <a:endParaRPr lang="en-US"/>
                </a:p>
              </c:txPr>
              <c:dLblPos val="l"/>
              <c:showLegendKey val="0"/>
              <c:showVal val="1"/>
              <c:showCatName val="0"/>
              <c:showSerName val="0"/>
              <c:showPercent val="0"/>
              <c:showBubbleSize val="0"/>
              <c:extLst>
                <c:ext xmlns:c16="http://schemas.microsoft.com/office/drawing/2014/chart" uri="{C3380CC4-5D6E-409C-BE32-E72D297353CC}">
                  <c16:uniqueId val="{00000005-E11C-4D66-93F2-B6AF1B432FE9}"/>
                </c:ext>
              </c:extLst>
            </c:dLbl>
            <c:spPr>
              <a:noFill/>
              <a:ln>
                <a:noFill/>
              </a:ln>
              <a:effectLst/>
            </c:spPr>
            <c:dLblPos val="l"/>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'Flat Plates'!$AL$81:$AL$82</c:f>
              <c:numCache>
                <c:formatCode>0</c:formatCode>
                <c:ptCount val="2"/>
                <c:pt idx="0">
                  <c:v>119924.06096471648</c:v>
                </c:pt>
                <c:pt idx="1">
                  <c:v>0</c:v>
                </c:pt>
              </c:numCache>
            </c:numRef>
          </c:xVal>
          <c:yVal>
            <c:numRef>
              <c:f>'Flat Plates'!$AM$81:$AM$82</c:f>
              <c:numCache>
                <c:formatCode>0</c:formatCode>
                <c:ptCount val="2"/>
                <c:pt idx="0">
                  <c:v>44615.098702771727</c:v>
                </c:pt>
                <c:pt idx="1">
                  <c:v>44615.098702771727</c:v>
                </c:pt>
              </c:numCache>
            </c:numRef>
          </c:yVal>
          <c:smooth val="0"/>
          <c:extLst>
            <c:ext xmlns:c16="http://schemas.microsoft.com/office/drawing/2014/chart" uri="{C3380CC4-5D6E-409C-BE32-E72D297353CC}">
              <c16:uniqueId val="{00000002-E11C-4D66-93F2-B6AF1B432FE9}"/>
            </c:ext>
          </c:extLst>
        </c:ser>
        <c:ser>
          <c:idx val="2"/>
          <c:order val="3"/>
          <c:tx>
            <c:v>Simple Fsy Cut-off</c:v>
          </c:tx>
          <c:spPr>
            <a:ln w="15875">
              <a:solidFill>
                <a:schemeClr val="bg1">
                  <a:lumMod val="50000"/>
                </a:schemeClr>
              </a:solidFill>
              <a:prstDash val="dash"/>
            </a:ln>
          </c:spPr>
          <c:marker>
            <c:symbol val="none"/>
          </c:marker>
          <c:xVal>
            <c:numRef>
              <c:f>'Flat Plates'!$AK$87:$AK$89</c:f>
              <c:numCache>
                <c:formatCode>0</c:formatCode>
                <c:ptCount val="3"/>
                <c:pt idx="0">
                  <c:v>0</c:v>
                </c:pt>
                <c:pt idx="1">
                  <c:v>41611.84210526316</c:v>
                </c:pt>
                <c:pt idx="2">
                  <c:v>200000</c:v>
                </c:pt>
              </c:numCache>
            </c:numRef>
          </c:xVal>
          <c:yVal>
            <c:numRef>
              <c:f>'Flat Plates'!$AL$87:$AL$89</c:f>
              <c:numCache>
                <c:formatCode>0.00</c:formatCode>
                <c:ptCount val="3"/>
                <c:pt idx="0">
                  <c:v>0</c:v>
                </c:pt>
                <c:pt idx="1">
                  <c:v>41611.84210526316</c:v>
                </c:pt>
                <c:pt idx="2">
                  <c:v>41611.84210526316</c:v>
                </c:pt>
              </c:numCache>
            </c:numRef>
          </c:yVal>
          <c:smooth val="0"/>
          <c:extLst>
            <c:ext xmlns:c16="http://schemas.microsoft.com/office/drawing/2014/chart" uri="{C3380CC4-5D6E-409C-BE32-E72D297353CC}">
              <c16:uniqueId val="{00000000-02B1-4C99-983B-49F375C71E59}"/>
            </c:ext>
          </c:extLst>
        </c:ser>
        <c:dLbls>
          <c:showLegendKey val="0"/>
          <c:showVal val="0"/>
          <c:showCatName val="0"/>
          <c:showSerName val="0"/>
          <c:showPercent val="0"/>
          <c:showBubbleSize val="0"/>
        </c:dLbls>
        <c:axId val="537094288"/>
        <c:axId val="537093896"/>
      </c:scatterChart>
      <c:valAx>
        <c:axId val="537094288"/>
        <c:scaling>
          <c:orientation val="minMax"/>
          <c:max val="200000"/>
          <c:min val="0"/>
        </c:scaling>
        <c:delete val="0"/>
        <c:axPos val="b"/>
        <c:majorGridlines>
          <c:spPr>
            <a:ln w="3175">
              <a:solidFill>
                <a:schemeClr val="bg1">
                  <a:lumMod val="50000"/>
                </a:schemeClr>
              </a:solidFill>
              <a:prstDash val="solid"/>
            </a:ln>
          </c:spPr>
        </c:majorGridlines>
        <c:title>
          <c:tx>
            <c:rich>
              <a:bodyPr/>
              <a:lstStyle/>
              <a:p>
                <a:pPr>
                  <a:defRPr/>
                </a:pPr>
                <a:r>
                  <a:rPr lang="en-CA"/>
                  <a:t>Elastic Shear Stress (psi)</a:t>
                </a:r>
              </a:p>
            </c:rich>
          </c:tx>
          <c:layout>
            <c:manualLayout>
              <c:xMode val="edge"/>
              <c:yMode val="edge"/>
              <c:x val="0.40381027516069301"/>
              <c:y val="0.9309473655946458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537093896"/>
        <c:crosses val="autoZero"/>
        <c:crossBetween val="midCat"/>
      </c:valAx>
      <c:valAx>
        <c:axId val="537093896"/>
        <c:scaling>
          <c:orientation val="minMax"/>
          <c:max val="50000"/>
        </c:scaling>
        <c:delete val="0"/>
        <c:axPos val="l"/>
        <c:majorGridlines>
          <c:spPr>
            <a:ln w="3175">
              <a:solidFill>
                <a:schemeClr val="bg1">
                  <a:lumMod val="50000"/>
                </a:schemeClr>
              </a:solidFill>
              <a:prstDash val="solid"/>
            </a:ln>
          </c:spPr>
        </c:majorGridlines>
        <c:title>
          <c:tx>
            <c:rich>
              <a:bodyPr/>
              <a:lstStyle/>
              <a:p>
                <a:pPr>
                  <a:defRPr/>
                </a:pPr>
                <a:r>
                  <a:rPr lang="en-CA"/>
                  <a:t>Plastic Shear Stress (psi)</a:t>
                </a:r>
              </a:p>
            </c:rich>
          </c:tx>
          <c:layout>
            <c:manualLayout>
              <c:xMode val="edge"/>
              <c:yMode val="edge"/>
              <c:x val="2.4761933660026606E-2"/>
              <c:y val="0.2736575575111924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537094288"/>
        <c:crosses val="autoZero"/>
        <c:crossBetween val="midCat"/>
      </c:valAx>
      <c:spPr>
        <a:noFill/>
        <a:ln w="25400">
          <a:noFill/>
        </a:ln>
      </c:spPr>
    </c:plotArea>
    <c:legend>
      <c:legendPos val="r"/>
      <c:legendEntry>
        <c:idx val="1"/>
        <c:delete val="1"/>
      </c:legendEntry>
      <c:legendEntry>
        <c:idx val="2"/>
        <c:delete val="1"/>
      </c:legendEntry>
      <c:layout>
        <c:manualLayout>
          <c:xMode val="edge"/>
          <c:yMode val="edge"/>
          <c:x val="0.66111678085079084"/>
          <c:y val="0.61168015857294455"/>
          <c:w val="0.26852882713062248"/>
          <c:h val="0.23741609074593717"/>
        </c:manualLayout>
      </c:layout>
      <c:overlay val="0"/>
      <c:spPr>
        <a:solidFill>
          <a:schemeClr val="bg1"/>
        </a:solidFill>
        <a:ln>
          <a:solidFill>
            <a:schemeClr val="bg1">
              <a:lumMod val="75000"/>
            </a:schemeClr>
          </a:solidFill>
        </a:ln>
      </c:spPr>
    </c:legend>
    <c:plotVisOnly val="1"/>
    <c:dispBlanksAs val="gap"/>
    <c:showDLblsOverMax val="0"/>
  </c:chart>
  <c:spPr>
    <a:noFill/>
    <a:ln w="9525">
      <a:noFill/>
    </a:ln>
  </c:spPr>
  <c:txPr>
    <a:bodyPr/>
    <a:lstStyle/>
    <a:p>
      <a:pPr>
        <a:defRPr sz="1000" b="0" i="0" u="none" strike="noStrike" baseline="0">
          <a:solidFill>
            <a:srgbClr val="000000"/>
          </a:solidFill>
          <a:latin typeface="+mn-lt"/>
          <a:ea typeface="Arial"/>
          <a:cs typeface="Arial"/>
        </a:defRPr>
      </a:pPr>
      <a:endParaRPr lang="en-US"/>
    </a:p>
  </c:txPr>
  <c:printSettings>
    <c:headerFooter alignWithMargins="0"/>
    <c:pageMargins b="1" l="0.75000000000000155" r="0.75000000000000155" t="1" header="0.49212598450000072" footer="0.4921259845000007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32367201856631"/>
          <c:y val="5.8191038899707621E-2"/>
          <c:w val="0.75449351480940818"/>
          <c:h val="0.83159367554746655"/>
        </c:manualLayout>
      </c:layout>
      <c:scatterChart>
        <c:scatterStyle val="lineMarker"/>
        <c:varyColors val="0"/>
        <c:ser>
          <c:idx val="0"/>
          <c:order val="0"/>
          <c:tx>
            <c:v>Panel K</c:v>
          </c:tx>
          <c:spPr>
            <a:ln w="19050">
              <a:solidFill>
                <a:schemeClr val="tx1"/>
              </a:solidFill>
            </a:ln>
          </c:spPr>
          <c:marker>
            <c:symbol val="none"/>
          </c:marker>
          <c:dLbls>
            <c:dLbl>
              <c:idx val="40"/>
              <c:layout>
                <c:manualLayout>
                  <c:x val="0"/>
                  <c:y val="-7.9113455859520874E-3"/>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D10-4D09-879A-5E1D7C05A95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'Flat Plates'!$V$15:$V$56</c:f>
              <c:numCache>
                <c:formatCode>0.0</c:formatCode>
                <c:ptCount val="42"/>
                <c:pt idx="0">
                  <c:v>1</c:v>
                </c:pt>
                <c:pt idx="1">
                  <c:v>1.1000000000000001</c:v>
                </c:pt>
                <c:pt idx="2">
                  <c:v>1.2</c:v>
                </c:pt>
                <c:pt idx="3">
                  <c:v>1.3</c:v>
                </c:pt>
                <c:pt idx="4">
                  <c:v>1.4</c:v>
                </c:pt>
                <c:pt idx="5">
                  <c:v>1.5</c:v>
                </c:pt>
                <c:pt idx="6">
                  <c:v>1.6</c:v>
                </c:pt>
                <c:pt idx="7">
                  <c:v>1.7</c:v>
                </c:pt>
                <c:pt idx="8">
                  <c:v>1.8</c:v>
                </c:pt>
                <c:pt idx="9">
                  <c:v>1.9</c:v>
                </c:pt>
                <c:pt idx="10">
                  <c:v>2</c:v>
                </c:pt>
                <c:pt idx="11">
                  <c:v>2.1</c:v>
                </c:pt>
                <c:pt idx="12">
                  <c:v>2.2000000000000002</c:v>
                </c:pt>
                <c:pt idx="13">
                  <c:v>2.2999999999999998</c:v>
                </c:pt>
                <c:pt idx="14">
                  <c:v>2.4</c:v>
                </c:pt>
                <c:pt idx="15">
                  <c:v>2.5</c:v>
                </c:pt>
                <c:pt idx="16">
                  <c:v>2.6</c:v>
                </c:pt>
                <c:pt idx="17">
                  <c:v>2.7</c:v>
                </c:pt>
                <c:pt idx="18">
                  <c:v>2.8</c:v>
                </c:pt>
                <c:pt idx="19">
                  <c:v>2.9</c:v>
                </c:pt>
                <c:pt idx="20">
                  <c:v>3</c:v>
                </c:pt>
                <c:pt idx="21">
                  <c:v>3.1</c:v>
                </c:pt>
                <c:pt idx="22">
                  <c:v>3.2</c:v>
                </c:pt>
                <c:pt idx="23">
                  <c:v>3.3</c:v>
                </c:pt>
                <c:pt idx="24">
                  <c:v>3.4</c:v>
                </c:pt>
                <c:pt idx="25">
                  <c:v>3.5</c:v>
                </c:pt>
                <c:pt idx="26">
                  <c:v>3.6</c:v>
                </c:pt>
                <c:pt idx="27">
                  <c:v>3.7</c:v>
                </c:pt>
                <c:pt idx="28">
                  <c:v>3.8</c:v>
                </c:pt>
                <c:pt idx="29">
                  <c:v>3.9</c:v>
                </c:pt>
                <c:pt idx="30">
                  <c:v>4</c:v>
                </c:pt>
                <c:pt idx="31">
                  <c:v>4.0999999999999996</c:v>
                </c:pt>
                <c:pt idx="32">
                  <c:v>4.2</c:v>
                </c:pt>
                <c:pt idx="33">
                  <c:v>4.3</c:v>
                </c:pt>
                <c:pt idx="34">
                  <c:v>4.4000000000000004</c:v>
                </c:pt>
                <c:pt idx="35">
                  <c:v>4.5</c:v>
                </c:pt>
                <c:pt idx="36">
                  <c:v>4.5999999999999996</c:v>
                </c:pt>
                <c:pt idx="37">
                  <c:v>4.7</c:v>
                </c:pt>
                <c:pt idx="38">
                  <c:v>4.8</c:v>
                </c:pt>
                <c:pt idx="39">
                  <c:v>4.9000000000000004</c:v>
                </c:pt>
                <c:pt idx="40">
                  <c:v>5</c:v>
                </c:pt>
                <c:pt idx="41">
                  <c:v>5.0999999999999996</c:v>
                </c:pt>
              </c:numCache>
            </c:numRef>
          </c:xVal>
          <c:yVal>
            <c:numRef>
              <c:f>'Flat Plates'!$Y$15:$Y$56</c:f>
              <c:numCache>
                <c:formatCode>0.0</c:formatCode>
                <c:ptCount val="42"/>
                <c:pt idx="0">
                  <c:v>12.016120307239058</c:v>
                </c:pt>
                <c:pt idx="1">
                  <c:v>11.122997237700698</c:v>
                </c:pt>
                <c:pt idx="2">
                  <c:v>10.443703897774039</c:v>
                </c:pt>
                <c:pt idx="3">
                  <c:v>9.9150539483842373</c:v>
                </c:pt>
                <c:pt idx="4">
                  <c:v>9.4955863967051481</c:v>
                </c:pt>
                <c:pt idx="5">
                  <c:v>9.1571813809390203</c:v>
                </c:pt>
                <c:pt idx="6">
                  <c:v>8.880221672453704</c:v>
                </c:pt>
                <c:pt idx="7">
                  <c:v>8.6506842424388068</c:v>
                </c:pt>
                <c:pt idx="8">
                  <c:v>8.4583296433990114</c:v>
                </c:pt>
                <c:pt idx="9">
                  <c:v>8.2955399538436083</c:v>
                </c:pt>
                <c:pt idx="10">
                  <c:v>8.1565527567340066</c:v>
                </c:pt>
                <c:pt idx="11">
                  <c:v>8.0369440873683935</c:v>
                </c:pt>
                <c:pt idx="12">
                  <c:v>7.933271989349417</c:v>
                </c:pt>
                <c:pt idx="13">
                  <c:v>7.8428260938385117</c:v>
                </c:pt>
                <c:pt idx="14">
                  <c:v>7.7634486543677523</c:v>
                </c:pt>
                <c:pt idx="15">
                  <c:v>7.6934046506734006</c:v>
                </c:pt>
                <c:pt idx="16">
                  <c:v>7.6312861670203027</c:v>
                </c:pt>
                <c:pt idx="17">
                  <c:v>7.5759410858989993</c:v>
                </c:pt>
                <c:pt idx="18">
                  <c:v>7.52641927910053</c:v>
                </c:pt>
                <c:pt idx="19">
                  <c:v>7.4819315558728396</c:v>
                </c:pt>
                <c:pt idx="20">
                  <c:v>7.441818025158998</c:v>
                </c:pt>
                <c:pt idx="21">
                  <c:v>7.4055234831185599</c:v>
                </c:pt>
                <c:pt idx="22">
                  <c:v>7.3725780980376685</c:v>
                </c:pt>
                <c:pt idx="23">
                  <c:v>7.3425821285436248</c:v>
                </c:pt>
                <c:pt idx="24">
                  <c:v>7.3151937405339442</c:v>
                </c:pt>
                <c:pt idx="25">
                  <c:v>7.2901192249879756</c:v>
                </c:pt>
                <c:pt idx="26">
                  <c:v>7.2671050907739954</c:v>
                </c:pt>
                <c:pt idx="27">
                  <c:v>7.2459316326922742</c:v>
                </c:pt>
                <c:pt idx="28">
                  <c:v>7.2264076683851446</c:v>
                </c:pt>
                <c:pt idx="29">
                  <c:v>7.2083662075084627</c:v>
                </c:pt>
                <c:pt idx="30">
                  <c:v>7.1916608691077446</c:v>
                </c:pt>
                <c:pt idx="31">
                  <c:v>7.1761629030364125</c:v>
                </c:pt>
                <c:pt idx="32">
                  <c:v>7.1617587017663409</c:v>
                </c:pt>
                <c:pt idx="33">
                  <c:v>7.1483477124430719</c:v>
                </c:pt>
                <c:pt idx="34">
                  <c:v>7.135840677261597</c:v>
                </c:pt>
                <c:pt idx="35">
                  <c:v>7.1241581444589936</c:v>
                </c:pt>
                <c:pt idx="36">
                  <c:v>7.1132292033838711</c:v>
                </c:pt>
                <c:pt idx="37">
                  <c:v>7.102990405917101</c:v>
                </c:pt>
                <c:pt idx="38">
                  <c:v>7.0933848435161799</c:v>
                </c:pt>
                <c:pt idx="39">
                  <c:v>7.0843613547403095</c:v>
                </c:pt>
                <c:pt idx="40">
                  <c:v>7.0758738425925936</c:v>
                </c:pt>
                <c:pt idx="41">
                  <c:v>7.0678806846256368</c:v>
                </c:pt>
              </c:numCache>
            </c:numRef>
          </c:yVal>
          <c:smooth val="0"/>
          <c:extLst>
            <c:ext xmlns:c16="http://schemas.microsoft.com/office/drawing/2014/chart" uri="{C3380CC4-5D6E-409C-BE32-E72D297353CC}">
              <c16:uniqueId val="{00000001-6D10-4D09-879A-5E1D7C05A959}"/>
            </c:ext>
          </c:extLst>
        </c:ser>
        <c:ser>
          <c:idx val="3"/>
          <c:order val="1"/>
          <c:tx>
            <c:v>hor</c:v>
          </c:tx>
          <c:spPr>
            <a:ln w="12700">
              <a:solidFill>
                <a:schemeClr val="tx1"/>
              </a:solidFill>
              <a:prstDash val="solid"/>
            </a:ln>
          </c:spPr>
          <c:marker>
            <c:symbol val="none"/>
          </c:marker>
          <c:dLbls>
            <c:dLbl>
              <c:idx val="0"/>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10-4D09-879A-5E1D7C05A959}"/>
                </c:ext>
              </c:extLst>
            </c:dLbl>
            <c:dLbl>
              <c:idx val="1"/>
              <c:delete val="1"/>
              <c:extLst>
                <c:ext xmlns:c15="http://schemas.microsoft.com/office/drawing/2012/chart" uri="{CE6537A1-D6FC-4f65-9D91-7224C49458BB}"/>
                <c:ext xmlns:c16="http://schemas.microsoft.com/office/drawing/2014/chart" uri="{C3380CC4-5D6E-409C-BE32-E72D297353CC}">
                  <c16:uniqueId val="{00000003-6D10-4D09-879A-5E1D7C05A959}"/>
                </c:ext>
              </c:extLst>
            </c:dLbl>
            <c:spPr>
              <a:noFill/>
              <a:ln>
                <a:noFill/>
              </a:ln>
              <a:effectLst/>
            </c:spPr>
            <c:txPr>
              <a:bodyPr/>
              <a:lstStyle/>
              <a:p>
                <a:pPr>
                  <a:defRPr b="1">
                    <a:solidFill>
                      <a:srgbClr val="FF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'Flat Plates'!$AA$39:$AA$40</c:f>
              <c:numCache>
                <c:formatCode>0.00</c:formatCode>
                <c:ptCount val="2"/>
                <c:pt idx="0" formatCode="General">
                  <c:v>0</c:v>
                </c:pt>
                <c:pt idx="1">
                  <c:v>1.2</c:v>
                </c:pt>
              </c:numCache>
            </c:numRef>
          </c:xVal>
          <c:yVal>
            <c:numRef>
              <c:f>'Flat Plates'!$AB$39:$AB$40</c:f>
              <c:numCache>
                <c:formatCode>0.00</c:formatCode>
                <c:ptCount val="2"/>
                <c:pt idx="0">
                  <c:v>10.443703897774039</c:v>
                </c:pt>
                <c:pt idx="1">
                  <c:v>10.443703897774039</c:v>
                </c:pt>
              </c:numCache>
            </c:numRef>
          </c:yVal>
          <c:smooth val="0"/>
          <c:extLst>
            <c:ext xmlns:c16="http://schemas.microsoft.com/office/drawing/2014/chart" uri="{C3380CC4-5D6E-409C-BE32-E72D297353CC}">
              <c16:uniqueId val="{00000004-6D10-4D09-879A-5E1D7C05A959}"/>
            </c:ext>
          </c:extLst>
        </c:ser>
        <c:ser>
          <c:idx val="4"/>
          <c:order val="2"/>
          <c:tx>
            <c:v>vert</c:v>
          </c:tx>
          <c:spPr>
            <a:ln w="12700">
              <a:solidFill>
                <a:schemeClr val="tx1"/>
              </a:solidFill>
              <a:prstDash val="solid"/>
            </a:ln>
          </c:spPr>
          <c:marker>
            <c:symbol val="none"/>
          </c:marker>
          <c:dLbls>
            <c:dLbl>
              <c:idx val="0"/>
              <c:dLblPos val="b"/>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D10-4D09-879A-5E1D7C05A959}"/>
                </c:ext>
              </c:extLst>
            </c:dLbl>
            <c:dLbl>
              <c:idx val="1"/>
              <c:delete val="1"/>
              <c:extLst>
                <c:ext xmlns:c15="http://schemas.microsoft.com/office/drawing/2012/chart" uri="{CE6537A1-D6FC-4f65-9D91-7224C49458BB}"/>
                <c:ext xmlns:c16="http://schemas.microsoft.com/office/drawing/2014/chart" uri="{C3380CC4-5D6E-409C-BE32-E72D297353CC}">
                  <c16:uniqueId val="{00000006-6D10-4D09-879A-5E1D7C05A959}"/>
                </c:ext>
              </c:extLst>
            </c:dLbl>
            <c:spPr>
              <a:noFill/>
              <a:ln>
                <a:noFill/>
              </a:ln>
              <a:effectLst/>
            </c:spPr>
            <c:txPr>
              <a:bodyPr/>
              <a:lstStyle/>
              <a:p>
                <a:pPr>
                  <a:defRPr b="1">
                    <a:solidFill>
                      <a:srgbClr val="FF0000"/>
                    </a:solidFill>
                  </a:defRPr>
                </a:pPr>
                <a:endParaRPr lang="en-US"/>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'Flat Plates'!$AA$41:$AA$42</c:f>
              <c:numCache>
                <c:formatCode>0.00</c:formatCode>
                <c:ptCount val="2"/>
                <c:pt idx="0">
                  <c:v>1.2</c:v>
                </c:pt>
                <c:pt idx="1">
                  <c:v>1.2</c:v>
                </c:pt>
              </c:numCache>
            </c:numRef>
          </c:xVal>
          <c:yVal>
            <c:numRef>
              <c:f>'Flat Plates'!$AB$41:$AB$42</c:f>
              <c:numCache>
                <c:formatCode>0.00</c:formatCode>
                <c:ptCount val="2"/>
                <c:pt idx="0" formatCode="General">
                  <c:v>5</c:v>
                </c:pt>
                <c:pt idx="1">
                  <c:v>10.443703897774039</c:v>
                </c:pt>
              </c:numCache>
            </c:numRef>
          </c:yVal>
          <c:smooth val="0"/>
          <c:extLst>
            <c:ext xmlns:c16="http://schemas.microsoft.com/office/drawing/2014/chart" uri="{C3380CC4-5D6E-409C-BE32-E72D297353CC}">
              <c16:uniqueId val="{00000007-6D10-4D09-879A-5E1D7C05A959}"/>
            </c:ext>
          </c:extLst>
        </c:ser>
        <c:ser>
          <c:idx val="1"/>
          <c:order val="3"/>
          <c:spPr>
            <a:ln w="12700">
              <a:solidFill>
                <a:schemeClr val="bg1">
                  <a:lumMod val="50000"/>
                </a:schemeClr>
              </a:solidFill>
              <a:prstDash val="dash"/>
            </a:ln>
          </c:spPr>
          <c:marker>
            <c:symbol val="none"/>
          </c:marker>
          <c:xVal>
            <c:numRef>
              <c:f>'Flat Plates'!$V$15:$V$56</c:f>
              <c:numCache>
                <c:formatCode>0.0</c:formatCode>
                <c:ptCount val="42"/>
                <c:pt idx="0">
                  <c:v>1</c:v>
                </c:pt>
                <c:pt idx="1">
                  <c:v>1.1000000000000001</c:v>
                </c:pt>
                <c:pt idx="2">
                  <c:v>1.2</c:v>
                </c:pt>
                <c:pt idx="3">
                  <c:v>1.3</c:v>
                </c:pt>
                <c:pt idx="4">
                  <c:v>1.4</c:v>
                </c:pt>
                <c:pt idx="5">
                  <c:v>1.5</c:v>
                </c:pt>
                <c:pt idx="6">
                  <c:v>1.6</c:v>
                </c:pt>
                <c:pt idx="7">
                  <c:v>1.7</c:v>
                </c:pt>
                <c:pt idx="8">
                  <c:v>1.8</c:v>
                </c:pt>
                <c:pt idx="9">
                  <c:v>1.9</c:v>
                </c:pt>
                <c:pt idx="10">
                  <c:v>2</c:v>
                </c:pt>
                <c:pt idx="11">
                  <c:v>2.1</c:v>
                </c:pt>
                <c:pt idx="12">
                  <c:v>2.2000000000000002</c:v>
                </c:pt>
                <c:pt idx="13">
                  <c:v>2.2999999999999998</c:v>
                </c:pt>
                <c:pt idx="14">
                  <c:v>2.4</c:v>
                </c:pt>
                <c:pt idx="15">
                  <c:v>2.5</c:v>
                </c:pt>
                <c:pt idx="16">
                  <c:v>2.6</c:v>
                </c:pt>
                <c:pt idx="17">
                  <c:v>2.7</c:v>
                </c:pt>
                <c:pt idx="18">
                  <c:v>2.8</c:v>
                </c:pt>
                <c:pt idx="19">
                  <c:v>2.9</c:v>
                </c:pt>
                <c:pt idx="20">
                  <c:v>3</c:v>
                </c:pt>
                <c:pt idx="21">
                  <c:v>3.1</c:v>
                </c:pt>
                <c:pt idx="22">
                  <c:v>3.2</c:v>
                </c:pt>
                <c:pt idx="23">
                  <c:v>3.3</c:v>
                </c:pt>
                <c:pt idx="24">
                  <c:v>3.4</c:v>
                </c:pt>
                <c:pt idx="25">
                  <c:v>3.5</c:v>
                </c:pt>
                <c:pt idx="26">
                  <c:v>3.6</c:v>
                </c:pt>
                <c:pt idx="27">
                  <c:v>3.7</c:v>
                </c:pt>
                <c:pt idx="28">
                  <c:v>3.8</c:v>
                </c:pt>
                <c:pt idx="29">
                  <c:v>3.9</c:v>
                </c:pt>
                <c:pt idx="30">
                  <c:v>4</c:v>
                </c:pt>
                <c:pt idx="31">
                  <c:v>4.0999999999999996</c:v>
                </c:pt>
                <c:pt idx="32">
                  <c:v>4.2</c:v>
                </c:pt>
                <c:pt idx="33">
                  <c:v>4.3</c:v>
                </c:pt>
                <c:pt idx="34">
                  <c:v>4.4000000000000004</c:v>
                </c:pt>
                <c:pt idx="35">
                  <c:v>4.5</c:v>
                </c:pt>
                <c:pt idx="36">
                  <c:v>4.5999999999999996</c:v>
                </c:pt>
                <c:pt idx="37">
                  <c:v>4.7</c:v>
                </c:pt>
                <c:pt idx="38">
                  <c:v>4.8</c:v>
                </c:pt>
                <c:pt idx="39">
                  <c:v>4.9000000000000004</c:v>
                </c:pt>
                <c:pt idx="40">
                  <c:v>5</c:v>
                </c:pt>
                <c:pt idx="41">
                  <c:v>5.0999999999999996</c:v>
                </c:pt>
              </c:numCache>
            </c:numRef>
          </c:xVal>
          <c:yVal>
            <c:numRef>
              <c:f>'Flat Plates'!$W$15:$W$56</c:f>
              <c:numCache>
                <c:formatCode>0.0</c:formatCode>
                <c:ptCount val="42"/>
                <c:pt idx="0">
                  <c:v>9.34</c:v>
                </c:pt>
                <c:pt idx="1">
                  <c:v>8.6457851239669417</c:v>
                </c:pt>
                <c:pt idx="2">
                  <c:v>8.1177777777777784</c:v>
                </c:pt>
                <c:pt idx="3">
                  <c:v>7.7068639053254433</c:v>
                </c:pt>
                <c:pt idx="4">
                  <c:v>7.3808163265306126</c:v>
                </c:pt>
                <c:pt idx="5">
                  <c:v>7.1177777777777775</c:v>
                </c:pt>
                <c:pt idx="6">
                  <c:v>6.9024999999999999</c:v>
                </c:pt>
                <c:pt idx="7">
                  <c:v>6.7240830449826987</c:v>
                </c:pt>
                <c:pt idx="8">
                  <c:v>6.5745679012345679</c:v>
                </c:pt>
                <c:pt idx="9">
                  <c:v>6.4480332409972299</c:v>
                </c:pt>
                <c:pt idx="10">
                  <c:v>6.34</c:v>
                </c:pt>
                <c:pt idx="11">
                  <c:v>6.2470294784580496</c:v>
                </c:pt>
                <c:pt idx="12">
                  <c:v>6.1664462809917353</c:v>
                </c:pt>
                <c:pt idx="13">
                  <c:v>6.0961436672967864</c:v>
                </c:pt>
                <c:pt idx="14">
                  <c:v>6.0344444444444445</c:v>
                </c:pt>
                <c:pt idx="15">
                  <c:v>5.9799999999999995</c:v>
                </c:pt>
                <c:pt idx="16">
                  <c:v>5.9317159763313612</c:v>
                </c:pt>
                <c:pt idx="17">
                  <c:v>5.8886968449931407</c:v>
                </c:pt>
                <c:pt idx="18">
                  <c:v>5.8502040816326533</c:v>
                </c:pt>
                <c:pt idx="19">
                  <c:v>5.8156242568370988</c:v>
                </c:pt>
                <c:pt idx="20">
                  <c:v>5.7844444444444445</c:v>
                </c:pt>
                <c:pt idx="21">
                  <c:v>5.7562330905306966</c:v>
                </c:pt>
                <c:pt idx="22">
                  <c:v>5.7306249999999999</c:v>
                </c:pt>
                <c:pt idx="23">
                  <c:v>5.7073094582185488</c:v>
                </c:pt>
                <c:pt idx="24">
                  <c:v>5.6860207612456746</c:v>
                </c:pt>
                <c:pt idx="25">
                  <c:v>5.6665306122448982</c:v>
                </c:pt>
                <c:pt idx="26">
                  <c:v>5.6486419753086414</c:v>
                </c:pt>
                <c:pt idx="27">
                  <c:v>5.6321840759678592</c:v>
                </c:pt>
                <c:pt idx="28">
                  <c:v>5.6170083102493074</c:v>
                </c:pt>
                <c:pt idx="29">
                  <c:v>5.6029848783694938</c:v>
                </c:pt>
                <c:pt idx="30">
                  <c:v>5.59</c:v>
                </c:pt>
                <c:pt idx="31">
                  <c:v>5.5779535990481852</c:v>
                </c:pt>
                <c:pt idx="32">
                  <c:v>5.5667573696145123</c:v>
                </c:pt>
                <c:pt idx="33">
                  <c:v>5.5563331530557054</c:v>
                </c:pt>
                <c:pt idx="34">
                  <c:v>5.5466115702479337</c:v>
                </c:pt>
                <c:pt idx="35">
                  <c:v>5.5375308641975307</c:v>
                </c:pt>
                <c:pt idx="36">
                  <c:v>5.5290359168241965</c:v>
                </c:pt>
                <c:pt idx="37">
                  <c:v>5.521077410593028</c:v>
                </c:pt>
                <c:pt idx="38">
                  <c:v>5.5136111111111106</c:v>
                </c:pt>
                <c:pt idx="39">
                  <c:v>5.5065972511453563</c:v>
                </c:pt>
                <c:pt idx="40">
                  <c:v>5.5</c:v>
                </c:pt>
                <c:pt idx="41">
                  <c:v>5.4937870049980777</c:v>
                </c:pt>
              </c:numCache>
            </c:numRef>
          </c:yVal>
          <c:smooth val="0"/>
          <c:extLst>
            <c:ext xmlns:c16="http://schemas.microsoft.com/office/drawing/2014/chart" uri="{C3380CC4-5D6E-409C-BE32-E72D297353CC}">
              <c16:uniqueId val="{00000008-6D10-4D09-879A-5E1D7C05A959}"/>
            </c:ext>
          </c:extLst>
        </c:ser>
        <c:ser>
          <c:idx val="2"/>
          <c:order val="4"/>
          <c:spPr>
            <a:ln w="12700">
              <a:solidFill>
                <a:schemeClr val="bg1">
                  <a:lumMod val="50000"/>
                </a:schemeClr>
              </a:solidFill>
              <a:prstDash val="dash"/>
            </a:ln>
          </c:spPr>
          <c:marker>
            <c:symbol val="none"/>
          </c:marker>
          <c:xVal>
            <c:numRef>
              <c:f>'Flat Plates'!$V$15:$V$56</c:f>
              <c:numCache>
                <c:formatCode>0.0</c:formatCode>
                <c:ptCount val="42"/>
                <c:pt idx="0">
                  <c:v>1</c:v>
                </c:pt>
                <c:pt idx="1">
                  <c:v>1.1000000000000001</c:v>
                </c:pt>
                <c:pt idx="2">
                  <c:v>1.2</c:v>
                </c:pt>
                <c:pt idx="3">
                  <c:v>1.3</c:v>
                </c:pt>
                <c:pt idx="4">
                  <c:v>1.4</c:v>
                </c:pt>
                <c:pt idx="5">
                  <c:v>1.5</c:v>
                </c:pt>
                <c:pt idx="6">
                  <c:v>1.6</c:v>
                </c:pt>
                <c:pt idx="7">
                  <c:v>1.7</c:v>
                </c:pt>
                <c:pt idx="8">
                  <c:v>1.8</c:v>
                </c:pt>
                <c:pt idx="9">
                  <c:v>1.9</c:v>
                </c:pt>
                <c:pt idx="10">
                  <c:v>2</c:v>
                </c:pt>
                <c:pt idx="11">
                  <c:v>2.1</c:v>
                </c:pt>
                <c:pt idx="12">
                  <c:v>2.2000000000000002</c:v>
                </c:pt>
                <c:pt idx="13">
                  <c:v>2.2999999999999998</c:v>
                </c:pt>
                <c:pt idx="14">
                  <c:v>2.4</c:v>
                </c:pt>
                <c:pt idx="15">
                  <c:v>2.5</c:v>
                </c:pt>
                <c:pt idx="16">
                  <c:v>2.6</c:v>
                </c:pt>
                <c:pt idx="17">
                  <c:v>2.7</c:v>
                </c:pt>
                <c:pt idx="18">
                  <c:v>2.8</c:v>
                </c:pt>
                <c:pt idx="19">
                  <c:v>2.9</c:v>
                </c:pt>
                <c:pt idx="20">
                  <c:v>3</c:v>
                </c:pt>
                <c:pt idx="21">
                  <c:v>3.1</c:v>
                </c:pt>
                <c:pt idx="22">
                  <c:v>3.2</c:v>
                </c:pt>
                <c:pt idx="23">
                  <c:v>3.3</c:v>
                </c:pt>
                <c:pt idx="24">
                  <c:v>3.4</c:v>
                </c:pt>
                <c:pt idx="25">
                  <c:v>3.5</c:v>
                </c:pt>
                <c:pt idx="26">
                  <c:v>3.6</c:v>
                </c:pt>
                <c:pt idx="27">
                  <c:v>3.7</c:v>
                </c:pt>
                <c:pt idx="28">
                  <c:v>3.8</c:v>
                </c:pt>
                <c:pt idx="29">
                  <c:v>3.9</c:v>
                </c:pt>
                <c:pt idx="30">
                  <c:v>4</c:v>
                </c:pt>
                <c:pt idx="31">
                  <c:v>4.0999999999999996</c:v>
                </c:pt>
                <c:pt idx="32">
                  <c:v>4.2</c:v>
                </c:pt>
                <c:pt idx="33">
                  <c:v>4.3</c:v>
                </c:pt>
                <c:pt idx="34">
                  <c:v>4.4000000000000004</c:v>
                </c:pt>
                <c:pt idx="35">
                  <c:v>4.5</c:v>
                </c:pt>
                <c:pt idx="36">
                  <c:v>4.5999999999999996</c:v>
                </c:pt>
                <c:pt idx="37">
                  <c:v>4.7</c:v>
                </c:pt>
                <c:pt idx="38">
                  <c:v>4.8</c:v>
                </c:pt>
                <c:pt idx="39">
                  <c:v>4.9000000000000004</c:v>
                </c:pt>
                <c:pt idx="40">
                  <c:v>5</c:v>
                </c:pt>
                <c:pt idx="41">
                  <c:v>5.0999999999999996</c:v>
                </c:pt>
              </c:numCache>
            </c:numRef>
          </c:xVal>
          <c:yVal>
            <c:numRef>
              <c:f>'Flat Plates'!$X$15:$X$56</c:f>
              <c:numCache>
                <c:formatCode>0.0</c:formatCode>
                <c:ptCount val="42"/>
                <c:pt idx="0">
                  <c:v>15.130800000000001</c:v>
                </c:pt>
                <c:pt idx="1">
                  <c:v>14.006171900826446</c:v>
                </c:pt>
                <c:pt idx="2">
                  <c:v>13.150800000000002</c:v>
                </c:pt>
                <c:pt idx="3">
                  <c:v>12.485119526627219</c:v>
                </c:pt>
                <c:pt idx="4">
                  <c:v>11.956922448979594</c:v>
                </c:pt>
                <c:pt idx="5">
                  <c:v>11.530800000000001</c:v>
                </c:pt>
                <c:pt idx="6">
                  <c:v>11.18205</c:v>
                </c:pt>
                <c:pt idx="7">
                  <c:v>10.893014532871973</c:v>
                </c:pt>
                <c:pt idx="8">
                  <c:v>10.6508</c:v>
                </c:pt>
                <c:pt idx="9">
                  <c:v>10.445813850415513</c:v>
                </c:pt>
                <c:pt idx="10">
                  <c:v>10.270800000000001</c:v>
                </c:pt>
                <c:pt idx="11">
                  <c:v>10.120187755102041</c:v>
                </c:pt>
                <c:pt idx="12">
                  <c:v>9.9896429752066123</c:v>
                </c:pt>
                <c:pt idx="13">
                  <c:v>9.8757527410207953</c:v>
                </c:pt>
                <c:pt idx="14">
                  <c:v>9.7758000000000003</c:v>
                </c:pt>
                <c:pt idx="15">
                  <c:v>9.6875999999999998</c:v>
                </c:pt>
                <c:pt idx="16">
                  <c:v>9.609379881656805</c:v>
                </c:pt>
                <c:pt idx="17">
                  <c:v>9.5396888888888878</c:v>
                </c:pt>
                <c:pt idx="18">
                  <c:v>9.4773306122448986</c:v>
                </c:pt>
                <c:pt idx="19">
                  <c:v>9.4213112960760999</c:v>
                </c:pt>
                <c:pt idx="20">
                  <c:v>9.3708000000000009</c:v>
                </c:pt>
                <c:pt idx="21">
                  <c:v>9.32509760665973</c:v>
                </c:pt>
                <c:pt idx="22">
                  <c:v>9.2836125000000003</c:v>
                </c:pt>
                <c:pt idx="23">
                  <c:v>9.2458413223140496</c:v>
                </c:pt>
                <c:pt idx="24">
                  <c:v>9.2113536332179926</c:v>
                </c:pt>
                <c:pt idx="25">
                  <c:v>9.179779591836736</c:v>
                </c:pt>
                <c:pt idx="26">
                  <c:v>9.1508000000000003</c:v>
                </c:pt>
                <c:pt idx="27">
                  <c:v>9.1241382030679326</c:v>
                </c:pt>
                <c:pt idx="28">
                  <c:v>9.099553462603879</c:v>
                </c:pt>
                <c:pt idx="29">
                  <c:v>9.0768355029585805</c:v>
                </c:pt>
                <c:pt idx="30">
                  <c:v>9.0557999999999996</c:v>
                </c:pt>
                <c:pt idx="31">
                  <c:v>9.0362848304580599</c:v>
                </c:pt>
                <c:pt idx="32">
                  <c:v>9.0181469387755104</c:v>
                </c:pt>
                <c:pt idx="33">
                  <c:v>9.0012597079502434</c:v>
                </c:pt>
                <c:pt idx="34">
                  <c:v>8.9855107438016528</c:v>
                </c:pt>
                <c:pt idx="35">
                  <c:v>8.9708000000000006</c:v>
                </c:pt>
                <c:pt idx="36">
                  <c:v>8.9570381852551986</c:v>
                </c:pt>
                <c:pt idx="37">
                  <c:v>8.9441454051607057</c:v>
                </c:pt>
                <c:pt idx="38">
                  <c:v>8.9320500000000003</c:v>
                </c:pt>
                <c:pt idx="39">
                  <c:v>8.9206875468554774</c:v>
                </c:pt>
                <c:pt idx="40">
                  <c:v>8.91</c:v>
                </c:pt>
                <c:pt idx="41">
                  <c:v>8.8999349480968863</c:v>
                </c:pt>
              </c:numCache>
            </c:numRef>
          </c:yVal>
          <c:smooth val="1"/>
          <c:extLst>
            <c:ext xmlns:c16="http://schemas.microsoft.com/office/drawing/2014/chart" uri="{C3380CC4-5D6E-409C-BE32-E72D297353CC}">
              <c16:uniqueId val="{00000009-6D10-4D09-879A-5E1D7C05A959}"/>
            </c:ext>
          </c:extLst>
        </c:ser>
        <c:dLbls>
          <c:showLegendKey val="0"/>
          <c:showVal val="0"/>
          <c:showCatName val="0"/>
          <c:showSerName val="0"/>
          <c:showPercent val="0"/>
          <c:showBubbleSize val="0"/>
        </c:dLbls>
        <c:axId val="685906160"/>
        <c:axId val="685901064"/>
      </c:scatterChart>
      <c:valAx>
        <c:axId val="685906160"/>
        <c:scaling>
          <c:orientation val="minMax"/>
          <c:max val="5"/>
        </c:scaling>
        <c:delete val="0"/>
        <c:axPos val="b"/>
        <c:majorGridlines>
          <c:spPr>
            <a:ln w="3175">
              <a:solidFill>
                <a:schemeClr val="bg1">
                  <a:lumMod val="50000"/>
                </a:schemeClr>
              </a:solidFill>
              <a:prstDash val="sysDash"/>
            </a:ln>
          </c:spPr>
        </c:majorGridlines>
        <c:title>
          <c:tx>
            <c:rich>
              <a:bodyPr/>
              <a:lstStyle/>
              <a:p>
                <a:pPr>
                  <a:defRPr/>
                </a:pPr>
                <a:r>
                  <a:rPr lang="en-US"/>
                  <a:t>a/b</a:t>
                </a:r>
              </a:p>
            </c:rich>
          </c:tx>
          <c:overlay val="0"/>
        </c:title>
        <c:numFmt formatCode="0.0" sourceLinked="1"/>
        <c:majorTickMark val="out"/>
        <c:minorTickMark val="none"/>
        <c:tickLblPos val="nextTo"/>
        <c:spPr>
          <a:ln w="3175">
            <a:solidFill>
              <a:schemeClr val="tx1"/>
            </a:solidFill>
            <a:prstDash val="solid"/>
          </a:ln>
        </c:spPr>
        <c:txPr>
          <a:bodyPr rot="0" vert="horz"/>
          <a:lstStyle/>
          <a:p>
            <a:pPr>
              <a:defRPr/>
            </a:pPr>
            <a:endParaRPr lang="en-US"/>
          </a:p>
        </c:txPr>
        <c:crossAx val="685901064"/>
        <c:crosses val="autoZero"/>
        <c:crossBetween val="midCat"/>
        <c:majorUnit val="1"/>
      </c:valAx>
      <c:valAx>
        <c:axId val="685901064"/>
        <c:scaling>
          <c:orientation val="minMax"/>
          <c:max val="15"/>
          <c:min val="5"/>
        </c:scaling>
        <c:delete val="0"/>
        <c:axPos val="l"/>
        <c:majorGridlines>
          <c:spPr>
            <a:ln w="3175">
              <a:solidFill>
                <a:schemeClr val="bg1">
                  <a:lumMod val="50000"/>
                </a:schemeClr>
              </a:solidFill>
              <a:prstDash val="solid"/>
            </a:ln>
          </c:spPr>
        </c:majorGridlines>
        <c:title>
          <c:tx>
            <c:rich>
              <a:bodyPr/>
              <a:lstStyle/>
              <a:p>
                <a:pPr>
                  <a:defRPr/>
                </a:pPr>
                <a:r>
                  <a:rPr lang="en-US"/>
                  <a:t>k</a:t>
                </a:r>
              </a:p>
            </c:rich>
          </c:tx>
          <c:layout>
            <c:manualLayout>
              <c:xMode val="edge"/>
              <c:yMode val="edge"/>
              <c:x val="3.5554112852898968E-3"/>
              <c:y val="0.42492927288193189"/>
            </c:manualLayout>
          </c:layout>
          <c:overlay val="0"/>
        </c:title>
        <c:numFmt formatCode="0.0" sourceLinked="1"/>
        <c:majorTickMark val="out"/>
        <c:minorTickMark val="none"/>
        <c:tickLblPos val="nextTo"/>
        <c:spPr>
          <a:ln w="3175">
            <a:solidFill>
              <a:schemeClr val="tx1"/>
            </a:solidFill>
            <a:prstDash val="solid"/>
          </a:ln>
        </c:spPr>
        <c:txPr>
          <a:bodyPr rot="0" vert="horz"/>
          <a:lstStyle/>
          <a:p>
            <a:pPr>
              <a:defRPr/>
            </a:pPr>
            <a:endParaRPr lang="en-US"/>
          </a:p>
        </c:txPr>
        <c:crossAx val="685906160"/>
        <c:crosses val="autoZero"/>
        <c:crossBetween val="midCat"/>
        <c:majorUnit val="2"/>
      </c:valAx>
      <c:spPr>
        <a:noFill/>
        <a:ln w="3175">
          <a:solidFill>
            <a:schemeClr val="bg1">
              <a:lumMod val="50000"/>
            </a:schemeClr>
          </a:solidFill>
          <a:prstDash val="solid"/>
        </a:ln>
      </c:spPr>
    </c:plotArea>
    <c:plotVisOnly val="1"/>
    <c:dispBlanksAs val="gap"/>
    <c:showDLblsOverMax val="0"/>
  </c:chart>
  <c:spPr>
    <a:noFill/>
    <a:ln w="9525">
      <a:noFill/>
    </a:ln>
  </c:spPr>
  <c:txPr>
    <a:bodyPr/>
    <a:lstStyle/>
    <a:p>
      <a:pPr>
        <a:defRPr sz="1000" b="0" i="0" u="none" strike="noStrike" baseline="0">
          <a:solidFill>
            <a:srgbClr val="000000"/>
          </a:solidFill>
          <a:latin typeface="+mn-lt"/>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831447808662603"/>
          <c:y val="5.6018741457268609E-2"/>
          <c:w val="0.78590351715475526"/>
          <c:h val="0.85434179163859258"/>
        </c:manualLayout>
      </c:layout>
      <c:scatterChart>
        <c:scatterStyle val="lineMarker"/>
        <c:varyColors val="0"/>
        <c:ser>
          <c:idx val="0"/>
          <c:order val="0"/>
          <c:spPr>
            <a:ln w="19050" cap="rnd">
              <a:solidFill>
                <a:schemeClr val="tx1"/>
              </a:solidFill>
              <a:round/>
            </a:ln>
            <a:effectLst/>
          </c:spPr>
          <c:marker>
            <c:symbol val="none"/>
          </c:marker>
          <c:xVal>
            <c:numRef>
              <c:f>'Flat Plates'!$AD$17:$AD$47</c:f>
              <c:numCache>
                <c:formatCode>General</c:formatCode>
                <c:ptCount val="3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numCache>
            </c:numRef>
          </c:xVal>
          <c:yVal>
            <c:numRef>
              <c:f>'Flat Plates'!$AE$17:$AE$47</c:f>
              <c:numCache>
                <c:formatCode>General</c:formatCode>
                <c:ptCount val="31"/>
                <c:pt idx="0">
                  <c:v>0</c:v>
                </c:pt>
                <c:pt idx="1">
                  <c:v>2.7E-2</c:v>
                </c:pt>
                <c:pt idx="2">
                  <c:v>0.06</c:v>
                </c:pt>
                <c:pt idx="3">
                  <c:v>0.105</c:v>
                </c:pt>
                <c:pt idx="4">
                  <c:v>0.15</c:v>
                </c:pt>
                <c:pt idx="5">
                  <c:v>0.22</c:v>
                </c:pt>
                <c:pt idx="6">
                  <c:v>0.3</c:v>
                </c:pt>
                <c:pt idx="7">
                  <c:v>0.4</c:v>
                </c:pt>
                <c:pt idx="8">
                  <c:v>0.49</c:v>
                </c:pt>
                <c:pt idx="9">
                  <c:v>0.59</c:v>
                </c:pt>
                <c:pt idx="10">
                  <c:v>0.69</c:v>
                </c:pt>
                <c:pt idx="11">
                  <c:v>0.8</c:v>
                </c:pt>
                <c:pt idx="12">
                  <c:v>0.9</c:v>
                </c:pt>
                <c:pt idx="13">
                  <c:v>1</c:v>
                </c:pt>
                <c:pt idx="14">
                  <c:v>1.08</c:v>
                </c:pt>
                <c:pt idx="15">
                  <c:v>1.1299999999999999</c:v>
                </c:pt>
                <c:pt idx="16">
                  <c:v>1.17</c:v>
                </c:pt>
                <c:pt idx="17">
                  <c:v>1.2</c:v>
                </c:pt>
                <c:pt idx="18">
                  <c:v>1.22</c:v>
                </c:pt>
                <c:pt idx="19">
                  <c:v>1.2350000000000001</c:v>
                </c:pt>
                <c:pt idx="20">
                  <c:v>1.25</c:v>
                </c:pt>
                <c:pt idx="21">
                  <c:v>1.26</c:v>
                </c:pt>
                <c:pt idx="22">
                  <c:v>1.27</c:v>
                </c:pt>
                <c:pt idx="23">
                  <c:v>1.2789999999999999</c:v>
                </c:pt>
                <c:pt idx="24">
                  <c:v>1.2869999999999999</c:v>
                </c:pt>
                <c:pt idx="25">
                  <c:v>1.2949999999999999</c:v>
                </c:pt>
                <c:pt idx="26">
                  <c:v>1.3080000000000001</c:v>
                </c:pt>
                <c:pt idx="27">
                  <c:v>1.3125</c:v>
                </c:pt>
                <c:pt idx="28">
                  <c:v>1.3169999999999999</c:v>
                </c:pt>
                <c:pt idx="29">
                  <c:v>1.3235000000000001</c:v>
                </c:pt>
                <c:pt idx="30">
                  <c:v>1.33</c:v>
                </c:pt>
              </c:numCache>
            </c:numRef>
          </c:yVal>
          <c:smooth val="0"/>
          <c:extLst>
            <c:ext xmlns:c16="http://schemas.microsoft.com/office/drawing/2014/chart" uri="{C3380CC4-5D6E-409C-BE32-E72D297353CC}">
              <c16:uniqueId val="{00000000-9D86-49AA-8269-9F04F1415942}"/>
            </c:ext>
          </c:extLst>
        </c:ser>
        <c:ser>
          <c:idx val="1"/>
          <c:order val="1"/>
          <c:spPr>
            <a:ln w="19050" cap="rnd">
              <a:solidFill>
                <a:schemeClr val="tx1"/>
              </a:solidFill>
              <a:round/>
            </a:ln>
            <a:effectLst/>
          </c:spPr>
          <c:marker>
            <c:symbol val="none"/>
          </c:marker>
          <c:xVal>
            <c:numRef>
              <c:f>'Flat Plates'!$AD$17:$AD$47</c:f>
              <c:numCache>
                <c:formatCode>General</c:formatCode>
                <c:ptCount val="3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numCache>
            </c:numRef>
          </c:xVal>
          <c:yVal>
            <c:numRef>
              <c:f>'Flat Plates'!$AF$17:$AF$47</c:f>
              <c:numCache>
                <c:formatCode>General</c:formatCode>
                <c:ptCount val="31"/>
                <c:pt idx="0">
                  <c:v>0</c:v>
                </c:pt>
                <c:pt idx="1">
                  <c:v>0.1</c:v>
                </c:pt>
                <c:pt idx="2">
                  <c:v>0.2</c:v>
                </c:pt>
                <c:pt idx="3">
                  <c:v>0.3</c:v>
                </c:pt>
                <c:pt idx="4">
                  <c:v>0.4</c:v>
                </c:pt>
                <c:pt idx="5">
                  <c:v>0.5</c:v>
                </c:pt>
                <c:pt idx="6">
                  <c:v>0.6</c:v>
                </c:pt>
                <c:pt idx="7">
                  <c:v>0.7</c:v>
                </c:pt>
                <c:pt idx="8">
                  <c:v>0.8</c:v>
                </c:pt>
                <c:pt idx="9">
                  <c:v>0.9</c:v>
                </c:pt>
                <c:pt idx="10">
                  <c:v>1</c:v>
                </c:pt>
                <c:pt idx="11">
                  <c:v>1.1000000000000001</c:v>
                </c:pt>
                <c:pt idx="12">
                  <c:v>1.17</c:v>
                </c:pt>
                <c:pt idx="13">
                  <c:v>1.23</c:v>
                </c:pt>
                <c:pt idx="14">
                  <c:v>1.29</c:v>
                </c:pt>
                <c:pt idx="15">
                  <c:v>1.335</c:v>
                </c:pt>
                <c:pt idx="16">
                  <c:v>1.375</c:v>
                </c:pt>
                <c:pt idx="17">
                  <c:v>1.41</c:v>
                </c:pt>
                <c:pt idx="18">
                  <c:v>1.4450000000000001</c:v>
                </c:pt>
                <c:pt idx="19">
                  <c:v>1.4750000000000001</c:v>
                </c:pt>
                <c:pt idx="20">
                  <c:v>1.5</c:v>
                </c:pt>
                <c:pt idx="21">
                  <c:v>1.5149999999999999</c:v>
                </c:pt>
                <c:pt idx="22">
                  <c:v>1.5349999999999999</c:v>
                </c:pt>
                <c:pt idx="23">
                  <c:v>1.55</c:v>
                </c:pt>
                <c:pt idx="24">
                  <c:v>1.5649999999999999</c:v>
                </c:pt>
                <c:pt idx="25">
                  <c:v>1.575</c:v>
                </c:pt>
                <c:pt idx="26">
                  <c:v>1.5874999999999999</c:v>
                </c:pt>
                <c:pt idx="27">
                  <c:v>1.6</c:v>
                </c:pt>
                <c:pt idx="28">
                  <c:v>1.607</c:v>
                </c:pt>
                <c:pt idx="29">
                  <c:v>1.6140000000000001</c:v>
                </c:pt>
                <c:pt idx="30">
                  <c:v>1.62</c:v>
                </c:pt>
              </c:numCache>
            </c:numRef>
          </c:yVal>
          <c:smooth val="0"/>
          <c:extLst>
            <c:ext xmlns:c16="http://schemas.microsoft.com/office/drawing/2014/chart" uri="{C3380CC4-5D6E-409C-BE32-E72D297353CC}">
              <c16:uniqueId val="{00000001-9D86-49AA-8269-9F04F1415942}"/>
            </c:ext>
          </c:extLst>
        </c:ser>
        <c:ser>
          <c:idx val="2"/>
          <c:order val="2"/>
          <c:spPr>
            <a:ln w="12700" cap="rnd">
              <a:solidFill>
                <a:schemeClr val="tx1"/>
              </a:solidFill>
              <a:prstDash val="solid"/>
              <a:round/>
            </a:ln>
            <a:effectLst/>
          </c:spPr>
          <c:marker>
            <c:symbol val="none"/>
          </c:marker>
          <c:xVal>
            <c:numRef>
              <c:f>'Flat Plates'!$AH$21:$AH$33</c:f>
              <c:numCache>
                <c:formatCode>0.00</c:formatCode>
                <c:ptCount val="13"/>
                <c:pt idx="0">
                  <c:v>1.6363636363636362</c:v>
                </c:pt>
                <c:pt idx="1">
                  <c:v>1.6363636363636362</c:v>
                </c:pt>
                <c:pt idx="3">
                  <c:v>1.6363636363636362</c:v>
                </c:pt>
                <c:pt idx="4" formatCode="General">
                  <c:v>0</c:v>
                </c:pt>
                <c:pt idx="8">
                  <c:v>2.2727272727272729</c:v>
                </c:pt>
                <c:pt idx="9">
                  <c:v>2.2727272727272729</c:v>
                </c:pt>
                <c:pt idx="11">
                  <c:v>2.2727272727272729</c:v>
                </c:pt>
                <c:pt idx="12" formatCode="General">
                  <c:v>0</c:v>
                </c:pt>
              </c:numCache>
            </c:numRef>
          </c:xVal>
          <c:yVal>
            <c:numRef>
              <c:f>'Flat Plates'!$AI$21:$AI$33</c:f>
              <c:numCache>
                <c:formatCode>General</c:formatCode>
                <c:ptCount val="13"/>
                <c:pt idx="0">
                  <c:v>0</c:v>
                </c:pt>
                <c:pt idx="1">
                  <c:v>1.1809090909090909</c:v>
                </c:pt>
                <c:pt idx="3">
                  <c:v>1.1809090909090909</c:v>
                </c:pt>
                <c:pt idx="4">
                  <c:v>1.1809090909090909</c:v>
                </c:pt>
                <c:pt idx="8">
                  <c:v>0</c:v>
                </c:pt>
                <c:pt idx="9">
                  <c:v>1.5459090909090909</c:v>
                </c:pt>
                <c:pt idx="11">
                  <c:v>1.5459090909090909</c:v>
                </c:pt>
                <c:pt idx="12">
                  <c:v>1.5459090909090909</c:v>
                </c:pt>
              </c:numCache>
            </c:numRef>
          </c:yVal>
          <c:smooth val="0"/>
          <c:extLst>
            <c:ext xmlns:c16="http://schemas.microsoft.com/office/drawing/2014/chart" uri="{C3380CC4-5D6E-409C-BE32-E72D297353CC}">
              <c16:uniqueId val="{00000002-9D86-49AA-8269-9F04F1415942}"/>
            </c:ext>
          </c:extLst>
        </c:ser>
        <c:dLbls>
          <c:showLegendKey val="0"/>
          <c:showVal val="0"/>
          <c:showCatName val="0"/>
          <c:showSerName val="0"/>
          <c:showPercent val="0"/>
          <c:showBubbleSize val="0"/>
        </c:dLbls>
        <c:axId val="544624672"/>
        <c:axId val="544625656"/>
      </c:scatterChart>
      <c:valAx>
        <c:axId val="544624672"/>
        <c:scaling>
          <c:orientation val="minMax"/>
          <c:max val="3"/>
          <c:min val="0"/>
        </c:scaling>
        <c:delete val="0"/>
        <c:axPos val="b"/>
        <c:majorGridlines>
          <c:spPr>
            <a:ln w="6350" cap="flat" cmpd="sng" algn="ctr">
              <a:solidFill>
                <a:schemeClr val="bg1">
                  <a:lumMod val="50000"/>
                </a:schemeClr>
              </a:solidFill>
              <a:round/>
            </a:ln>
            <a:effectLst/>
          </c:spPr>
        </c:majorGridlines>
        <c:numFmt formatCode="#,##0.0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544625656"/>
        <c:crosses val="autoZero"/>
        <c:crossBetween val="midCat"/>
      </c:valAx>
      <c:valAx>
        <c:axId val="544625656"/>
        <c:scaling>
          <c:orientation val="minMax"/>
          <c:max val="1.8"/>
          <c:min val="0"/>
        </c:scaling>
        <c:delete val="0"/>
        <c:axPos val="l"/>
        <c:majorGridlines>
          <c:spPr>
            <a:ln w="6350" cap="flat" cmpd="sng" algn="ctr">
              <a:solidFill>
                <a:schemeClr val="bg1">
                  <a:lumMod val="50000"/>
                </a:schemeClr>
              </a:solidFill>
              <a:round/>
            </a:ln>
            <a:effectLst/>
          </c:spPr>
        </c:majorGridlines>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544624672"/>
        <c:crosses val="autoZero"/>
        <c:crossBetween val="midCat"/>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2.gif"/><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hyperlink" Target="http://www.abbottaerospace.com/technical-library/donate/" TargetMode="External"/><Relationship Id="rId5" Type="http://schemas.openxmlformats.org/officeDocument/2006/relationships/image" Target="../media/image1.png"/><Relationship Id="rId4" Type="http://schemas.openxmlformats.org/officeDocument/2006/relationships/hyperlink" Target="http://www.abbottaerospace.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112</xdr:row>
          <xdr:rowOff>0</xdr:rowOff>
        </xdr:from>
        <xdr:to>
          <xdr:col>5</xdr:col>
          <xdr:colOff>99060</xdr:colOff>
          <xdr:row>112</xdr:row>
          <xdr:rowOff>0</xdr:rowOff>
        </xdr:to>
        <xdr:sp macro="" textlink="">
          <xdr:nvSpPr>
            <xdr:cNvPr id="152928" name="Object 352" hidden="1">
              <a:extLst>
                <a:ext uri="{63B3BB69-23CF-44E3-9099-C40C66FF867C}">
                  <a14:compatExt spid="_x0000_s152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533400</xdr:colOff>
      <xdr:row>95</xdr:row>
      <xdr:rowOff>142875</xdr:rowOff>
    </xdr:from>
    <xdr:to>
      <xdr:col>33</xdr:col>
      <xdr:colOff>333375</xdr:colOff>
      <xdr:row>95</xdr:row>
      <xdr:rowOff>142875</xdr:rowOff>
    </xdr:to>
    <xdr:sp macro="" textlink="">
      <xdr:nvSpPr>
        <xdr:cNvPr id="79" name="Line 422"/>
        <xdr:cNvSpPr>
          <a:spLocks noChangeShapeType="1"/>
        </xdr:cNvSpPr>
      </xdr:nvSpPr>
      <xdr:spPr bwMode="auto">
        <a:xfrm flipH="1">
          <a:off x="12168809" y="26309292"/>
          <a:ext cx="3537088" cy="0"/>
        </a:xfrm>
        <a:prstGeom prst="line">
          <a:avLst/>
        </a:prstGeom>
        <a:noFill/>
        <a:ln w="9525">
          <a:solidFill>
            <a:srgbClr val="3366FF"/>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76200</xdr:colOff>
          <xdr:row>78</xdr:row>
          <xdr:rowOff>152400</xdr:rowOff>
        </xdr:from>
        <xdr:to>
          <xdr:col>5</xdr:col>
          <xdr:colOff>99060</xdr:colOff>
          <xdr:row>78</xdr:row>
          <xdr:rowOff>152400</xdr:rowOff>
        </xdr:to>
        <xdr:sp macro="" textlink="">
          <xdr:nvSpPr>
            <xdr:cNvPr id="152929" name="Object 353" hidden="1">
              <a:extLst>
                <a:ext uri="{63B3BB69-23CF-44E3-9099-C40C66FF867C}">
                  <a14:compatExt spid="_x0000_s152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21770</xdr:colOff>
      <xdr:row>82</xdr:row>
      <xdr:rowOff>43541</xdr:rowOff>
    </xdr:from>
    <xdr:to>
      <xdr:col>10</xdr:col>
      <xdr:colOff>21770</xdr:colOff>
      <xdr:row>100</xdr:row>
      <xdr:rowOff>43542</xdr:rowOff>
    </xdr:to>
    <xdr:graphicFrame macro="">
      <xdr:nvGraphicFramePr>
        <xdr:cNvPr id="8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287640</xdr:colOff>
      <xdr:row>17</xdr:row>
      <xdr:rowOff>45461</xdr:rowOff>
    </xdr:from>
    <xdr:to>
      <xdr:col>5</xdr:col>
      <xdr:colOff>67642</xdr:colOff>
      <xdr:row>24</xdr:row>
      <xdr:rowOff>17289</xdr:rowOff>
    </xdr:to>
    <xdr:grpSp>
      <xdr:nvGrpSpPr>
        <xdr:cNvPr id="36" name="Group 35"/>
        <xdr:cNvGrpSpPr/>
      </xdr:nvGrpSpPr>
      <xdr:grpSpPr>
        <a:xfrm>
          <a:off x="287640" y="3107316"/>
          <a:ext cx="2897275" cy="1288009"/>
          <a:chOff x="1306286" y="737667"/>
          <a:chExt cx="7891502" cy="3442447"/>
        </a:xfrm>
      </xdr:grpSpPr>
      <xdr:grpSp>
        <xdr:nvGrpSpPr>
          <xdr:cNvPr id="37" name="Group 36"/>
          <xdr:cNvGrpSpPr/>
        </xdr:nvGrpSpPr>
        <xdr:grpSpPr>
          <a:xfrm>
            <a:off x="2612571" y="1306286"/>
            <a:ext cx="5486400" cy="2612572"/>
            <a:chOff x="2599765" y="1299882"/>
            <a:chExt cx="5459506" cy="2599766"/>
          </a:xfrm>
        </xdr:grpSpPr>
        <xdr:cxnSp macro="">
          <xdr:nvCxnSpPr>
            <xdr:cNvPr id="56" name="Straight Connector 55"/>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 name="Straight Connector 56"/>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8" name="Straight Connector 57"/>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9" name="Straight Connector 58"/>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0" name="Straight Connector 59"/>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2" name="Straight Connector 81"/>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3" name="Straight Connector 82"/>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4" name="Straight Connector 83"/>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5" name="Straight Connector 84"/>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8" name="Straight Connector 37"/>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 name="Straight Connector 38"/>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 name="Straight Connector 39"/>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1" name="Straight Connector 40"/>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2" name="Straight Connector 41"/>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43" name="Straight Connector 42"/>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44" name="TextBox 43"/>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45" name="TextBox 44"/>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46" name="TextBox 45"/>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47" name="Straight Connector 46"/>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55" name="Straight Connector 54"/>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251011</xdr:colOff>
      <xdr:row>27</xdr:row>
      <xdr:rowOff>0</xdr:rowOff>
    </xdr:from>
    <xdr:to>
      <xdr:col>10</xdr:col>
      <xdr:colOff>564777</xdr:colOff>
      <xdr:row>44</xdr:row>
      <xdr:rowOff>54429</xdr:rowOff>
    </xdr:to>
    <xdr:grpSp>
      <xdr:nvGrpSpPr>
        <xdr:cNvPr id="86" name="Group 85"/>
        <xdr:cNvGrpSpPr/>
      </xdr:nvGrpSpPr>
      <xdr:grpSpPr>
        <a:xfrm>
          <a:off x="2744829" y="4932218"/>
          <a:ext cx="4054493" cy="3116284"/>
          <a:chOff x="1248940" y="5421201"/>
          <a:chExt cx="4952294" cy="3105463"/>
        </a:xfrm>
      </xdr:grpSpPr>
      <xdr:graphicFrame macro="">
        <xdr:nvGraphicFramePr>
          <xdr:cNvPr id="87" name="Chart 319"/>
          <xdr:cNvGraphicFramePr>
            <a:graphicFrameLocks/>
          </xdr:cNvGraphicFramePr>
        </xdr:nvGraphicFramePr>
        <xdr:xfrm>
          <a:off x="1248940" y="5421201"/>
          <a:ext cx="4841996" cy="3105463"/>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88" name="TextBox 87"/>
          <xdr:cNvSpPr txBox="1"/>
        </xdr:nvSpPr>
        <xdr:spPr>
          <a:xfrm>
            <a:off x="5435512" y="7973023"/>
            <a:ext cx="302519"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SS</a:t>
            </a:r>
          </a:p>
        </xdr:txBody>
      </xdr:sp>
      <xdr:sp macro="" textlink="">
        <xdr:nvSpPr>
          <xdr:cNvPr id="89" name="TextBox 88"/>
          <xdr:cNvSpPr txBox="1"/>
        </xdr:nvSpPr>
        <xdr:spPr>
          <a:xfrm>
            <a:off x="5468602" y="7006707"/>
            <a:ext cx="732632" cy="240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00"/>
              <a:t>Built-in</a:t>
            </a:r>
          </a:p>
        </xdr:txBody>
      </xdr:sp>
    </xdr:grpSp>
    <xdr:clientData/>
  </xdr:twoCellAnchor>
  <mc:AlternateContent xmlns:mc="http://schemas.openxmlformats.org/markup-compatibility/2006">
    <mc:Choice xmlns:a14="http://schemas.microsoft.com/office/drawing/2010/main" Requires="a14">
      <xdr:twoCellAnchor editAs="oneCell">
        <xdr:from>
          <xdr:col>5</xdr:col>
          <xdr:colOff>76200</xdr:colOff>
          <xdr:row>30</xdr:row>
          <xdr:rowOff>152400</xdr:rowOff>
        </xdr:from>
        <xdr:to>
          <xdr:col>5</xdr:col>
          <xdr:colOff>99060</xdr:colOff>
          <xdr:row>30</xdr:row>
          <xdr:rowOff>152400</xdr:rowOff>
        </xdr:to>
        <xdr:sp macro="" textlink="">
          <xdr:nvSpPr>
            <xdr:cNvPr id="153046" name="Object 470" hidden="1">
              <a:extLst>
                <a:ext uri="{63B3BB69-23CF-44E3-9099-C40C66FF867C}">
                  <a14:compatExt spid="_x0000_s153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315686</xdr:colOff>
      <xdr:row>26</xdr:row>
      <xdr:rowOff>174170</xdr:rowOff>
    </xdr:from>
    <xdr:to>
      <xdr:col>4</xdr:col>
      <xdr:colOff>272143</xdr:colOff>
      <xdr:row>44</xdr:row>
      <xdr:rowOff>10887</xdr:rowOff>
    </xdr:to>
    <xdr:graphicFrame macro="">
      <xdr:nvGraphicFramePr>
        <xdr:cNvPr id="90" name="Chart 8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465246</xdr:colOff>
      <xdr:row>43</xdr:row>
      <xdr:rowOff>120216</xdr:rowOff>
    </xdr:from>
    <xdr:to>
      <xdr:col>3</xdr:col>
      <xdr:colOff>130629</xdr:colOff>
      <xdr:row>46</xdr:row>
      <xdr:rowOff>54428</xdr:rowOff>
    </xdr:to>
    <mc:AlternateContent xmlns:mc="http://schemas.openxmlformats.org/markup-compatibility/2006" xmlns:a14="http://schemas.microsoft.com/office/drawing/2010/main">
      <mc:Choice Requires="a14">
        <xdr:sp macro="" textlink="">
          <xdr:nvSpPr>
            <xdr:cNvPr id="91" name="Text Box 613"/>
            <xdr:cNvSpPr txBox="1"/>
          </xdr:nvSpPr>
          <xdr:spPr>
            <a:xfrm>
              <a:off x="1082466" y="7671636"/>
              <a:ext cx="899823" cy="459992"/>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just">
                <a:spcBef>
                  <a:spcPts val="0"/>
                </a:spcBef>
                <a:spcAft>
                  <a:spcPts val="0"/>
                </a:spcAft>
              </a:pPr>
              <a14:m>
                <m:oMathPara xmlns:m="http://schemas.openxmlformats.org/officeDocument/2006/math">
                  <m:oMathParaPr>
                    <m:jc m:val="centerGroup"/>
                  </m:oMathParaPr>
                  <m:oMath xmlns:m="http://schemas.openxmlformats.org/officeDocument/2006/math">
                    <m:d>
                      <m:dPr>
                        <m:ctrlPr>
                          <a:rPr lang="en-US" sz="1200" b="0" i="1">
                            <a:effectLst/>
                            <a:latin typeface="Cambria Math" panose="02040503050406030204" pitchFamily="18" charset="0"/>
                            <a:ea typeface="Times New Roman" panose="02020603050405020304" pitchFamily="18" charset="0"/>
                            <a:cs typeface="XL-Viking"/>
                          </a:rPr>
                        </m:ctrlPr>
                      </m:dPr>
                      <m:e>
                        <m:f>
                          <m:fPr>
                            <m:ctrlPr>
                              <a:rPr lang="en-US" sz="1200" b="0" i="1">
                                <a:effectLst/>
                                <a:latin typeface="Cambria Math" panose="02040503050406030204" pitchFamily="18" charset="0"/>
                                <a:ea typeface="Times New Roman" panose="02020603050405020304" pitchFamily="18" charset="0"/>
                                <a:cs typeface="XL-Viking"/>
                              </a:rPr>
                            </m:ctrlPr>
                          </m:fPr>
                          <m:num>
                            <m:sSub>
                              <m:sSubPr>
                                <m:ctrlPr>
                                  <a:rPr lang="en-US" sz="1200" b="0" i="1">
                                    <a:effectLst/>
                                    <a:latin typeface="Cambria Math" panose="02040503050406030204" pitchFamily="18" charset="0"/>
                                    <a:ea typeface="Times New Roman" panose="02020603050405020304" pitchFamily="18" charset="0"/>
                                    <a:cs typeface="XL-Viking"/>
                                  </a:rPr>
                                </m:ctrlPr>
                              </m:sSubPr>
                              <m:e>
                                <m:r>
                                  <a:rPr lang="en-US" sz="1200" b="0" i="1">
                                    <a:effectLst/>
                                    <a:latin typeface="Cambria Math" panose="02040503050406030204" pitchFamily="18" charset="0"/>
                                    <a:ea typeface="Times New Roman" panose="02020603050405020304" pitchFamily="18" charset="0"/>
                                    <a:cs typeface="XL-Viking"/>
                                  </a:rPr>
                                  <m:t>𝑡</m:t>
                                </m:r>
                              </m:e>
                              <m:sub>
                                <m:r>
                                  <a:rPr lang="en-US" sz="1200" b="0" i="1">
                                    <a:effectLst/>
                                    <a:latin typeface="Cambria Math" panose="02040503050406030204" pitchFamily="18" charset="0"/>
                                    <a:ea typeface="Times New Roman" panose="02020603050405020304" pitchFamily="18" charset="0"/>
                                    <a:cs typeface="XL-Viking"/>
                                  </a:rPr>
                                  <m:t>𝑎</m:t>
                                </m:r>
                              </m:sub>
                            </m:sSub>
                          </m:num>
                          <m:den>
                            <m:r>
                              <a:rPr lang="en-US" sz="1200" b="0" i="1">
                                <a:effectLst/>
                                <a:latin typeface="Cambria Math" panose="02040503050406030204" pitchFamily="18" charset="0"/>
                                <a:ea typeface="Times New Roman" panose="02020603050405020304" pitchFamily="18" charset="0"/>
                                <a:cs typeface="XL-Viking"/>
                              </a:rPr>
                              <m:t>𝑡</m:t>
                            </m:r>
                          </m:den>
                        </m:f>
                      </m:e>
                    </m:d>
                    <m:r>
                      <a:rPr lang="en-US" sz="1200" b="0" i="1">
                        <a:effectLst/>
                        <a:latin typeface="Cambria Math" panose="02040503050406030204" pitchFamily="18" charset="0"/>
                        <a:ea typeface="Times New Roman" panose="02020603050405020304" pitchFamily="18" charset="0"/>
                        <a:cs typeface="XL-Viking"/>
                      </a:rPr>
                      <m:t>,</m:t>
                    </m:r>
                    <m:d>
                      <m:dPr>
                        <m:ctrlPr>
                          <a:rPr lang="en-US" sz="1200" b="0" i="1">
                            <a:effectLst/>
                            <a:latin typeface="Cambria Math" panose="02040503050406030204" pitchFamily="18" charset="0"/>
                            <a:ea typeface="Times New Roman" panose="02020603050405020304" pitchFamily="18" charset="0"/>
                            <a:cs typeface="XL-Viking"/>
                          </a:rPr>
                        </m:ctrlPr>
                      </m:dPr>
                      <m:e>
                        <m:f>
                          <m:fPr>
                            <m:ctrlPr>
                              <a:rPr lang="en-US" sz="1200" b="0" i="1">
                                <a:effectLst/>
                                <a:latin typeface="Cambria Math" panose="02040503050406030204" pitchFamily="18" charset="0"/>
                                <a:ea typeface="Times New Roman" panose="02020603050405020304" pitchFamily="18" charset="0"/>
                                <a:cs typeface="XL-Viking"/>
                              </a:rPr>
                            </m:ctrlPr>
                          </m:fPr>
                          <m:num>
                            <m:sSub>
                              <m:sSubPr>
                                <m:ctrlPr>
                                  <a:rPr lang="en-US" sz="1200" b="0" i="1">
                                    <a:effectLst/>
                                    <a:latin typeface="Cambria Math" panose="02040503050406030204" pitchFamily="18" charset="0"/>
                                    <a:ea typeface="Times New Roman" panose="02020603050405020304" pitchFamily="18" charset="0"/>
                                    <a:cs typeface="XL-Viking"/>
                                  </a:rPr>
                                </m:ctrlPr>
                              </m:sSubPr>
                              <m:e>
                                <m:r>
                                  <a:rPr lang="en-US" sz="1200" b="0" i="1">
                                    <a:effectLst/>
                                    <a:latin typeface="Cambria Math" panose="02040503050406030204" pitchFamily="18" charset="0"/>
                                    <a:ea typeface="Times New Roman" panose="02020603050405020304" pitchFamily="18" charset="0"/>
                                    <a:cs typeface="XL-Viking"/>
                                  </a:rPr>
                                  <m:t>𝑡</m:t>
                                </m:r>
                              </m:e>
                              <m:sub>
                                <m:r>
                                  <a:rPr lang="en-US" sz="1200" b="0" i="1">
                                    <a:effectLst/>
                                    <a:latin typeface="Cambria Math" panose="02040503050406030204" pitchFamily="18" charset="0"/>
                                    <a:ea typeface="Times New Roman" panose="02020603050405020304" pitchFamily="18" charset="0"/>
                                    <a:cs typeface="XL-Viking"/>
                                  </a:rPr>
                                  <m:t>𝑏</m:t>
                                </m:r>
                              </m:sub>
                            </m:sSub>
                          </m:num>
                          <m:den>
                            <m:r>
                              <a:rPr lang="en-US" sz="1200" b="0" i="1">
                                <a:effectLst/>
                                <a:latin typeface="Cambria Math" panose="02040503050406030204" pitchFamily="18" charset="0"/>
                                <a:ea typeface="Times New Roman" panose="02020603050405020304" pitchFamily="18" charset="0"/>
                                <a:cs typeface="XL-Viking"/>
                              </a:rPr>
                              <m:t>𝑡</m:t>
                            </m:r>
                          </m:den>
                        </m:f>
                      </m:e>
                    </m:d>
                  </m:oMath>
                </m:oMathPara>
              </a14:m>
              <a:endParaRPr lang="en-US" sz="1200" b="0">
                <a:effectLst/>
                <a:latin typeface="Calibri" panose="020F0502020204030204" pitchFamily="34" charset="0"/>
                <a:ea typeface="Times New Roman" panose="02020603050405020304" pitchFamily="18" charset="0"/>
                <a:cs typeface="Times New Roman" panose="02020603050405020304" pitchFamily="18" charset="0"/>
              </a:endParaRPr>
            </a:p>
          </xdr:txBody>
        </xdr:sp>
      </mc:Choice>
      <mc:Fallback xmlns="">
        <xdr:sp macro="" textlink="">
          <xdr:nvSpPr>
            <xdr:cNvPr id="91" name="Text Box 613"/>
            <xdr:cNvSpPr txBox="1"/>
          </xdr:nvSpPr>
          <xdr:spPr>
            <a:xfrm>
              <a:off x="1082466" y="7671636"/>
              <a:ext cx="899823" cy="459992"/>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just">
                <a:spcBef>
                  <a:spcPts val="0"/>
                </a:spcBef>
                <a:spcAft>
                  <a:spcPts val="0"/>
                </a:spcAft>
              </a:pPr>
              <a:r>
                <a:rPr lang="en-US" sz="1200" b="0" i="0">
                  <a:effectLst/>
                  <a:latin typeface="Cambria Math" panose="02040503050406030204" pitchFamily="18" charset="0"/>
                </a:rPr>
                <a:t>(</a:t>
              </a:r>
              <a:r>
                <a:rPr lang="en-US" sz="1200" b="0" i="0">
                  <a:effectLst/>
                  <a:latin typeface="Cambria Math" panose="02040503050406030204" pitchFamily="18" charset="0"/>
                  <a:ea typeface="Times New Roman" panose="02020603050405020304" pitchFamily="18" charset="0"/>
                  <a:cs typeface="XL-Viking"/>
                </a:rPr>
                <a:t>𝑡_𝑎/𝑡),</a:t>
              </a:r>
              <a:r>
                <a:rPr lang="en-US" sz="1200" b="0" i="0">
                  <a:effectLst/>
                  <a:latin typeface="Cambria Math" panose="02040503050406030204" pitchFamily="18" charset="0"/>
                </a:rPr>
                <a:t>(</a:t>
              </a:r>
              <a:r>
                <a:rPr lang="en-US" sz="1200" b="0" i="0">
                  <a:effectLst/>
                  <a:latin typeface="Cambria Math" panose="02040503050406030204" pitchFamily="18" charset="0"/>
                  <a:ea typeface="Times New Roman" panose="02020603050405020304" pitchFamily="18" charset="0"/>
                  <a:cs typeface="XL-Viking"/>
                </a:rPr>
                <a:t>𝑡_𝑏/𝑡)</a:t>
              </a:r>
              <a:endParaRPr lang="en-US" sz="1200" b="0">
                <a:effectLst/>
                <a:latin typeface="Calibri" panose="020F0502020204030204" pitchFamily="34" charset="0"/>
                <a:ea typeface="Times New Roman" panose="02020603050405020304" pitchFamily="18" charset="0"/>
                <a:cs typeface="Times New Roman" panose="02020603050405020304" pitchFamily="18" charset="0"/>
              </a:endParaRPr>
            </a:p>
          </xdr:txBody>
        </xdr:sp>
      </mc:Fallback>
    </mc:AlternateContent>
    <xdr:clientData/>
  </xdr:twoCellAnchor>
  <xdr:twoCellAnchor>
    <xdr:from>
      <xdr:col>0</xdr:col>
      <xdr:colOff>0</xdr:colOff>
      <xdr:row>33</xdr:row>
      <xdr:rowOff>132522</xdr:rowOff>
    </xdr:from>
    <xdr:to>
      <xdr:col>0</xdr:col>
      <xdr:colOff>364435</xdr:colOff>
      <xdr:row>36</xdr:row>
      <xdr:rowOff>76720</xdr:rowOff>
    </xdr:to>
    <mc:AlternateContent xmlns:mc="http://schemas.openxmlformats.org/markup-compatibility/2006" xmlns:a14="http://schemas.microsoft.com/office/drawing/2010/main">
      <mc:Choice Requires="a14">
        <xdr:sp macro="" textlink="">
          <xdr:nvSpPr>
            <xdr:cNvPr id="92" name="Text Box 616"/>
            <xdr:cNvSpPr txBox="1"/>
          </xdr:nvSpPr>
          <xdr:spPr>
            <a:xfrm>
              <a:off x="0" y="5931342"/>
              <a:ext cx="364435" cy="469978"/>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just">
                <a:spcBef>
                  <a:spcPts val="0"/>
                </a:spcBef>
                <a:spcAft>
                  <a:spcPts val="0"/>
                </a:spcAft>
              </a:pPr>
              <a14:m>
                <m:oMathPara xmlns:m="http://schemas.openxmlformats.org/officeDocument/2006/math">
                  <m:oMathParaPr>
                    <m:jc m:val="centerGroup"/>
                  </m:oMathParaPr>
                  <m:oMath xmlns:m="http://schemas.openxmlformats.org/officeDocument/2006/math">
                    <m:d>
                      <m:dPr>
                        <m:begChr m:val=""/>
                        <m:endChr m:val=""/>
                        <m:ctrlPr>
                          <a:rPr lang="en-US" sz="1200" b="0" i="1">
                            <a:effectLst/>
                            <a:latin typeface="Cambria Math" panose="02040503050406030204" pitchFamily="18" charset="0"/>
                            <a:ea typeface="Times New Roman" panose="02020603050405020304" pitchFamily="18" charset="0"/>
                            <a:cs typeface="XL-Viking"/>
                          </a:rPr>
                        </m:ctrlPr>
                      </m:dPr>
                      <m:e>
                        <m:sSub>
                          <m:sSubPr>
                            <m:ctrlPr>
                              <a:rPr lang="en-US" sz="1200" b="0" i="1">
                                <a:effectLst/>
                                <a:latin typeface="Cambria Math" panose="02040503050406030204" pitchFamily="18" charset="0"/>
                                <a:ea typeface="Times New Roman" panose="02020603050405020304" pitchFamily="18" charset="0"/>
                                <a:cs typeface="XL-Viking"/>
                              </a:rPr>
                            </m:ctrlPr>
                          </m:sSubPr>
                          <m:e>
                            <m:r>
                              <m:rPr>
                                <m:sty m:val="p"/>
                              </m:rPr>
                              <a:rPr lang="en-US" sz="1200" b="0" i="0">
                                <a:effectLst/>
                                <a:latin typeface="Cambria Math" panose="02040503050406030204" pitchFamily="18" charset="0"/>
                                <a:ea typeface="Times New Roman" panose="02020603050405020304" pitchFamily="18" charset="0"/>
                                <a:cs typeface="XL-Viking"/>
                              </a:rPr>
                              <m:t>R</m:t>
                            </m:r>
                          </m:e>
                          <m:sub>
                            <m:r>
                              <m:rPr>
                                <m:sty m:val="p"/>
                              </m:rPr>
                              <a:rPr lang="en-US" sz="1200" b="0" i="0">
                                <a:effectLst/>
                                <a:latin typeface="Cambria Math" panose="02040503050406030204" pitchFamily="18" charset="0"/>
                                <a:ea typeface="Times New Roman" panose="02020603050405020304" pitchFamily="18" charset="0"/>
                                <a:cs typeface="XL-Viking"/>
                              </a:rPr>
                              <m:t>a</m:t>
                            </m:r>
                          </m:sub>
                        </m:sSub>
                      </m:e>
                    </m:d>
                    <m:r>
                      <a:rPr lang="en-US" sz="1200" b="0" i="0">
                        <a:effectLst/>
                        <a:latin typeface="Cambria Math" panose="02040503050406030204" pitchFamily="18" charset="0"/>
                        <a:ea typeface="Times New Roman" panose="02020603050405020304" pitchFamily="18" charset="0"/>
                        <a:cs typeface="XL-Viking"/>
                      </a:rPr>
                      <m:t>,</m:t>
                    </m:r>
                  </m:oMath>
                </m:oMathPara>
              </a14:m>
              <a:endParaRPr lang="en-US" sz="1200" b="0" i="0">
                <a:effectLst/>
                <a:latin typeface="+mn-lt"/>
                <a:ea typeface="Times New Roman" panose="02020603050405020304" pitchFamily="18" charset="0"/>
                <a:cs typeface="XL-Viking"/>
              </a:endParaRPr>
            </a:p>
            <a:p>
              <a:pPr marL="0" marR="0" algn="just">
                <a:spcBef>
                  <a:spcPts val="0"/>
                </a:spcBef>
                <a:spcAft>
                  <a:spcPts val="0"/>
                </a:spcAft>
              </a:pPr>
              <a14:m>
                <m:oMathPara xmlns:m="http://schemas.openxmlformats.org/officeDocument/2006/math">
                  <m:oMathParaPr>
                    <m:jc m:val="centerGroup"/>
                  </m:oMathParaPr>
                  <m:oMath xmlns:m="http://schemas.openxmlformats.org/officeDocument/2006/math">
                    <m:d>
                      <m:dPr>
                        <m:begChr m:val=""/>
                        <m:endChr m:val=""/>
                        <m:ctrlPr>
                          <a:rPr lang="en-US" sz="1200" b="0" i="1">
                            <a:effectLst/>
                            <a:latin typeface="Cambria Math" panose="02040503050406030204" pitchFamily="18" charset="0"/>
                            <a:ea typeface="Times New Roman" panose="02020603050405020304" pitchFamily="18" charset="0"/>
                            <a:cs typeface="XL-Viking"/>
                          </a:rPr>
                        </m:ctrlPr>
                      </m:dPr>
                      <m:e>
                        <m:sSub>
                          <m:sSubPr>
                            <m:ctrlPr>
                              <a:rPr lang="en-US" sz="1200" b="0" i="1">
                                <a:effectLst/>
                                <a:latin typeface="Cambria Math" panose="02040503050406030204" pitchFamily="18" charset="0"/>
                                <a:ea typeface="Times New Roman" panose="02020603050405020304" pitchFamily="18" charset="0"/>
                                <a:cs typeface="XL-Viking"/>
                              </a:rPr>
                            </m:ctrlPr>
                          </m:sSubPr>
                          <m:e>
                            <m:r>
                              <m:rPr>
                                <m:sty m:val="p"/>
                              </m:rPr>
                              <a:rPr lang="en-US" sz="1200" b="0" i="0">
                                <a:effectLst/>
                                <a:latin typeface="Cambria Math" panose="02040503050406030204" pitchFamily="18" charset="0"/>
                                <a:ea typeface="Times New Roman" panose="02020603050405020304" pitchFamily="18" charset="0"/>
                                <a:cs typeface="XL-Viking"/>
                              </a:rPr>
                              <m:t>R</m:t>
                            </m:r>
                          </m:e>
                          <m:sub>
                            <m:r>
                              <m:rPr>
                                <m:sty m:val="p"/>
                              </m:rPr>
                              <a:rPr lang="en-US" sz="1200" b="0" i="0">
                                <a:effectLst/>
                                <a:latin typeface="Cambria Math" panose="02040503050406030204" pitchFamily="18" charset="0"/>
                                <a:ea typeface="Times New Roman" panose="02020603050405020304" pitchFamily="18" charset="0"/>
                                <a:cs typeface="XL-Viking"/>
                              </a:rPr>
                              <m:t>b</m:t>
                            </m:r>
                          </m:sub>
                        </m:sSub>
                      </m:e>
                    </m:d>
                  </m:oMath>
                </m:oMathPara>
              </a14:m>
              <a:endParaRPr lang="en-US" sz="1200" b="0" i="0">
                <a:effectLst/>
                <a:latin typeface="+mn-lt"/>
                <a:ea typeface="Times New Roman" panose="02020603050405020304" pitchFamily="18" charset="0"/>
                <a:cs typeface="Times New Roman" panose="02020603050405020304" pitchFamily="18" charset="0"/>
              </a:endParaRPr>
            </a:p>
          </xdr:txBody>
        </xdr:sp>
      </mc:Choice>
      <mc:Fallback xmlns="">
        <xdr:sp macro="" textlink="">
          <xdr:nvSpPr>
            <xdr:cNvPr id="92" name="Text Box 616"/>
            <xdr:cNvSpPr txBox="1"/>
          </xdr:nvSpPr>
          <xdr:spPr>
            <a:xfrm>
              <a:off x="0" y="5931342"/>
              <a:ext cx="364435" cy="469978"/>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just">
                <a:spcBef>
                  <a:spcPts val="0"/>
                </a:spcBef>
                <a:spcAft>
                  <a:spcPts val="0"/>
                </a:spcAft>
              </a:pPr>
              <a:r>
                <a:rPr lang="en-US" sz="1200" b="0" i="0">
                  <a:effectLst/>
                  <a:latin typeface="+mn-lt"/>
                </a:rPr>
                <a:t>├ </a:t>
              </a:r>
              <a:r>
                <a:rPr lang="en-US" sz="1200" b="0" i="0">
                  <a:effectLst/>
                  <a:latin typeface="+mn-lt"/>
                  <a:ea typeface="Times New Roman" panose="02020603050405020304" pitchFamily="18" charset="0"/>
                  <a:cs typeface="XL-Viking"/>
                </a:rPr>
                <a:t>R_a ┤,</a:t>
              </a:r>
            </a:p>
            <a:p>
              <a:pPr marL="0" marR="0" algn="just">
                <a:spcBef>
                  <a:spcPts val="0"/>
                </a:spcBef>
                <a:spcAft>
                  <a:spcPts val="0"/>
                </a:spcAft>
              </a:pPr>
              <a:r>
                <a:rPr lang="en-US" sz="1200" b="0" i="0">
                  <a:effectLst/>
                  <a:latin typeface="+mn-lt"/>
                </a:rPr>
                <a:t>├ </a:t>
              </a:r>
              <a:r>
                <a:rPr lang="en-US" sz="1200" b="0" i="0">
                  <a:effectLst/>
                  <a:latin typeface="+mn-lt"/>
                  <a:ea typeface="Times New Roman" panose="02020603050405020304" pitchFamily="18" charset="0"/>
                  <a:cs typeface="XL-Viking"/>
                </a:rPr>
                <a:t>R_b ┤</a:t>
              </a:r>
              <a:endParaRPr lang="en-US" sz="1200" b="0" i="0">
                <a:effectLst/>
                <a:latin typeface="+mn-lt"/>
                <a:ea typeface="Times New Roman" panose="02020603050405020304" pitchFamily="18" charset="0"/>
                <a:cs typeface="Times New Roman" panose="02020603050405020304" pitchFamily="18" charset="0"/>
              </a:endParaRPr>
            </a:p>
          </xdr:txBody>
        </xdr:sp>
      </mc:Fallback>
    </mc:AlternateContent>
    <xdr:clientData/>
  </xdr:twoCellAnchor>
  <xdr:twoCellAnchor>
    <xdr:from>
      <xdr:col>0</xdr:col>
      <xdr:colOff>40822</xdr:colOff>
      <xdr:row>7</xdr:row>
      <xdr:rowOff>40821</xdr:rowOff>
    </xdr:from>
    <xdr:to>
      <xdr:col>4</xdr:col>
      <xdr:colOff>66675</xdr:colOff>
      <xdr:row>10</xdr:row>
      <xdr:rowOff>145236</xdr:rowOff>
    </xdr:to>
    <xdr:grpSp>
      <xdr:nvGrpSpPr>
        <xdr:cNvPr id="54" name="Group 53"/>
        <xdr:cNvGrpSpPr/>
      </xdr:nvGrpSpPr>
      <xdr:grpSpPr>
        <a:xfrm>
          <a:off x="40822" y="1301585"/>
          <a:ext cx="2519671" cy="644742"/>
          <a:chOff x="40822" y="1267641"/>
          <a:chExt cx="2570933" cy="630195"/>
        </a:xfrm>
      </xdr:grpSpPr>
      <xdr:pic>
        <xdr:nvPicPr>
          <xdr:cNvPr id="61" name="Picture 60">
            <a:hlinkClick xmlns:r="http://schemas.openxmlformats.org/officeDocument/2006/relationships" r:id="rId4"/>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2" name="Picture 61" descr="PayPal - The safer, easier way to pay online!">
            <a:hlinkClick xmlns:r="http://schemas.openxmlformats.org/officeDocument/2006/relationships" r:id="rId6"/>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59</xdr:row>
      <xdr:rowOff>40821</xdr:rowOff>
    </xdr:from>
    <xdr:to>
      <xdr:col>4</xdr:col>
      <xdr:colOff>66675</xdr:colOff>
      <xdr:row>62</xdr:row>
      <xdr:rowOff>145236</xdr:rowOff>
    </xdr:to>
    <xdr:grpSp>
      <xdr:nvGrpSpPr>
        <xdr:cNvPr id="63" name="Group 62"/>
        <xdr:cNvGrpSpPr/>
      </xdr:nvGrpSpPr>
      <xdr:grpSpPr>
        <a:xfrm>
          <a:off x="40822" y="10805803"/>
          <a:ext cx="2519671" cy="644742"/>
          <a:chOff x="40822" y="1267641"/>
          <a:chExt cx="2570933" cy="630195"/>
        </a:xfrm>
      </xdr:grpSpPr>
      <xdr:pic>
        <xdr:nvPicPr>
          <xdr:cNvPr id="64" name="Picture 63">
            <a:hlinkClick xmlns:r="http://schemas.openxmlformats.org/officeDocument/2006/relationships" r:id="rId4"/>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5" name="Picture 64" descr="PayPal - The safer, easier way to pay online!">
            <a:hlinkClick xmlns:r="http://schemas.openxmlformats.org/officeDocument/2006/relationships" r:id="rId6"/>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1.bin"/><Relationship Id="rId3" Type="http://schemas.openxmlformats.org/officeDocument/2006/relationships/hyperlink" Target="http://www.abbottaerospace.com/download/naca-tn-3781-handbook-of-structural-stability-part-i-buckling-of-flat-plates" TargetMode="External"/><Relationship Id="rId7" Type="http://schemas.openxmlformats.org/officeDocument/2006/relationships/vmlDrawing" Target="../drawings/vmlDrawing2.vml"/><Relationship Id="rId12" Type="http://schemas.openxmlformats.org/officeDocument/2006/relationships/comments" Target="../comments1.xml"/><Relationship Id="rId2" Type="http://schemas.openxmlformats.org/officeDocument/2006/relationships/hyperlink" Target="http://www.xl-viking.com/" TargetMode="External"/><Relationship Id="rId1" Type="http://schemas.openxmlformats.org/officeDocument/2006/relationships/hyperlink" Target="http://www.xl-viking.com/" TargetMode="External"/><Relationship Id="rId6" Type="http://schemas.openxmlformats.org/officeDocument/2006/relationships/drawing" Target="../drawings/drawing2.xml"/><Relationship Id="rId11" Type="http://schemas.openxmlformats.org/officeDocument/2006/relationships/oleObject" Target="../embeddings/oleObject3.bin"/><Relationship Id="rId5" Type="http://schemas.openxmlformats.org/officeDocument/2006/relationships/printerSettings" Target="../printerSettings/printerSettings2.bin"/><Relationship Id="rId10" Type="http://schemas.openxmlformats.org/officeDocument/2006/relationships/oleObject" Target="../embeddings/oleObject2.bin"/><Relationship Id="rId4" Type="http://schemas.openxmlformats.org/officeDocument/2006/relationships/hyperlink" Target="http://www.abbottaerospace.com/download/naca-tn-2661-a-summary-of-diagonal-tension-part-i-methods-of-analysis" TargetMode="External"/><Relationship Id="rId9" Type="http://schemas.openxmlformats.org/officeDocument/2006/relationships/image" Target="../media/image4.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cols>
    <col min="1" max="2" width="9.109375" style="92"/>
    <col min="3" max="3" width="10.6640625" style="92" bestFit="1" customWidth="1"/>
    <col min="4" max="11" width="9.109375" style="92"/>
    <col min="12" max="12" width="5.44140625" style="75" customWidth="1"/>
    <col min="13" max="17" width="5.33203125" style="81" customWidth="1"/>
    <col min="18" max="19" width="5.33203125" style="82" customWidth="1"/>
    <col min="20" max="25" width="9.109375" style="95"/>
    <col min="26" max="16384" width="9.109375" style="92"/>
  </cols>
  <sheetData>
    <row r="1" spans="1:25" s="75" customFormat="1" ht="13.8">
      <c r="A1" s="71"/>
      <c r="B1" s="72" t="s">
        <v>11</v>
      </c>
      <c r="C1" s="73" t="s">
        <v>9</v>
      </c>
      <c r="D1" s="71"/>
      <c r="E1" s="71"/>
      <c r="F1" s="72" t="s">
        <v>24</v>
      </c>
      <c r="G1" s="74"/>
      <c r="H1" s="71"/>
      <c r="I1" s="71"/>
      <c r="J1" s="71"/>
      <c r="K1" s="71"/>
      <c r="M1" s="76"/>
      <c r="N1" s="76"/>
      <c r="O1" s="76"/>
      <c r="P1" s="76"/>
      <c r="Q1" s="76"/>
      <c r="R1" s="76"/>
      <c r="S1" s="76"/>
      <c r="T1" s="77"/>
      <c r="U1" s="77"/>
      <c r="V1" s="77"/>
      <c r="W1" s="78"/>
      <c r="X1" s="79"/>
      <c r="Y1" s="77"/>
    </row>
    <row r="2" spans="1:25" s="75" customFormat="1" ht="13.8">
      <c r="A2" s="71"/>
      <c r="B2" s="72" t="s">
        <v>12</v>
      </c>
      <c r="C2" s="73" t="s">
        <v>13</v>
      </c>
      <c r="D2" s="71"/>
      <c r="E2" s="71"/>
      <c r="F2" s="72" t="s">
        <v>14</v>
      </c>
      <c r="G2" s="73"/>
      <c r="H2" s="71"/>
      <c r="I2" s="71"/>
      <c r="J2" s="71"/>
      <c r="K2" s="71"/>
      <c r="M2" s="76"/>
      <c r="N2" s="76"/>
      <c r="O2" s="76"/>
      <c r="P2" s="76"/>
      <c r="Q2" s="76"/>
      <c r="R2" s="76"/>
      <c r="S2" s="76"/>
      <c r="T2" s="77"/>
      <c r="U2" s="77"/>
      <c r="V2" s="77"/>
      <c r="W2" s="78"/>
      <c r="X2" s="79"/>
      <c r="Y2" s="77"/>
    </row>
    <row r="3" spans="1:25" s="75" customFormat="1" ht="13.8">
      <c r="A3" s="71"/>
      <c r="B3" s="72" t="s">
        <v>0</v>
      </c>
      <c r="C3" s="80"/>
      <c r="D3" s="71"/>
      <c r="E3" s="71"/>
      <c r="F3" s="72" t="s">
        <v>1</v>
      </c>
      <c r="G3" s="73"/>
      <c r="H3" s="71"/>
      <c r="I3" s="71"/>
      <c r="J3" s="71"/>
      <c r="K3" s="71"/>
      <c r="M3" s="76"/>
      <c r="N3" s="76"/>
      <c r="O3" s="76"/>
      <c r="P3" s="76"/>
      <c r="Q3" s="76"/>
      <c r="R3" s="76"/>
      <c r="S3" s="76"/>
      <c r="T3" s="77"/>
      <c r="U3" s="77"/>
      <c r="V3" s="77"/>
      <c r="W3" s="78"/>
      <c r="X3" s="79"/>
      <c r="Y3" s="77"/>
    </row>
    <row r="4" spans="1:25" s="75" customFormat="1" ht="13.8">
      <c r="A4" s="71"/>
      <c r="B4" s="72" t="s">
        <v>27</v>
      </c>
      <c r="C4" s="74"/>
      <c r="D4" s="71"/>
      <c r="E4" s="71"/>
      <c r="F4" s="72" t="s">
        <v>28</v>
      </c>
      <c r="G4" s="73" t="s">
        <v>29</v>
      </c>
      <c r="H4" s="71"/>
      <c r="I4" s="71"/>
      <c r="J4" s="71"/>
      <c r="K4" s="71"/>
      <c r="M4" s="76"/>
      <c r="N4" s="76"/>
      <c r="O4" s="76"/>
      <c r="P4" s="76"/>
      <c r="Q4" s="81"/>
      <c r="R4" s="82"/>
      <c r="S4" s="82"/>
      <c r="T4" s="77"/>
      <c r="U4" s="77"/>
      <c r="V4" s="77"/>
      <c r="W4" s="78"/>
      <c r="X4" s="79"/>
      <c r="Y4" s="77"/>
    </row>
    <row r="5" spans="1:25" s="75" customFormat="1" ht="13.8">
      <c r="A5" s="71"/>
      <c r="B5" s="72" t="s">
        <v>30</v>
      </c>
      <c r="C5" s="74"/>
      <c r="D5" s="71"/>
      <c r="E5" s="72"/>
      <c r="F5" s="71"/>
      <c r="G5" s="71"/>
      <c r="H5" s="71"/>
      <c r="I5" s="71"/>
      <c r="J5" s="71"/>
      <c r="K5" s="71"/>
      <c r="M5" s="76"/>
      <c r="N5" s="76"/>
      <c r="O5" s="76"/>
      <c r="P5" s="76"/>
      <c r="Q5" s="81"/>
      <c r="R5" s="82"/>
      <c r="S5" s="82"/>
      <c r="T5" s="77"/>
      <c r="U5" s="77"/>
      <c r="V5" s="77"/>
      <c r="W5" s="78"/>
      <c r="X5" s="79"/>
      <c r="Y5" s="77"/>
    </row>
    <row r="6" spans="1:25" s="75" customFormat="1" ht="13.8">
      <c r="A6" s="71"/>
      <c r="B6" s="71" t="s">
        <v>15</v>
      </c>
      <c r="C6" s="83"/>
      <c r="D6" s="71"/>
      <c r="E6" s="71"/>
      <c r="F6" s="71"/>
      <c r="G6" s="71"/>
      <c r="H6" s="71"/>
      <c r="I6" s="71"/>
      <c r="J6" s="71"/>
      <c r="K6" s="71"/>
      <c r="M6" s="76"/>
      <c r="N6" s="76"/>
      <c r="O6" s="76"/>
      <c r="P6" s="76"/>
      <c r="Q6" s="81"/>
      <c r="R6" s="82"/>
      <c r="S6" s="82"/>
      <c r="T6" s="77"/>
      <c r="U6" s="77"/>
      <c r="V6" s="77"/>
      <c r="W6" s="78"/>
      <c r="X6" s="79"/>
      <c r="Y6" s="77"/>
    </row>
    <row r="7" spans="1:25" s="75" customFormat="1" ht="13.8">
      <c r="A7" s="71"/>
      <c r="B7" s="71"/>
      <c r="C7" s="71"/>
      <c r="D7" s="71"/>
      <c r="E7" s="71"/>
      <c r="F7" s="71"/>
      <c r="G7" s="71"/>
      <c r="H7" s="71"/>
      <c r="I7" s="71"/>
      <c r="J7" s="71"/>
      <c r="K7" s="71"/>
      <c r="M7" s="76"/>
      <c r="N7" s="76"/>
      <c r="O7" s="76"/>
      <c r="P7" s="76"/>
      <c r="Q7" s="81"/>
      <c r="R7" s="82"/>
      <c r="S7" s="82"/>
      <c r="T7" s="77"/>
      <c r="U7" s="77"/>
      <c r="V7" s="77"/>
      <c r="W7" s="78"/>
      <c r="X7" s="79"/>
      <c r="Y7" s="77"/>
    </row>
    <row r="8" spans="1:25" s="75" customFormat="1" ht="13.8">
      <c r="A8" s="84"/>
      <c r="E8" s="85"/>
      <c r="F8" s="86"/>
      <c r="H8" s="87"/>
      <c r="I8" s="85"/>
      <c r="J8" s="88"/>
      <c r="K8" s="89"/>
      <c r="L8" s="90"/>
      <c r="M8" s="76"/>
      <c r="N8" s="76"/>
      <c r="O8" s="76"/>
      <c r="P8" s="76"/>
      <c r="Q8" s="81"/>
      <c r="R8" s="82"/>
      <c r="S8" s="82"/>
      <c r="T8" s="77"/>
      <c r="U8" s="77"/>
      <c r="V8" s="77"/>
      <c r="W8" s="77"/>
      <c r="X8" s="77"/>
      <c r="Y8" s="77"/>
    </row>
    <row r="9" spans="1:25" s="75" customFormat="1" ht="13.8">
      <c r="E9" s="85"/>
      <c r="F9" s="87"/>
      <c r="H9" s="87"/>
      <c r="I9" s="85"/>
      <c r="J9" s="89"/>
      <c r="K9" s="89"/>
      <c r="L9" s="90"/>
      <c r="M9" s="76"/>
      <c r="N9" s="76"/>
      <c r="O9" s="76"/>
      <c r="P9" s="76"/>
      <c r="Q9" s="81"/>
      <c r="R9" s="82"/>
      <c r="S9" s="82"/>
      <c r="T9" s="77"/>
      <c r="U9" s="77"/>
      <c r="V9" s="77"/>
      <c r="W9" s="77"/>
      <c r="X9" s="77"/>
      <c r="Y9" s="77"/>
    </row>
    <row r="10" spans="1:25" s="75" customFormat="1" ht="13.8">
      <c r="E10" s="85"/>
      <c r="F10" s="87"/>
      <c r="H10" s="87"/>
      <c r="I10" s="85"/>
      <c r="J10" s="86"/>
      <c r="K10" s="87"/>
      <c r="L10" s="90"/>
      <c r="M10" s="76"/>
      <c r="N10" s="76"/>
      <c r="O10" s="76"/>
      <c r="P10" s="76"/>
      <c r="Q10" s="81"/>
      <c r="R10" s="82"/>
      <c r="S10" s="82"/>
      <c r="T10" s="77"/>
      <c r="U10" s="77"/>
      <c r="V10" s="77"/>
      <c r="W10" s="77"/>
      <c r="X10" s="77"/>
      <c r="Y10" s="77"/>
    </row>
    <row r="11" spans="1:25" s="75" customFormat="1" ht="13.8">
      <c r="E11" s="85"/>
      <c r="F11" s="87"/>
      <c r="I11" s="91"/>
      <c r="J11" s="86"/>
      <c r="M11" s="76"/>
      <c r="N11" s="76"/>
      <c r="O11" s="76"/>
      <c r="P11" s="76"/>
      <c r="Q11" s="76"/>
      <c r="R11" s="76"/>
      <c r="S11" s="76"/>
      <c r="T11" s="77"/>
      <c r="U11" s="77"/>
      <c r="V11" s="77"/>
      <c r="W11" s="77"/>
      <c r="X11" s="77"/>
      <c r="Y11" s="77"/>
    </row>
    <row r="12" spans="1:25">
      <c r="C12" s="93" t="str">
        <f>G4</f>
        <v>IMPORTANT INFORMATION</v>
      </c>
      <c r="M12" s="76"/>
      <c r="N12" s="76"/>
      <c r="O12" s="76"/>
      <c r="P12" s="76"/>
      <c r="Q12" s="94"/>
      <c r="R12" s="94"/>
      <c r="S12" s="94"/>
    </row>
    <row r="13" spans="1:25" s="75" customFormat="1" ht="13.8">
      <c r="M13" s="76"/>
      <c r="N13" s="76"/>
      <c r="O13" s="76"/>
      <c r="P13" s="76"/>
      <c r="Q13" s="76"/>
      <c r="R13" s="76"/>
      <c r="S13" s="76"/>
      <c r="T13" s="77"/>
      <c r="U13" s="77"/>
      <c r="V13" s="77"/>
      <c r="W13" s="77"/>
      <c r="X13" s="77"/>
      <c r="Y13" s="77"/>
    </row>
    <row r="14" spans="1:25" s="75" customFormat="1" ht="13.8">
      <c r="B14" s="96" t="s">
        <v>32</v>
      </c>
      <c r="M14" s="76"/>
      <c r="N14" s="76"/>
      <c r="O14" s="76"/>
      <c r="P14" s="76"/>
      <c r="Q14" s="76"/>
      <c r="R14" s="76"/>
      <c r="S14" s="76"/>
      <c r="T14" s="77"/>
      <c r="U14" s="77"/>
      <c r="V14" s="77"/>
      <c r="W14" s="77"/>
      <c r="X14" s="77"/>
      <c r="Y14" s="77"/>
    </row>
    <row r="15" spans="1:25" s="75" customFormat="1" ht="13.8">
      <c r="A15" s="97"/>
      <c r="K15" s="97"/>
      <c r="M15" s="81"/>
      <c r="N15" s="81"/>
      <c r="O15" s="81"/>
      <c r="P15" s="81"/>
      <c r="Q15" s="81"/>
      <c r="R15" s="82"/>
      <c r="S15" s="82"/>
      <c r="T15" s="77"/>
      <c r="U15" s="77"/>
      <c r="V15" s="77"/>
      <c r="W15" s="77"/>
      <c r="X15" s="77"/>
      <c r="Y15" s="77"/>
    </row>
    <row r="16" spans="1:25" s="75" customFormat="1" ht="12.75" customHeight="1">
      <c r="B16" s="145" t="s">
        <v>51</v>
      </c>
      <c r="C16" s="145"/>
      <c r="D16" s="145"/>
      <c r="E16" s="145"/>
      <c r="F16" s="145"/>
      <c r="G16" s="145"/>
      <c r="H16" s="145"/>
      <c r="I16" s="145"/>
      <c r="J16" s="145"/>
      <c r="M16" s="81"/>
      <c r="N16" s="81"/>
      <c r="O16" s="81"/>
      <c r="P16" s="81"/>
      <c r="Q16" s="81"/>
      <c r="R16" s="82"/>
      <c r="S16" s="82"/>
      <c r="T16" s="77"/>
      <c r="U16" s="77"/>
      <c r="V16" s="77"/>
      <c r="W16" s="77"/>
      <c r="X16" s="77"/>
      <c r="Y16" s="77"/>
    </row>
    <row r="17" spans="1:25" s="75" customFormat="1" ht="13.8">
      <c r="B17" s="145"/>
      <c r="C17" s="145"/>
      <c r="D17" s="145"/>
      <c r="E17" s="145"/>
      <c r="F17" s="145"/>
      <c r="G17" s="145"/>
      <c r="H17" s="145"/>
      <c r="I17" s="145"/>
      <c r="J17" s="145"/>
      <c r="M17" s="81"/>
      <c r="N17" s="81"/>
      <c r="O17" s="81"/>
      <c r="P17" s="81"/>
      <c r="Q17" s="81"/>
      <c r="R17" s="82"/>
      <c r="S17" s="82"/>
      <c r="T17" s="77"/>
      <c r="U17" s="77"/>
      <c r="V17" s="77"/>
      <c r="W17" s="77"/>
      <c r="X17" s="77"/>
      <c r="Y17" s="77"/>
    </row>
    <row r="18" spans="1:25" s="75" customFormat="1" ht="13.8">
      <c r="B18" s="145"/>
      <c r="C18" s="145"/>
      <c r="D18" s="145"/>
      <c r="E18" s="145"/>
      <c r="F18" s="145"/>
      <c r="G18" s="145"/>
      <c r="H18" s="145"/>
      <c r="I18" s="145"/>
      <c r="J18" s="145"/>
      <c r="M18" s="81"/>
      <c r="N18" s="81"/>
      <c r="O18" s="81"/>
      <c r="P18" s="81"/>
      <c r="Q18" s="81"/>
      <c r="R18" s="82"/>
      <c r="S18" s="82"/>
      <c r="T18" s="77"/>
      <c r="U18" s="77"/>
      <c r="V18" s="77"/>
      <c r="W18" s="77"/>
      <c r="X18" s="77"/>
      <c r="Y18" s="77"/>
    </row>
    <row r="19" spans="1:25" s="75" customFormat="1" ht="13.8">
      <c r="B19" s="145"/>
      <c r="C19" s="145"/>
      <c r="D19" s="145"/>
      <c r="E19" s="145"/>
      <c r="F19" s="145"/>
      <c r="G19" s="145"/>
      <c r="H19" s="145"/>
      <c r="I19" s="145"/>
      <c r="J19" s="145"/>
      <c r="M19" s="81"/>
      <c r="N19" s="81"/>
      <c r="O19" s="81"/>
      <c r="P19" s="81"/>
      <c r="Q19" s="81"/>
      <c r="R19" s="82"/>
      <c r="S19" s="82"/>
      <c r="T19" s="77"/>
      <c r="U19" s="77"/>
      <c r="V19" s="77"/>
      <c r="W19" s="77"/>
      <c r="X19" s="77"/>
      <c r="Y19" s="77"/>
    </row>
    <row r="20" spans="1:25" s="75" customFormat="1" ht="12.75" customHeight="1">
      <c r="A20" s="97"/>
      <c r="B20" s="99" t="s">
        <v>49</v>
      </c>
      <c r="C20" s="97"/>
      <c r="D20" s="97"/>
      <c r="E20" s="97"/>
      <c r="F20" s="97"/>
      <c r="G20" s="97"/>
      <c r="H20" s="97"/>
      <c r="I20" s="97"/>
      <c r="J20" s="97"/>
      <c r="K20" s="97"/>
      <c r="M20" s="81"/>
      <c r="N20" s="81"/>
      <c r="O20" s="81"/>
      <c r="P20" s="81"/>
      <c r="Q20" s="81"/>
      <c r="R20" s="82"/>
      <c r="S20" s="82"/>
      <c r="T20" s="77"/>
      <c r="U20" s="77"/>
      <c r="V20" s="77"/>
      <c r="W20" s="77"/>
      <c r="X20" s="77"/>
      <c r="Y20" s="77"/>
    </row>
    <row r="21" spans="1:25" s="75" customFormat="1" ht="13.8">
      <c r="A21" s="97"/>
      <c r="B21" s="99"/>
      <c r="C21" s="97"/>
      <c r="D21" s="97"/>
      <c r="E21" s="97"/>
      <c r="F21" s="97"/>
      <c r="G21" s="97"/>
      <c r="H21" s="97"/>
      <c r="I21" s="97"/>
      <c r="J21" s="97"/>
      <c r="K21" s="97"/>
      <c r="M21" s="81"/>
      <c r="N21" s="81"/>
      <c r="O21" s="81"/>
      <c r="P21" s="81"/>
      <c r="Q21" s="81"/>
      <c r="R21" s="82"/>
      <c r="S21" s="82"/>
      <c r="T21" s="77"/>
      <c r="U21" s="77"/>
      <c r="V21" s="77"/>
      <c r="W21" s="77"/>
      <c r="X21" s="77"/>
      <c r="Y21" s="77"/>
    </row>
    <row r="22" spans="1:25" s="75" customFormat="1" ht="13.8">
      <c r="A22" s="97"/>
      <c r="B22" s="145" t="s">
        <v>52</v>
      </c>
      <c r="C22" s="145"/>
      <c r="D22" s="145"/>
      <c r="E22" s="145"/>
      <c r="F22" s="145"/>
      <c r="G22" s="145"/>
      <c r="H22" s="145"/>
      <c r="I22" s="145"/>
      <c r="J22" s="145"/>
      <c r="K22" s="97"/>
      <c r="M22" s="81"/>
      <c r="N22" s="81"/>
      <c r="O22" s="81"/>
      <c r="P22" s="81"/>
      <c r="Q22" s="81"/>
      <c r="R22" s="82"/>
      <c r="S22" s="82"/>
      <c r="T22" s="77"/>
      <c r="U22" s="77"/>
      <c r="V22" s="77"/>
      <c r="W22" s="77"/>
      <c r="X22" s="77"/>
      <c r="Y22" s="77"/>
    </row>
    <row r="23" spans="1:25" s="75" customFormat="1" ht="13.8">
      <c r="A23" s="97"/>
      <c r="B23" s="145"/>
      <c r="C23" s="145"/>
      <c r="D23" s="145"/>
      <c r="E23" s="145"/>
      <c r="F23" s="145"/>
      <c r="G23" s="145"/>
      <c r="H23" s="145"/>
      <c r="I23" s="145"/>
      <c r="J23" s="145"/>
      <c r="K23" s="97"/>
      <c r="M23" s="81"/>
      <c r="N23" s="81"/>
      <c r="O23" s="81"/>
      <c r="P23" s="81"/>
      <c r="Q23" s="81"/>
      <c r="R23" s="82"/>
      <c r="S23" s="98"/>
      <c r="T23" s="77"/>
      <c r="U23" s="77"/>
      <c r="V23" s="77"/>
      <c r="W23" s="77"/>
      <c r="X23" s="77"/>
      <c r="Y23" s="77"/>
    </row>
    <row r="24" spans="1:25" s="75" customFormat="1" ht="13.8">
      <c r="A24" s="97"/>
      <c r="B24" s="145"/>
      <c r="C24" s="145"/>
      <c r="D24" s="145"/>
      <c r="E24" s="145"/>
      <c r="F24" s="145"/>
      <c r="G24" s="145"/>
      <c r="H24" s="145"/>
      <c r="I24" s="145"/>
      <c r="J24" s="145"/>
      <c r="K24" s="97"/>
      <c r="M24" s="81"/>
      <c r="N24" s="81"/>
      <c r="O24" s="81"/>
      <c r="P24" s="81"/>
      <c r="Q24" s="81"/>
      <c r="R24" s="82"/>
      <c r="S24" s="98"/>
      <c r="T24" s="77"/>
      <c r="U24" s="77"/>
      <c r="V24" s="77"/>
      <c r="W24" s="77"/>
      <c r="X24" s="77"/>
      <c r="Y24" s="77"/>
    </row>
    <row r="25" spans="1:25" s="75" customFormat="1" ht="12.75" customHeight="1">
      <c r="A25" s="97"/>
      <c r="B25" s="140"/>
      <c r="C25" s="140"/>
      <c r="D25" s="140"/>
      <c r="E25" s="140"/>
      <c r="F25" s="143" t="s">
        <v>120</v>
      </c>
      <c r="G25" s="140"/>
      <c r="H25" s="140"/>
      <c r="I25" s="140"/>
      <c r="J25" s="140"/>
      <c r="K25" s="97"/>
      <c r="M25" s="81"/>
      <c r="N25" s="81"/>
      <c r="O25" s="81"/>
      <c r="P25" s="81"/>
      <c r="Q25" s="81"/>
      <c r="R25" s="82"/>
      <c r="S25" s="82"/>
      <c r="T25" s="77"/>
      <c r="U25" s="77"/>
      <c r="V25" s="77"/>
      <c r="W25" s="77"/>
      <c r="X25" s="77"/>
      <c r="Y25" s="77"/>
    </row>
    <row r="26" spans="1:25" s="75" customFormat="1" ht="13.8">
      <c r="A26" s="97"/>
      <c r="B26" s="145" t="s">
        <v>53</v>
      </c>
      <c r="C26" s="145"/>
      <c r="D26" s="145"/>
      <c r="E26" s="145"/>
      <c r="F26" s="145"/>
      <c r="G26" s="145"/>
      <c r="H26" s="145"/>
      <c r="I26" s="145"/>
      <c r="J26" s="145"/>
      <c r="K26" s="97"/>
      <c r="M26" s="81"/>
      <c r="N26" s="81"/>
      <c r="O26" s="81"/>
      <c r="P26" s="81"/>
      <c r="Q26" s="81"/>
      <c r="R26" s="82"/>
      <c r="S26" s="82"/>
      <c r="T26" s="77"/>
      <c r="U26" s="77"/>
      <c r="V26" s="77"/>
      <c r="W26" s="77"/>
      <c r="X26" s="77"/>
      <c r="Y26" s="77"/>
    </row>
    <row r="27" spans="1:25" s="75" customFormat="1" ht="13.8">
      <c r="A27" s="97"/>
      <c r="B27" s="145"/>
      <c r="C27" s="145"/>
      <c r="D27" s="145"/>
      <c r="E27" s="145"/>
      <c r="F27" s="145"/>
      <c r="G27" s="145"/>
      <c r="H27" s="145"/>
      <c r="I27" s="145"/>
      <c r="J27" s="145"/>
      <c r="K27" s="97"/>
      <c r="M27" s="81"/>
      <c r="N27" s="81"/>
      <c r="O27" s="81"/>
      <c r="P27" s="81"/>
      <c r="Q27" s="81"/>
      <c r="R27" s="82"/>
      <c r="S27" s="82"/>
      <c r="T27" s="77"/>
      <c r="U27" s="77"/>
      <c r="V27" s="77"/>
      <c r="W27" s="77"/>
      <c r="X27" s="77"/>
      <c r="Y27" s="77"/>
    </row>
    <row r="28" spans="1:25" s="75" customFormat="1" ht="13.8">
      <c r="A28" s="97"/>
      <c r="B28" s="140"/>
      <c r="C28" s="140"/>
      <c r="D28" s="140"/>
      <c r="E28" s="140"/>
      <c r="F28" s="140"/>
      <c r="G28" s="140"/>
      <c r="H28" s="140"/>
      <c r="I28" s="140"/>
      <c r="J28" s="140"/>
      <c r="K28" s="97"/>
      <c r="M28" s="81"/>
      <c r="N28" s="81"/>
      <c r="O28" s="81"/>
      <c r="P28" s="81"/>
      <c r="Q28" s="81"/>
      <c r="R28" s="82"/>
      <c r="S28" s="82"/>
      <c r="T28" s="77"/>
      <c r="U28" s="77"/>
      <c r="V28" s="77"/>
      <c r="W28" s="77"/>
      <c r="X28" s="77"/>
      <c r="Y28" s="77"/>
    </row>
    <row r="29" spans="1:25" s="75" customFormat="1" ht="13.8">
      <c r="A29" s="97"/>
      <c r="B29" s="145" t="s">
        <v>54</v>
      </c>
      <c r="C29" s="145"/>
      <c r="D29" s="145"/>
      <c r="E29" s="145"/>
      <c r="F29" s="145"/>
      <c r="G29" s="145"/>
      <c r="H29" s="145"/>
      <c r="I29" s="145"/>
      <c r="J29" s="145"/>
      <c r="K29" s="97"/>
      <c r="M29" s="81"/>
      <c r="N29" s="81"/>
      <c r="O29" s="81"/>
      <c r="P29" s="81"/>
      <c r="Q29" s="81"/>
      <c r="R29" s="82"/>
      <c r="S29" s="82"/>
      <c r="T29" s="77"/>
      <c r="U29" s="77"/>
      <c r="V29" s="77"/>
      <c r="W29" s="77"/>
      <c r="X29" s="77"/>
      <c r="Y29" s="77"/>
    </row>
    <row r="30" spans="1:25" s="75" customFormat="1" ht="13.8">
      <c r="A30" s="97"/>
      <c r="B30" s="145"/>
      <c r="C30" s="145"/>
      <c r="D30" s="145"/>
      <c r="E30" s="145"/>
      <c r="F30" s="145"/>
      <c r="G30" s="145"/>
      <c r="H30" s="145"/>
      <c r="I30" s="145"/>
      <c r="J30" s="145"/>
      <c r="K30" s="97"/>
      <c r="M30" s="81"/>
      <c r="N30" s="81"/>
      <c r="O30" s="81"/>
      <c r="P30" s="81"/>
      <c r="Q30" s="81"/>
      <c r="R30" s="82"/>
      <c r="S30" s="82"/>
      <c r="T30" s="77"/>
      <c r="U30" s="77"/>
      <c r="V30" s="77"/>
      <c r="W30" s="77"/>
      <c r="X30" s="77"/>
      <c r="Y30" s="77"/>
    </row>
    <row r="31" spans="1:25" s="75" customFormat="1" ht="12.75" customHeight="1">
      <c r="A31" s="97"/>
      <c r="B31" s="145"/>
      <c r="C31" s="145"/>
      <c r="D31" s="145"/>
      <c r="E31" s="145"/>
      <c r="F31" s="145"/>
      <c r="G31" s="145"/>
      <c r="H31" s="145"/>
      <c r="I31" s="145"/>
      <c r="J31" s="145"/>
      <c r="K31" s="97"/>
      <c r="M31" s="81"/>
      <c r="N31" s="81"/>
      <c r="O31" s="81"/>
      <c r="P31" s="81"/>
      <c r="Q31" s="81"/>
      <c r="R31" s="82"/>
      <c r="S31" s="82"/>
      <c r="T31" s="77"/>
      <c r="U31" s="77"/>
      <c r="V31" s="77"/>
      <c r="W31" s="77"/>
      <c r="X31" s="77"/>
      <c r="Y31" s="77"/>
    </row>
    <row r="32" spans="1:25" s="75" customFormat="1" ht="13.8">
      <c r="A32" s="97"/>
      <c r="B32" s="145"/>
      <c r="C32" s="145"/>
      <c r="D32" s="145"/>
      <c r="E32" s="145"/>
      <c r="F32" s="145"/>
      <c r="G32" s="145"/>
      <c r="H32" s="145"/>
      <c r="I32" s="145"/>
      <c r="J32" s="145"/>
      <c r="K32" s="97"/>
      <c r="M32" s="81"/>
      <c r="N32" s="81"/>
      <c r="O32" s="81"/>
      <c r="P32" s="81"/>
      <c r="Q32" s="81"/>
      <c r="R32" s="82"/>
      <c r="S32" s="82"/>
      <c r="T32" s="77"/>
      <c r="U32" s="77"/>
      <c r="V32" s="77"/>
      <c r="W32" s="77"/>
      <c r="X32" s="77"/>
      <c r="Y32" s="77"/>
    </row>
    <row r="33" spans="1:25" s="75" customFormat="1" ht="12.75" customHeight="1">
      <c r="A33" s="97"/>
      <c r="B33" s="145"/>
      <c r="C33" s="145"/>
      <c r="D33" s="145"/>
      <c r="E33" s="145"/>
      <c r="F33" s="145"/>
      <c r="G33" s="145"/>
      <c r="H33" s="145"/>
      <c r="I33" s="145"/>
      <c r="J33" s="145"/>
      <c r="K33" s="97"/>
      <c r="M33" s="81"/>
      <c r="N33" s="81"/>
      <c r="O33" s="81"/>
      <c r="P33" s="81"/>
      <c r="Q33" s="81"/>
      <c r="R33" s="82"/>
      <c r="S33" s="82"/>
      <c r="T33" s="77"/>
      <c r="U33" s="77"/>
      <c r="V33" s="77"/>
      <c r="W33" s="77"/>
      <c r="X33" s="77"/>
      <c r="Y33" s="77"/>
    </row>
    <row r="34" spans="1:25" s="75" customFormat="1" ht="13.8">
      <c r="A34" s="97"/>
      <c r="B34" s="140"/>
      <c r="C34" s="140"/>
      <c r="D34" s="147" t="s">
        <v>33</v>
      </c>
      <c r="E34" s="147"/>
      <c r="F34" s="147"/>
      <c r="G34" s="147"/>
      <c r="H34" s="147"/>
      <c r="I34" s="140"/>
      <c r="J34" s="140"/>
      <c r="K34" s="97"/>
      <c r="M34" s="81"/>
      <c r="N34" s="81"/>
      <c r="O34" s="81"/>
      <c r="P34" s="81"/>
      <c r="Q34" s="81"/>
      <c r="R34" s="82"/>
      <c r="S34" s="98"/>
      <c r="T34" s="77"/>
      <c r="U34" s="77"/>
      <c r="V34" s="77"/>
      <c r="W34" s="77"/>
      <c r="X34" s="77"/>
      <c r="Y34" s="77"/>
    </row>
    <row r="35" spans="1:25" s="75" customFormat="1" ht="13.8">
      <c r="A35" s="97"/>
      <c r="B35" s="97"/>
      <c r="C35" s="97"/>
      <c r="I35" s="97"/>
      <c r="J35" s="97"/>
      <c r="K35" s="97"/>
      <c r="M35" s="81"/>
      <c r="N35" s="81"/>
      <c r="O35" s="81"/>
      <c r="P35" s="81"/>
      <c r="Q35" s="81"/>
      <c r="R35" s="82"/>
      <c r="S35" s="98"/>
      <c r="T35" s="77"/>
      <c r="U35" s="77"/>
      <c r="V35" s="77"/>
      <c r="W35" s="77"/>
      <c r="X35" s="77"/>
      <c r="Y35" s="77"/>
    </row>
    <row r="36" spans="1:25" s="75" customFormat="1" ht="12.75" customHeight="1">
      <c r="A36" s="97"/>
      <c r="B36" s="99" t="s">
        <v>34</v>
      </c>
      <c r="C36" s="97"/>
      <c r="D36" s="97"/>
      <c r="E36" s="97"/>
      <c r="F36" s="141"/>
      <c r="G36" s="97"/>
      <c r="H36" s="97"/>
      <c r="I36" s="97"/>
      <c r="J36" s="97"/>
      <c r="K36" s="97"/>
      <c r="M36" s="81"/>
      <c r="N36" s="81"/>
      <c r="O36" s="81"/>
      <c r="P36" s="81"/>
      <c r="Q36" s="81"/>
      <c r="R36" s="82"/>
      <c r="S36" s="82"/>
      <c r="T36" s="77"/>
      <c r="U36" s="77"/>
      <c r="V36" s="77"/>
      <c r="W36" s="77"/>
      <c r="X36" s="77"/>
      <c r="Y36" s="77"/>
    </row>
    <row r="37" spans="1:25" s="75" customFormat="1" ht="13.8">
      <c r="A37" s="97"/>
      <c r="B37" s="99"/>
      <c r="C37" s="97"/>
      <c r="D37" s="97"/>
      <c r="E37" s="97"/>
      <c r="F37" s="141"/>
      <c r="G37" s="97"/>
      <c r="H37" s="97"/>
      <c r="I37" s="97"/>
      <c r="J37" s="97"/>
      <c r="K37" s="97"/>
      <c r="M37" s="81"/>
      <c r="N37" s="81"/>
      <c r="O37" s="81"/>
      <c r="P37" s="81"/>
      <c r="Q37" s="81"/>
      <c r="R37" s="82"/>
      <c r="S37" s="82"/>
      <c r="T37" s="77"/>
      <c r="U37" s="77"/>
      <c r="V37" s="77"/>
      <c r="W37" s="77"/>
      <c r="X37" s="77"/>
      <c r="Y37" s="77"/>
    </row>
    <row r="38" spans="1:25" s="75" customFormat="1" ht="13.8">
      <c r="A38" s="97"/>
      <c r="B38" s="145" t="s">
        <v>55</v>
      </c>
      <c r="C38" s="145"/>
      <c r="D38" s="145"/>
      <c r="E38" s="145"/>
      <c r="F38" s="145"/>
      <c r="G38" s="145"/>
      <c r="H38" s="145"/>
      <c r="I38" s="145"/>
      <c r="J38" s="145"/>
      <c r="K38" s="97"/>
      <c r="M38" s="81"/>
      <c r="N38" s="81"/>
      <c r="O38" s="81"/>
      <c r="P38" s="81"/>
      <c r="Q38" s="81"/>
      <c r="R38" s="82"/>
      <c r="S38" s="82"/>
      <c r="T38" s="77"/>
      <c r="U38" s="77"/>
      <c r="V38" s="77"/>
      <c r="W38" s="77"/>
      <c r="X38" s="77"/>
      <c r="Y38" s="77"/>
    </row>
    <row r="39" spans="1:25" s="75" customFormat="1" ht="13.8">
      <c r="A39" s="97"/>
      <c r="B39" s="145"/>
      <c r="C39" s="145"/>
      <c r="D39" s="145"/>
      <c r="E39" s="145"/>
      <c r="F39" s="145"/>
      <c r="G39" s="145"/>
      <c r="H39" s="145"/>
      <c r="I39" s="145"/>
      <c r="J39" s="145"/>
      <c r="K39" s="97"/>
      <c r="M39" s="81"/>
      <c r="N39" s="81"/>
      <c r="O39" s="81"/>
      <c r="P39" s="81"/>
      <c r="Q39" s="81"/>
      <c r="R39" s="82"/>
      <c r="S39" s="82"/>
      <c r="T39" s="77"/>
      <c r="U39" s="77"/>
      <c r="V39" s="77"/>
      <c r="W39" s="77"/>
      <c r="X39" s="77"/>
      <c r="Y39" s="77"/>
    </row>
    <row r="40" spans="1:25" s="75" customFormat="1" ht="13.8">
      <c r="A40" s="97"/>
      <c r="B40" s="140"/>
      <c r="C40" s="140"/>
      <c r="D40" s="140"/>
      <c r="E40" s="140"/>
      <c r="F40" s="140"/>
      <c r="G40" s="140"/>
      <c r="H40" s="140"/>
      <c r="I40" s="140"/>
      <c r="J40" s="140"/>
      <c r="K40" s="97"/>
      <c r="M40" s="81"/>
      <c r="N40" s="81"/>
      <c r="O40" s="81"/>
      <c r="P40" s="81"/>
      <c r="Q40" s="81"/>
      <c r="R40" s="82"/>
      <c r="S40" s="82"/>
      <c r="T40" s="77"/>
      <c r="U40" s="77"/>
      <c r="V40" s="77"/>
      <c r="W40" s="77"/>
      <c r="X40" s="77"/>
      <c r="Y40" s="77"/>
    </row>
    <row r="41" spans="1:25" s="75" customFormat="1" ht="13.8">
      <c r="A41" s="97"/>
      <c r="B41" s="145" t="s">
        <v>56</v>
      </c>
      <c r="C41" s="145"/>
      <c r="D41" s="145"/>
      <c r="E41" s="145"/>
      <c r="F41" s="145"/>
      <c r="G41" s="145"/>
      <c r="H41" s="145"/>
      <c r="I41" s="145"/>
      <c r="J41" s="145"/>
      <c r="K41" s="97"/>
      <c r="M41" s="81"/>
      <c r="N41" s="81"/>
      <c r="O41" s="81"/>
      <c r="P41" s="81"/>
      <c r="Q41" s="81"/>
      <c r="R41" s="82"/>
      <c r="S41" s="82"/>
      <c r="T41" s="77"/>
      <c r="U41" s="77"/>
      <c r="V41" s="77"/>
      <c r="W41" s="77"/>
      <c r="X41" s="77"/>
      <c r="Y41" s="77"/>
    </row>
    <row r="42" spans="1:25" s="75" customFormat="1" ht="13.8">
      <c r="A42" s="97"/>
      <c r="B42" s="145"/>
      <c r="C42" s="145"/>
      <c r="D42" s="145"/>
      <c r="E42" s="145"/>
      <c r="F42" s="145"/>
      <c r="G42" s="145"/>
      <c r="H42" s="145"/>
      <c r="I42" s="145"/>
      <c r="J42" s="145"/>
      <c r="K42" s="97"/>
      <c r="M42" s="81"/>
      <c r="N42" s="81"/>
      <c r="O42" s="81"/>
      <c r="P42" s="81"/>
      <c r="Q42" s="81"/>
      <c r="R42" s="82"/>
      <c r="S42" s="82"/>
      <c r="T42" s="77"/>
      <c r="U42" s="77"/>
      <c r="V42" s="77"/>
      <c r="W42" s="77"/>
      <c r="X42" s="77"/>
      <c r="Y42" s="77"/>
    </row>
    <row r="43" spans="1:25" s="75" customFormat="1" ht="13.8">
      <c r="A43" s="97"/>
      <c r="B43" s="145"/>
      <c r="C43" s="145"/>
      <c r="D43" s="145"/>
      <c r="E43" s="145"/>
      <c r="F43" s="145"/>
      <c r="G43" s="145"/>
      <c r="H43" s="145"/>
      <c r="I43" s="145"/>
      <c r="J43" s="145"/>
      <c r="K43" s="97"/>
      <c r="M43" s="81"/>
      <c r="N43" s="81"/>
      <c r="O43" s="81"/>
      <c r="P43" s="81"/>
      <c r="Q43" s="81"/>
      <c r="R43" s="82"/>
      <c r="S43" s="82"/>
      <c r="T43" s="77"/>
      <c r="U43" s="77"/>
      <c r="V43" s="77"/>
      <c r="W43" s="77"/>
      <c r="X43" s="77"/>
      <c r="Y43" s="77"/>
    </row>
    <row r="44" spans="1:25" s="75" customFormat="1" ht="13.8">
      <c r="A44" s="97"/>
      <c r="B44" s="140"/>
      <c r="C44" s="140"/>
      <c r="D44" s="140"/>
      <c r="E44" s="140"/>
      <c r="F44" s="140"/>
      <c r="G44" s="140"/>
      <c r="H44" s="140"/>
      <c r="I44" s="140"/>
      <c r="J44" s="140"/>
      <c r="K44" s="97"/>
      <c r="M44" s="81"/>
      <c r="N44" s="81"/>
      <c r="O44" s="81"/>
      <c r="P44" s="81"/>
      <c r="Q44" s="81"/>
      <c r="R44" s="82"/>
      <c r="S44" s="82"/>
      <c r="T44" s="77"/>
      <c r="U44" s="77"/>
      <c r="V44" s="77"/>
      <c r="W44" s="77"/>
      <c r="X44" s="77"/>
      <c r="Y44" s="77"/>
    </row>
    <row r="45" spans="1:25" s="75" customFormat="1" ht="12.75" customHeight="1">
      <c r="A45" s="97"/>
      <c r="B45" s="145" t="s">
        <v>50</v>
      </c>
      <c r="C45" s="145"/>
      <c r="D45" s="145"/>
      <c r="E45" s="145"/>
      <c r="F45" s="145"/>
      <c r="G45" s="145"/>
      <c r="H45" s="145"/>
      <c r="I45" s="145"/>
      <c r="J45" s="145"/>
      <c r="K45" s="97"/>
      <c r="M45" s="81"/>
      <c r="N45" s="81"/>
      <c r="O45" s="81"/>
      <c r="P45" s="81"/>
      <c r="Q45" s="81"/>
      <c r="R45" s="82"/>
      <c r="S45" s="82"/>
      <c r="T45" s="77"/>
      <c r="U45" s="77"/>
      <c r="V45" s="77"/>
      <c r="W45" s="77"/>
      <c r="X45" s="77"/>
      <c r="Y45" s="77"/>
    </row>
    <row r="46" spans="1:25" s="75" customFormat="1" ht="13.8">
      <c r="A46" s="97"/>
      <c r="B46" s="145"/>
      <c r="C46" s="145"/>
      <c r="D46" s="145"/>
      <c r="E46" s="145"/>
      <c r="F46" s="145"/>
      <c r="G46" s="145"/>
      <c r="H46" s="145"/>
      <c r="I46" s="145"/>
      <c r="J46" s="145"/>
      <c r="K46" s="97"/>
      <c r="M46" s="81"/>
      <c r="N46" s="81"/>
      <c r="O46" s="81"/>
      <c r="P46" s="81"/>
      <c r="Q46" s="81"/>
      <c r="R46" s="82"/>
      <c r="S46" s="82"/>
      <c r="T46" s="77"/>
      <c r="U46" s="77"/>
      <c r="V46" s="77"/>
      <c r="W46" s="77"/>
      <c r="X46" s="77"/>
      <c r="Y46" s="77"/>
    </row>
    <row r="47" spans="1:25" s="75" customFormat="1" ht="13.8">
      <c r="A47" s="97"/>
      <c r="B47" s="145"/>
      <c r="C47" s="145"/>
      <c r="D47" s="145"/>
      <c r="E47" s="145"/>
      <c r="F47" s="145"/>
      <c r="G47" s="145"/>
      <c r="H47" s="145"/>
      <c r="I47" s="145"/>
      <c r="J47" s="145"/>
      <c r="K47" s="97"/>
      <c r="M47" s="81"/>
      <c r="N47" s="81"/>
      <c r="O47" s="81"/>
      <c r="P47" s="81"/>
      <c r="Q47" s="81"/>
      <c r="R47" s="82"/>
      <c r="S47" s="82"/>
      <c r="T47" s="77"/>
      <c r="U47" s="77"/>
      <c r="V47" s="77"/>
      <c r="W47" s="77"/>
      <c r="X47" s="77"/>
      <c r="Y47" s="77"/>
    </row>
    <row r="48" spans="1:25" s="75" customFormat="1" ht="12.75" customHeight="1">
      <c r="A48" s="97"/>
      <c r="B48" s="145"/>
      <c r="C48" s="145"/>
      <c r="D48" s="145"/>
      <c r="E48" s="145"/>
      <c r="F48" s="145"/>
      <c r="G48" s="145"/>
      <c r="H48" s="145"/>
      <c r="I48" s="145"/>
      <c r="J48" s="145"/>
      <c r="K48" s="97"/>
      <c r="M48" s="81"/>
      <c r="N48" s="81"/>
      <c r="O48" s="81"/>
      <c r="P48" s="81"/>
      <c r="Q48" s="81"/>
      <c r="R48" s="82"/>
      <c r="S48" s="82"/>
      <c r="T48" s="77"/>
      <c r="U48" s="77"/>
      <c r="V48" s="77"/>
      <c r="W48" s="77"/>
      <c r="X48" s="77"/>
      <c r="Y48" s="77"/>
    </row>
    <row r="49" spans="1:25" s="75" customFormat="1" ht="13.8">
      <c r="A49" s="97"/>
      <c r="B49" s="97" t="s">
        <v>57</v>
      </c>
      <c r="C49" s="97"/>
      <c r="D49" s="97"/>
      <c r="E49" s="97"/>
      <c r="F49" s="97"/>
      <c r="G49" s="97"/>
      <c r="H49" s="97"/>
      <c r="I49" s="97"/>
      <c r="J49" s="97"/>
      <c r="K49" s="97"/>
      <c r="M49" s="81"/>
      <c r="N49" s="81"/>
      <c r="O49" s="81"/>
      <c r="P49" s="81"/>
      <c r="Q49" s="81"/>
      <c r="R49" s="82"/>
      <c r="S49" s="82"/>
      <c r="T49" s="77"/>
      <c r="U49" s="77"/>
      <c r="V49" s="77"/>
      <c r="W49" s="77"/>
      <c r="X49" s="77"/>
      <c r="Y49" s="77"/>
    </row>
    <row r="50" spans="1:25" s="75" customFormat="1" ht="13.8">
      <c r="A50" s="97"/>
      <c r="B50" s="97"/>
      <c r="C50" s="97"/>
      <c r="D50" s="97"/>
      <c r="F50" s="143" t="s">
        <v>121</v>
      </c>
      <c r="G50" s="141"/>
      <c r="H50" s="97"/>
      <c r="I50" s="97"/>
      <c r="J50" s="97"/>
      <c r="K50" s="97"/>
      <c r="M50" s="81"/>
      <c r="N50" s="81"/>
      <c r="O50" s="81"/>
      <c r="P50" s="81"/>
      <c r="Q50" s="81"/>
      <c r="R50" s="82"/>
      <c r="S50" s="82"/>
      <c r="T50" s="77"/>
      <c r="U50" s="77"/>
      <c r="V50" s="77"/>
      <c r="W50" s="77"/>
      <c r="X50" s="77"/>
      <c r="Y50" s="77"/>
    </row>
    <row r="51" spans="1:25" s="75" customFormat="1" ht="13.8">
      <c r="A51" s="97"/>
      <c r="B51" s="97"/>
      <c r="C51" s="97"/>
      <c r="D51" s="97"/>
      <c r="E51" s="97"/>
      <c r="F51" s="97"/>
      <c r="G51" s="97"/>
      <c r="H51" s="97"/>
      <c r="I51" s="97"/>
      <c r="J51" s="97"/>
      <c r="K51" s="97"/>
      <c r="M51" s="81"/>
      <c r="N51" s="81"/>
      <c r="O51" s="81"/>
      <c r="P51" s="81"/>
      <c r="Q51" s="81"/>
      <c r="R51" s="82"/>
      <c r="S51" s="82"/>
      <c r="T51" s="77"/>
      <c r="U51" s="77"/>
      <c r="V51" s="77"/>
      <c r="W51" s="77"/>
      <c r="X51" s="77"/>
      <c r="Y51" s="77"/>
    </row>
    <row r="52" spans="1:25" s="75" customFormat="1" ht="12.75" customHeight="1">
      <c r="A52" s="97"/>
      <c r="B52" s="99" t="s">
        <v>58</v>
      </c>
      <c r="C52" s="97"/>
      <c r="D52" s="97"/>
      <c r="E52" s="97"/>
      <c r="F52" s="97"/>
      <c r="G52" s="97"/>
      <c r="H52" s="97"/>
      <c r="I52" s="97"/>
      <c r="J52" s="97"/>
      <c r="K52" s="97"/>
      <c r="M52" s="81"/>
      <c r="N52" s="81"/>
      <c r="O52" s="81"/>
      <c r="P52" s="81"/>
      <c r="Q52" s="81"/>
      <c r="R52" s="82"/>
      <c r="S52" s="82"/>
      <c r="T52" s="77"/>
      <c r="U52" s="77"/>
      <c r="V52" s="77"/>
      <c r="W52" s="77"/>
      <c r="X52" s="77"/>
      <c r="Y52" s="77"/>
    </row>
    <row r="53" spans="1:25" s="75" customFormat="1" ht="13.8">
      <c r="A53" s="97"/>
      <c r="B53" s="97"/>
      <c r="C53" s="97"/>
      <c r="D53" s="97"/>
      <c r="E53" s="97"/>
      <c r="F53" s="97"/>
      <c r="G53" s="97"/>
      <c r="H53" s="97"/>
      <c r="I53" s="97"/>
      <c r="J53" s="97"/>
      <c r="K53" s="97"/>
      <c r="M53" s="81"/>
      <c r="N53" s="81"/>
      <c r="O53" s="81"/>
      <c r="P53" s="81"/>
      <c r="Q53" s="81"/>
      <c r="R53" s="82"/>
      <c r="S53" s="82"/>
      <c r="T53" s="77"/>
      <c r="U53" s="77"/>
      <c r="V53" s="77"/>
      <c r="W53" s="77"/>
      <c r="X53" s="77"/>
      <c r="Y53" s="77"/>
    </row>
    <row r="54" spans="1:25" s="75" customFormat="1" ht="13.8">
      <c r="A54" s="97"/>
      <c r="B54" s="146" t="s">
        <v>59</v>
      </c>
      <c r="C54" s="146"/>
      <c r="D54" s="146"/>
      <c r="E54" s="146"/>
      <c r="F54" s="146"/>
      <c r="G54" s="146"/>
      <c r="H54" s="146"/>
      <c r="I54" s="146"/>
      <c r="J54" s="146"/>
      <c r="K54" s="97"/>
      <c r="M54" s="81"/>
      <c r="N54" s="81"/>
      <c r="O54" s="81"/>
      <c r="P54" s="81"/>
      <c r="Q54" s="81"/>
      <c r="R54" s="82"/>
      <c r="S54" s="82"/>
      <c r="T54" s="77"/>
      <c r="U54" s="77"/>
      <c r="V54" s="77"/>
      <c r="W54" s="77"/>
      <c r="X54" s="77"/>
      <c r="Y54" s="77"/>
    </row>
    <row r="55" spans="1:25" s="75" customFormat="1" ht="13.8">
      <c r="A55" s="97"/>
      <c r="B55" s="146"/>
      <c r="C55" s="146"/>
      <c r="D55" s="146"/>
      <c r="E55" s="146"/>
      <c r="F55" s="146"/>
      <c r="G55" s="146"/>
      <c r="H55" s="146"/>
      <c r="I55" s="146"/>
      <c r="J55" s="146"/>
      <c r="K55" s="97"/>
      <c r="M55" s="81"/>
      <c r="N55" s="81"/>
      <c r="O55" s="81"/>
      <c r="P55" s="81"/>
      <c r="Q55" s="81"/>
      <c r="R55" s="82"/>
      <c r="S55" s="82"/>
      <c r="T55" s="77"/>
      <c r="U55" s="77"/>
      <c r="V55" s="77"/>
      <c r="W55" s="77"/>
      <c r="X55" s="77"/>
      <c r="Y55" s="77"/>
    </row>
    <row r="56" spans="1:25" s="75" customFormat="1" ht="13.8">
      <c r="A56" s="97"/>
      <c r="B56" s="146"/>
      <c r="C56" s="146"/>
      <c r="D56" s="146"/>
      <c r="E56" s="146"/>
      <c r="F56" s="146"/>
      <c r="G56" s="146"/>
      <c r="H56" s="146"/>
      <c r="I56" s="146"/>
      <c r="J56" s="146"/>
      <c r="K56" s="97"/>
      <c r="M56" s="81"/>
      <c r="N56" s="81"/>
      <c r="O56"/>
      <c r="P56" s="81"/>
      <c r="Q56" s="81"/>
      <c r="R56" s="82"/>
      <c r="S56" s="82"/>
      <c r="T56" s="77"/>
      <c r="U56" s="77"/>
      <c r="V56" s="77"/>
      <c r="W56" s="77"/>
      <c r="X56" s="77"/>
      <c r="Y56" s="77"/>
    </row>
    <row r="57" spans="1:25" s="75" customFormat="1" ht="13.8">
      <c r="A57" s="97"/>
      <c r="B57" s="97"/>
      <c r="C57" s="97"/>
      <c r="D57" s="97"/>
      <c r="F57" s="141"/>
      <c r="G57" s="97"/>
      <c r="H57" s="97"/>
      <c r="I57" s="97"/>
      <c r="J57" s="97"/>
      <c r="K57" s="97"/>
      <c r="M57" s="81"/>
      <c r="N57" s="81"/>
      <c r="O57" s="81"/>
      <c r="P57" s="81"/>
      <c r="Q57" s="81"/>
      <c r="R57" s="82"/>
      <c r="S57" s="82"/>
      <c r="T57" s="77"/>
      <c r="U57" s="77"/>
      <c r="V57" s="77"/>
      <c r="W57" s="77"/>
      <c r="X57" s="77"/>
      <c r="Y57" s="77"/>
    </row>
    <row r="58" spans="1:25" s="75" customFormat="1" ht="13.8">
      <c r="A58" s="97"/>
      <c r="B58" s="97"/>
      <c r="C58" s="97"/>
      <c r="D58" s="97"/>
      <c r="E58" s="97"/>
      <c r="F58" s="97"/>
      <c r="G58" s="97"/>
      <c r="H58" s="97"/>
      <c r="I58" s="97"/>
      <c r="J58" s="97"/>
      <c r="K58" s="97"/>
      <c r="M58" s="81"/>
      <c r="N58" s="81"/>
      <c r="O58" s="81"/>
      <c r="P58" s="81"/>
      <c r="Q58" s="81"/>
      <c r="R58" s="82"/>
      <c r="S58" s="82"/>
      <c r="T58" s="77"/>
      <c r="U58" s="77"/>
      <c r="V58" s="77"/>
      <c r="W58" s="77"/>
      <c r="X58" s="77"/>
      <c r="Y58" s="77"/>
    </row>
    <row r="59" spans="1:25" s="75" customFormat="1" ht="13.8">
      <c r="K59" s="97"/>
      <c r="M59" s="81"/>
      <c r="N59" s="81"/>
      <c r="O59" s="144"/>
      <c r="P59" s="81"/>
      <c r="Q59" s="81"/>
      <c r="R59" s="82"/>
      <c r="S59" s="82"/>
      <c r="T59" s="77"/>
      <c r="U59" s="77"/>
      <c r="V59" s="77"/>
      <c r="W59" s="77"/>
      <c r="X59" s="77"/>
      <c r="Y59" s="77"/>
    </row>
    <row r="60" spans="1:25" s="75" customFormat="1" ht="13.8">
      <c r="A60" s="97"/>
      <c r="B60" s="97" t="s">
        <v>60</v>
      </c>
      <c r="C60" s="97"/>
      <c r="D60" s="97"/>
      <c r="E60" s="97"/>
      <c r="F60" s="97"/>
      <c r="G60" s="97"/>
      <c r="H60" s="97"/>
      <c r="I60" s="97"/>
      <c r="J60" s="97"/>
      <c r="K60" s="97"/>
      <c r="M60" s="81"/>
      <c r="N60" s="81"/>
      <c r="O60" s="81"/>
      <c r="P60" s="81"/>
      <c r="Q60" s="81"/>
      <c r="R60" s="82"/>
      <c r="S60" s="82"/>
      <c r="T60" s="77"/>
      <c r="U60" s="77"/>
      <c r="V60" s="77"/>
      <c r="W60" s="77"/>
      <c r="X60" s="77"/>
      <c r="Y60" s="77"/>
    </row>
    <row r="61" spans="1:25" s="75" customFormat="1" ht="13.8">
      <c r="A61" s="97"/>
      <c r="C61" s="97"/>
      <c r="D61" s="97"/>
      <c r="F61" s="143" t="s">
        <v>122</v>
      </c>
      <c r="G61" s="100"/>
      <c r="H61" s="97"/>
      <c r="I61" s="97"/>
      <c r="J61" s="97"/>
      <c r="K61" s="97"/>
      <c r="M61" s="81"/>
      <c r="N61" s="81"/>
      <c r="O61" s="81"/>
      <c r="P61" s="81"/>
      <c r="Q61" s="81"/>
      <c r="R61" s="82"/>
      <c r="S61" s="82"/>
      <c r="T61" s="77"/>
      <c r="U61" s="77"/>
      <c r="V61" s="77"/>
      <c r="W61" s="77"/>
      <c r="X61" s="77"/>
      <c r="Y61" s="77"/>
    </row>
    <row r="62" spans="1:25" s="75" customFormat="1" ht="13.8">
      <c r="A62" s="97"/>
      <c r="B62" s="97"/>
      <c r="C62" s="97"/>
      <c r="D62" s="97"/>
      <c r="E62" s="97"/>
      <c r="F62" s="97"/>
      <c r="G62" s="97"/>
      <c r="H62" s="97"/>
      <c r="I62" s="97"/>
      <c r="J62" s="97"/>
      <c r="K62" s="97"/>
      <c r="M62" s="81"/>
      <c r="N62" s="81"/>
      <c r="O62" s="81"/>
      <c r="P62" s="81"/>
      <c r="Q62" s="81"/>
      <c r="R62" s="82"/>
      <c r="S62" s="82"/>
      <c r="T62" s="77"/>
      <c r="U62" s="77"/>
      <c r="V62" s="77"/>
      <c r="W62" s="77"/>
      <c r="X62" s="77"/>
      <c r="Y62" s="77"/>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CM112"/>
  <sheetViews>
    <sheetView tabSelected="1" view="pageBreakPreview" zoomScale="55" zoomScaleNormal="85" zoomScaleSheetLayoutView="55" workbookViewId="0">
      <selection activeCell="G5" sqref="G5"/>
    </sheetView>
  </sheetViews>
  <sheetFormatPr defaultColWidth="9.109375" defaultRowHeight="13.8"/>
  <cols>
    <col min="1" max="11" width="9" style="3" customWidth="1"/>
    <col min="12" max="12" width="4" style="6" customWidth="1"/>
    <col min="13" max="15" width="4" style="14" customWidth="1"/>
    <col min="16" max="16" width="4" style="57" customWidth="1"/>
    <col min="17" max="20" width="4" style="14" customWidth="1"/>
    <col min="21" max="21" width="4" style="6" customWidth="1"/>
    <col min="22" max="22" width="10.5546875" style="3" bestFit="1" customWidth="1"/>
    <col min="23" max="23" width="11.5546875" style="3" bestFit="1" customWidth="1"/>
    <col min="24" max="16384" width="9.109375" style="3"/>
  </cols>
  <sheetData>
    <row r="1" spans="1:32" s="48" customFormat="1">
      <c r="A1" s="41"/>
      <c r="B1" s="42" t="s">
        <v>11</v>
      </c>
      <c r="C1" s="44" t="s">
        <v>9</v>
      </c>
      <c r="D1" s="41"/>
      <c r="E1" s="41"/>
      <c r="F1" s="42" t="s">
        <v>24</v>
      </c>
      <c r="G1" s="45">
        <f>X1</f>
        <v>2</v>
      </c>
      <c r="H1" s="41"/>
      <c r="I1" s="41"/>
      <c r="J1" s="41"/>
      <c r="K1" s="41"/>
      <c r="M1" s="59" t="s">
        <v>35</v>
      </c>
      <c r="N1" s="59" t="s">
        <v>36</v>
      </c>
      <c r="O1" s="59" t="s">
        <v>37</v>
      </c>
      <c r="P1" s="59" t="s">
        <v>37</v>
      </c>
      <c r="Q1" s="59" t="s">
        <v>37</v>
      </c>
      <c r="R1" s="59" t="s">
        <v>38</v>
      </c>
      <c r="S1" s="60" t="s">
        <v>39</v>
      </c>
      <c r="T1" s="61" t="s">
        <v>40</v>
      </c>
      <c r="W1" s="49" t="s">
        <v>41</v>
      </c>
      <c r="X1" s="50">
        <f>SUM(M:M)</f>
        <v>2</v>
      </c>
    </row>
    <row r="2" spans="1:32" s="48" customFormat="1">
      <c r="A2" s="41"/>
      <c r="B2" s="42" t="s">
        <v>12</v>
      </c>
      <c r="C2" s="44" t="s">
        <v>13</v>
      </c>
      <c r="D2" s="41"/>
      <c r="E2" s="41"/>
      <c r="F2" s="42" t="s">
        <v>14</v>
      </c>
      <c r="G2" s="44" t="s">
        <v>106</v>
      </c>
      <c r="H2" s="41"/>
      <c r="I2" s="41"/>
      <c r="J2" s="41"/>
      <c r="K2" s="41"/>
      <c r="M2" s="62" t="s">
        <v>42</v>
      </c>
      <c r="N2" s="62" t="s">
        <v>42</v>
      </c>
      <c r="O2" s="62" t="s">
        <v>36</v>
      </c>
      <c r="P2" s="62" t="s">
        <v>36</v>
      </c>
      <c r="Q2" s="62" t="s">
        <v>36</v>
      </c>
      <c r="R2" s="62" t="s">
        <v>42</v>
      </c>
      <c r="S2" s="63" t="s">
        <v>42</v>
      </c>
      <c r="T2" s="64"/>
      <c r="W2" s="49" t="s">
        <v>43</v>
      </c>
      <c r="X2" s="50">
        <f>SUM(N:N)</f>
        <v>0</v>
      </c>
    </row>
    <row r="3" spans="1:32" s="48" customFormat="1">
      <c r="A3" s="41"/>
      <c r="B3" s="42" t="s">
        <v>0</v>
      </c>
      <c r="C3" s="46" t="s">
        <v>25</v>
      </c>
      <c r="D3" s="41"/>
      <c r="E3" s="41"/>
      <c r="F3" s="42" t="s">
        <v>1</v>
      </c>
      <c r="G3" s="44" t="s">
        <v>26</v>
      </c>
      <c r="H3" s="41"/>
      <c r="I3" s="41"/>
      <c r="J3" s="41"/>
      <c r="K3" s="41"/>
      <c r="M3" s="62"/>
      <c r="N3" s="62"/>
      <c r="O3" s="62"/>
      <c r="P3" s="62"/>
      <c r="Q3" s="62"/>
      <c r="R3" s="62"/>
      <c r="S3" s="63"/>
      <c r="T3" s="64"/>
      <c r="W3" s="49" t="s">
        <v>44</v>
      </c>
      <c r="X3" s="50">
        <f>SUM(O:O)</f>
        <v>0</v>
      </c>
    </row>
    <row r="4" spans="1:32" s="48" customFormat="1">
      <c r="A4" s="41"/>
      <c r="B4" s="42" t="s">
        <v>27</v>
      </c>
      <c r="C4" s="45"/>
      <c r="D4" s="41"/>
      <c r="E4" s="41"/>
      <c r="F4" s="42" t="s">
        <v>28</v>
      </c>
      <c r="G4" s="44" t="s">
        <v>125</v>
      </c>
      <c r="H4" s="41"/>
      <c r="I4" s="41"/>
      <c r="J4" s="41"/>
      <c r="K4" s="41"/>
      <c r="M4" s="62"/>
      <c r="N4" s="62"/>
      <c r="O4" s="62"/>
      <c r="P4" s="62"/>
      <c r="Q4" s="65"/>
      <c r="R4" s="66"/>
      <c r="S4" s="67"/>
      <c r="T4" s="64"/>
      <c r="W4" s="49" t="s">
        <v>44</v>
      </c>
      <c r="X4" s="50">
        <f>SUM(P:P)</f>
        <v>0</v>
      </c>
    </row>
    <row r="5" spans="1:32" s="48" customFormat="1">
      <c r="A5" s="41"/>
      <c r="B5" s="42" t="s">
        <v>30</v>
      </c>
      <c r="C5" s="45" t="s">
        <v>45</v>
      </c>
      <c r="D5" s="41"/>
      <c r="E5" s="42"/>
      <c r="F5" s="41"/>
      <c r="G5" s="41"/>
      <c r="H5" s="41"/>
      <c r="I5" s="41"/>
      <c r="J5" s="41"/>
      <c r="K5" s="41"/>
      <c r="M5" s="62"/>
      <c r="N5" s="62"/>
      <c r="O5" s="62"/>
      <c r="P5" s="62"/>
      <c r="Q5" s="65"/>
      <c r="R5" s="66"/>
      <c r="S5" s="67"/>
      <c r="T5" s="64"/>
      <c r="W5" s="49" t="s">
        <v>44</v>
      </c>
      <c r="X5" s="50">
        <f>SUM(Q:Q)</f>
        <v>0</v>
      </c>
    </row>
    <row r="6" spans="1:32" s="48" customFormat="1">
      <c r="A6" s="41"/>
      <c r="B6" s="41" t="s">
        <v>15</v>
      </c>
      <c r="C6" s="47"/>
      <c r="D6" s="41"/>
      <c r="E6" s="41"/>
      <c r="F6" s="41"/>
      <c r="G6" s="41"/>
      <c r="H6" s="41"/>
      <c r="I6" s="41"/>
      <c r="J6" s="41"/>
      <c r="K6" s="41"/>
      <c r="M6" s="62"/>
      <c r="N6" s="62"/>
      <c r="O6" s="62"/>
      <c r="P6" s="62"/>
      <c r="Q6" s="65"/>
      <c r="R6" s="66"/>
      <c r="S6" s="67"/>
      <c r="T6" s="64"/>
      <c r="W6" s="49" t="s">
        <v>46</v>
      </c>
      <c r="X6" s="50">
        <f>SUM(R:R)</f>
        <v>0</v>
      </c>
    </row>
    <row r="7" spans="1:32" s="48" customFormat="1">
      <c r="A7" s="41"/>
      <c r="B7" s="41"/>
      <c r="C7" s="41"/>
      <c r="D7" s="41"/>
      <c r="E7" s="41"/>
      <c r="F7" s="41"/>
      <c r="G7" s="41"/>
      <c r="H7" s="41"/>
      <c r="I7" s="41"/>
      <c r="J7" s="41"/>
      <c r="K7" s="41"/>
      <c r="M7" s="62"/>
      <c r="N7" s="62"/>
      <c r="O7" s="62"/>
      <c r="P7" s="62"/>
      <c r="Q7" s="65"/>
      <c r="R7" s="66"/>
      <c r="S7" s="67"/>
      <c r="T7" s="64"/>
      <c r="W7" s="49" t="s">
        <v>47</v>
      </c>
      <c r="X7" s="50">
        <f>SUM(S:S)</f>
        <v>0</v>
      </c>
    </row>
    <row r="8" spans="1:32" s="6" customFormat="1">
      <c r="A8" s="84"/>
      <c r="B8" s="75"/>
      <c r="C8" s="75"/>
      <c r="D8" s="75"/>
      <c r="E8" s="49" t="s">
        <v>11</v>
      </c>
      <c r="F8" s="50" t="str">
        <f>$C$1</f>
        <v>R. Abbott</v>
      </c>
      <c r="G8" s="48"/>
      <c r="H8" s="51"/>
      <c r="I8" s="49" t="s">
        <v>16</v>
      </c>
      <c r="J8" s="52" t="str">
        <f>$G$2</f>
        <v>AA-SM-007-003</v>
      </c>
      <c r="K8" s="53"/>
      <c r="L8" s="68"/>
      <c r="M8" s="62"/>
      <c r="N8" s="62"/>
      <c r="O8" s="4"/>
      <c r="P8" s="56"/>
      <c r="Q8" s="14"/>
      <c r="R8" s="14"/>
      <c r="S8" s="14"/>
      <c r="T8" s="14"/>
    </row>
    <row r="9" spans="1:32" s="7" customFormat="1">
      <c r="A9" s="75"/>
      <c r="B9" s="75"/>
      <c r="C9" s="75"/>
      <c r="D9" s="75"/>
      <c r="E9" s="49" t="s">
        <v>12</v>
      </c>
      <c r="F9" s="51" t="str">
        <f>$C$2</f>
        <v xml:space="preserve"> </v>
      </c>
      <c r="G9" s="48"/>
      <c r="H9" s="51"/>
      <c r="I9" s="49" t="s">
        <v>17</v>
      </c>
      <c r="J9" s="53" t="str">
        <f>$G$3</f>
        <v>IR</v>
      </c>
      <c r="K9" s="53"/>
      <c r="L9" s="68"/>
      <c r="M9" s="62">
        <v>1</v>
      </c>
      <c r="N9" s="62"/>
      <c r="O9" s="4"/>
      <c r="P9" s="56"/>
      <c r="Q9" s="58"/>
      <c r="R9" s="58"/>
      <c r="S9" s="58"/>
      <c r="T9" s="58"/>
      <c r="X9" s="8"/>
      <c r="Y9" s="8"/>
      <c r="Z9" s="8"/>
      <c r="AA9" s="8"/>
      <c r="AB9" s="6"/>
      <c r="AC9" s="6"/>
      <c r="AD9" s="9"/>
      <c r="AE9" s="6"/>
      <c r="AF9" s="6"/>
    </row>
    <row r="10" spans="1:32" s="6" customFormat="1">
      <c r="A10" s="75"/>
      <c r="B10" s="75"/>
      <c r="C10" s="75"/>
      <c r="D10" s="75"/>
      <c r="E10" s="49" t="s">
        <v>0</v>
      </c>
      <c r="F10" s="51" t="str">
        <f>$C$3</f>
        <v>20/10/2013</v>
      </c>
      <c r="G10" s="48"/>
      <c r="H10" s="51"/>
      <c r="I10" s="49" t="s">
        <v>18</v>
      </c>
      <c r="J10" s="50" t="str">
        <f>L10&amp;" of "&amp;$G$1</f>
        <v>1 of 2</v>
      </c>
      <c r="K10" s="51"/>
      <c r="L10" s="68">
        <f>SUM($M$1:M9)</f>
        <v>1</v>
      </c>
      <c r="M10" s="62"/>
      <c r="N10" s="62"/>
      <c r="O10" s="4"/>
      <c r="P10" s="56"/>
      <c r="Q10" s="14"/>
      <c r="R10" s="14"/>
      <c r="S10" s="14"/>
      <c r="T10" s="14"/>
      <c r="X10" s="10"/>
      <c r="Y10" s="11"/>
      <c r="Z10" s="11"/>
      <c r="AA10" s="11"/>
      <c r="AB10" s="12"/>
      <c r="AC10" s="12"/>
      <c r="AD10" s="12"/>
    </row>
    <row r="11" spans="1:32">
      <c r="A11" s="75"/>
      <c r="B11" s="75"/>
      <c r="C11" s="75"/>
      <c r="D11" s="75"/>
      <c r="E11" s="49" t="s">
        <v>31</v>
      </c>
      <c r="F11" s="51" t="str">
        <f>$C$5</f>
        <v>STANDARD SPREADSHEET METHOD</v>
      </c>
      <c r="G11" s="48"/>
      <c r="H11" s="48"/>
      <c r="I11" s="54"/>
      <c r="J11" s="50"/>
      <c r="K11" s="48"/>
      <c r="L11" s="48"/>
      <c r="M11" s="62"/>
      <c r="N11" s="62"/>
      <c r="O11" s="4"/>
      <c r="P11" s="56"/>
      <c r="X11" s="10"/>
      <c r="Y11" s="11"/>
      <c r="Z11" s="11"/>
      <c r="AA11" s="11"/>
      <c r="AB11" s="12"/>
      <c r="AC11" s="12"/>
      <c r="AD11" s="12"/>
    </row>
    <row r="12" spans="1:32" ht="15.6">
      <c r="B12" s="55" t="str">
        <f>$G$4</f>
        <v>PLASTIC SHEAR BUCKLING OF FLAT ISOTROPIC PANELS</v>
      </c>
      <c r="E12" s="13"/>
      <c r="F12" s="13"/>
      <c r="G12" s="13"/>
      <c r="H12" s="13"/>
      <c r="I12" s="13"/>
      <c r="J12" s="13"/>
      <c r="K12" s="13"/>
      <c r="X12" s="10"/>
      <c r="Y12" s="11"/>
      <c r="Z12" s="11"/>
      <c r="AA12" s="11"/>
      <c r="AB12" s="12"/>
      <c r="AC12" s="12"/>
      <c r="AD12" s="12"/>
    </row>
    <row r="13" spans="1:32" ht="13.5" customHeight="1">
      <c r="A13" s="15"/>
      <c r="B13" s="142" t="s">
        <v>61</v>
      </c>
      <c r="C13" s="13"/>
      <c r="D13" s="13"/>
      <c r="E13" s="13"/>
      <c r="F13" s="13"/>
      <c r="G13" s="13"/>
      <c r="H13" s="13"/>
      <c r="I13" s="13"/>
      <c r="J13" s="13"/>
      <c r="K13" s="13"/>
      <c r="Z13" s="10"/>
      <c r="AA13" s="11"/>
      <c r="AB13" s="11"/>
      <c r="AC13" s="11"/>
      <c r="AD13" s="12"/>
    </row>
    <row r="14" spans="1:32">
      <c r="A14" s="13"/>
      <c r="B14" s="142" t="s">
        <v>68</v>
      </c>
      <c r="C14" s="18"/>
      <c r="D14" s="13"/>
      <c r="E14" s="13"/>
      <c r="F14" s="13"/>
      <c r="G14" s="13"/>
      <c r="H14" s="13"/>
      <c r="I14" s="13"/>
      <c r="J14" s="13"/>
      <c r="K14" s="13"/>
      <c r="V14" s="19" t="s">
        <v>3</v>
      </c>
      <c r="Y14" s="19" t="s">
        <v>4</v>
      </c>
      <c r="Z14" s="10"/>
      <c r="AA14" s="11"/>
      <c r="AB14" s="11"/>
      <c r="AC14" s="11"/>
      <c r="AD14" s="12"/>
    </row>
    <row r="15" spans="1:32">
      <c r="A15" s="13"/>
      <c r="B15" s="13"/>
      <c r="C15" s="13"/>
      <c r="D15" s="20"/>
      <c r="E15" s="20"/>
      <c r="F15" s="17" t="s">
        <v>20</v>
      </c>
      <c r="G15" s="24">
        <v>6</v>
      </c>
      <c r="H15" s="13" t="s">
        <v>62</v>
      </c>
      <c r="I15" s="148" t="str">
        <f>IF(G15&lt;G16,"'a' should be the larger of the two panel dimensions","")</f>
        <v/>
      </c>
      <c r="J15" s="148"/>
      <c r="K15" s="148"/>
      <c r="V15" s="21">
        <v>1</v>
      </c>
      <c r="W15" s="21">
        <f t="shared" ref="W15:W56" si="0">5.34+4/V15^2</f>
        <v>9.34</v>
      </c>
      <c r="X15" s="105">
        <f t="shared" ref="X15:X56" si="1">W15*1.62</f>
        <v>15.130800000000001</v>
      </c>
      <c r="Y15" s="21">
        <f t="shared" ref="Y15:Y56" si="2">W15*$C$51</f>
        <v>12.016120307239058</v>
      </c>
      <c r="Z15" s="10"/>
      <c r="AA15" s="11"/>
      <c r="AB15" s="11"/>
      <c r="AC15" s="11"/>
      <c r="AD15" s="12"/>
    </row>
    <row r="16" spans="1:32">
      <c r="A16" s="13"/>
      <c r="B16" s="13"/>
      <c r="C16" s="13"/>
      <c r="D16" s="13"/>
      <c r="E16" s="13"/>
      <c r="F16" s="1" t="s">
        <v>2</v>
      </c>
      <c r="G16" s="24">
        <v>5</v>
      </c>
      <c r="H16" s="13" t="s">
        <v>62</v>
      </c>
      <c r="I16" s="148"/>
      <c r="J16" s="148"/>
      <c r="K16" s="148"/>
      <c r="V16" s="21">
        <v>1.1000000000000001</v>
      </c>
      <c r="W16" s="21">
        <f t="shared" si="0"/>
        <v>8.6457851239669417</v>
      </c>
      <c r="X16" s="105">
        <f t="shared" si="1"/>
        <v>14.006171900826446</v>
      </c>
      <c r="Y16" s="21">
        <f t="shared" si="2"/>
        <v>11.122997237700698</v>
      </c>
      <c r="Z16" s="10"/>
      <c r="AA16" s="11"/>
      <c r="AB16" s="11"/>
      <c r="AC16" s="11"/>
    </row>
    <row r="17" spans="1:50">
      <c r="A17" s="13"/>
      <c r="B17" s="13"/>
      <c r="C17" s="13"/>
      <c r="D17" s="13"/>
      <c r="E17" s="13"/>
      <c r="F17" s="17" t="s">
        <v>23</v>
      </c>
      <c r="G17" s="139">
        <v>5.5E-2</v>
      </c>
      <c r="H17" s="13" t="s">
        <v>62</v>
      </c>
      <c r="I17" s="13" t="s">
        <v>123</v>
      </c>
      <c r="K17" s="13"/>
      <c r="V17" s="21">
        <v>1.2</v>
      </c>
      <c r="W17" s="21">
        <f t="shared" si="0"/>
        <v>8.1177777777777784</v>
      </c>
      <c r="X17" s="105">
        <f t="shared" si="1"/>
        <v>13.150800000000002</v>
      </c>
      <c r="Y17" s="21">
        <f t="shared" si="2"/>
        <v>10.443703897774039</v>
      </c>
      <c r="Z17" s="10"/>
      <c r="AA17" s="11"/>
      <c r="AB17" s="11"/>
      <c r="AC17" s="138">
        <v>1</v>
      </c>
      <c r="AD17" s="3">
        <v>0</v>
      </c>
      <c r="AE17" s="3">
        <v>0</v>
      </c>
      <c r="AF17" s="3">
        <v>0</v>
      </c>
    </row>
    <row r="18" spans="1:50" ht="15">
      <c r="A18" s="13"/>
      <c r="D18" s="13"/>
      <c r="E18" s="13"/>
      <c r="F18" s="17" t="s">
        <v>22</v>
      </c>
      <c r="G18" s="27">
        <v>25000</v>
      </c>
      <c r="H18" s="13" t="s">
        <v>63</v>
      </c>
      <c r="I18" s="13" t="s">
        <v>124</v>
      </c>
      <c r="V18" s="21">
        <v>1.3</v>
      </c>
      <c r="W18" s="21">
        <f t="shared" si="0"/>
        <v>7.7068639053254433</v>
      </c>
      <c r="X18" s="105">
        <f t="shared" si="1"/>
        <v>12.485119526627219</v>
      </c>
      <c r="Y18" s="21">
        <f t="shared" si="2"/>
        <v>9.9150539483842373</v>
      </c>
      <c r="Z18" s="10"/>
      <c r="AA18" s="11"/>
      <c r="AB18" s="11"/>
      <c r="AC18" s="138">
        <v>2</v>
      </c>
      <c r="AD18" s="3">
        <v>0.1</v>
      </c>
      <c r="AE18" s="3">
        <v>2.7E-2</v>
      </c>
      <c r="AF18" s="3">
        <v>0.1</v>
      </c>
    </row>
    <row r="19" spans="1:50">
      <c r="A19" s="13"/>
      <c r="B19" s="13"/>
      <c r="C19" s="13"/>
      <c r="D19" s="13"/>
      <c r="E19" s="13"/>
      <c r="F19" s="17" t="s">
        <v>21</v>
      </c>
      <c r="G19" s="26">
        <v>105000000</v>
      </c>
      <c r="H19" s="13" t="s">
        <v>63</v>
      </c>
      <c r="K19" s="13"/>
      <c r="V19" s="21">
        <v>1.4</v>
      </c>
      <c r="W19" s="21">
        <f t="shared" si="0"/>
        <v>7.3808163265306126</v>
      </c>
      <c r="X19" s="105">
        <f t="shared" si="1"/>
        <v>11.956922448979594</v>
      </c>
      <c r="Y19" s="21">
        <f t="shared" si="2"/>
        <v>9.4955863967051481</v>
      </c>
      <c r="Z19" s="10"/>
      <c r="AA19" s="22"/>
      <c r="AB19" s="6"/>
      <c r="AC19" s="138">
        <v>3</v>
      </c>
      <c r="AD19" s="3">
        <v>0.2</v>
      </c>
      <c r="AE19" s="3">
        <v>0.06</v>
      </c>
      <c r="AF19" s="3">
        <v>0.2</v>
      </c>
      <c r="AM19" s="75"/>
      <c r="AN19" s="75"/>
      <c r="AO19" s="113"/>
      <c r="AP19" s="109"/>
      <c r="AQ19" s="113"/>
      <c r="AR19" s="113"/>
      <c r="AS19" s="109"/>
      <c r="AT19" s="109"/>
      <c r="AU19" s="75"/>
      <c r="AV19" s="113"/>
      <c r="AW19" s="109"/>
    </row>
    <row r="20" spans="1:50">
      <c r="A20" s="13"/>
      <c r="B20" s="13"/>
      <c r="C20" s="13"/>
      <c r="D20" s="13"/>
      <c r="E20" s="13"/>
      <c r="F20" s="1" t="s">
        <v>19</v>
      </c>
      <c r="G20" s="26">
        <v>0.3</v>
      </c>
      <c r="H20" s="13"/>
      <c r="I20" s="115"/>
      <c r="K20" s="13"/>
      <c r="V20" s="21">
        <v>1.5</v>
      </c>
      <c r="W20" s="21">
        <f t="shared" si="0"/>
        <v>7.1177777777777775</v>
      </c>
      <c r="X20" s="105">
        <f t="shared" si="1"/>
        <v>11.530800000000001</v>
      </c>
      <c r="Y20" s="21">
        <f t="shared" si="2"/>
        <v>9.1571813809390203</v>
      </c>
      <c r="Z20" s="10"/>
      <c r="AA20" s="22"/>
      <c r="AB20" s="23"/>
      <c r="AC20" s="138">
        <v>4</v>
      </c>
      <c r="AD20" s="3">
        <v>0.3</v>
      </c>
      <c r="AE20" s="3">
        <v>0.105</v>
      </c>
      <c r="AF20" s="3">
        <v>0.3</v>
      </c>
      <c r="AL20" s="3">
        <v>1</v>
      </c>
      <c r="AM20" s="3">
        <v>2</v>
      </c>
      <c r="AN20" s="75">
        <v>1</v>
      </c>
      <c r="AO20" s="75">
        <v>2</v>
      </c>
      <c r="AP20" s="109"/>
      <c r="AQ20" s="113"/>
      <c r="AR20" s="113"/>
      <c r="AS20" s="113"/>
      <c r="AT20" s="113"/>
      <c r="AU20" s="75"/>
      <c r="AV20" s="113"/>
      <c r="AW20" s="113"/>
    </row>
    <row r="21" spans="1:50">
      <c r="E21" s="116"/>
      <c r="F21" s="17" t="s">
        <v>71</v>
      </c>
      <c r="G21" s="28">
        <f>G15/G16</f>
        <v>1.2</v>
      </c>
      <c r="H21" s="13"/>
      <c r="I21" s="3" t="s">
        <v>115</v>
      </c>
      <c r="J21" s="125"/>
      <c r="K21" s="125"/>
      <c r="V21" s="21">
        <v>1.6</v>
      </c>
      <c r="W21" s="21">
        <f t="shared" si="0"/>
        <v>6.9024999999999999</v>
      </c>
      <c r="X21" s="105">
        <f t="shared" si="1"/>
        <v>11.18205</v>
      </c>
      <c r="Y21" s="21">
        <f t="shared" si="2"/>
        <v>8.880221672453704</v>
      </c>
      <c r="Z21" s="10"/>
      <c r="AA21" s="22"/>
      <c r="AB21" s="23"/>
      <c r="AC21" s="138">
        <v>5</v>
      </c>
      <c r="AD21" s="3">
        <v>0.4</v>
      </c>
      <c r="AE21" s="3">
        <v>0.15</v>
      </c>
      <c r="AF21" s="3">
        <v>0.4</v>
      </c>
      <c r="AG21" s="3">
        <f>IF(I22="Single",1,2)</f>
        <v>1</v>
      </c>
      <c r="AH21" s="102">
        <f>IF(G24&gt;3,3,G24)</f>
        <v>1.6363636363636362</v>
      </c>
      <c r="AI21" s="3">
        <v>0</v>
      </c>
      <c r="AJ21" s="3">
        <f>MATCH(AH21,AD17:AD48)</f>
        <v>17</v>
      </c>
      <c r="AK21" s="3">
        <f>INDEX(AD17:AD48,AJ21)</f>
        <v>1.6</v>
      </c>
      <c r="AL21" s="3">
        <f>INDEX(AE17:AE48,AJ21)</f>
        <v>1.17</v>
      </c>
      <c r="AM21" s="3">
        <f>INDEX(AF17:AF48,AJ21)</f>
        <v>1.375</v>
      </c>
      <c r="AN21" s="75">
        <f>(AH21-AK21)/(AK22-AK21)*(AL22-AL21)+AL21</f>
        <v>1.1809090909090909</v>
      </c>
      <c r="AO21" s="75">
        <f>(AH21-AK21)/(AK22-AK21)*(AM22-AM21)+AM21</f>
        <v>1.3877272727272727</v>
      </c>
      <c r="AP21" s="113"/>
      <c r="AQ21" s="113"/>
      <c r="AR21" s="113"/>
      <c r="AS21" s="109"/>
      <c r="AT21" s="113"/>
      <c r="AU21" s="75"/>
      <c r="AV21" s="113"/>
      <c r="AW21" s="113"/>
    </row>
    <row r="22" spans="1:50" ht="15">
      <c r="E22" s="116"/>
      <c r="F22" s="116" t="s">
        <v>114</v>
      </c>
      <c r="G22" s="132">
        <v>0.09</v>
      </c>
      <c r="H22" s="13" t="s">
        <v>62</v>
      </c>
      <c r="I22" s="104" t="s">
        <v>113</v>
      </c>
      <c r="K22" s="115"/>
      <c r="V22" s="21">
        <v>1.7</v>
      </c>
      <c r="W22" s="21">
        <f t="shared" si="0"/>
        <v>6.7240830449826987</v>
      </c>
      <c r="X22" s="105">
        <f t="shared" si="1"/>
        <v>10.893014532871973</v>
      </c>
      <c r="Y22" s="21">
        <f t="shared" si="2"/>
        <v>8.6506842424388068</v>
      </c>
      <c r="Z22" s="10"/>
      <c r="AA22" s="6"/>
      <c r="AB22" s="23"/>
      <c r="AC22" s="138">
        <v>6</v>
      </c>
      <c r="AD22" s="3">
        <v>0.5</v>
      </c>
      <c r="AE22" s="3">
        <v>0.22</v>
      </c>
      <c r="AF22" s="3">
        <v>0.5</v>
      </c>
      <c r="AH22" s="102">
        <f>AH21</f>
        <v>1.6363636363636362</v>
      </c>
      <c r="AI22" s="3">
        <f>IF(AG21=1,AN21,AO21)</f>
        <v>1.1809090909090909</v>
      </c>
      <c r="AJ22" s="3">
        <f>AJ21+1</f>
        <v>18</v>
      </c>
      <c r="AK22" s="3">
        <f>INDEX(AD17:AD48,AJ22)</f>
        <v>1.7</v>
      </c>
      <c r="AL22" s="3">
        <f>INDEX(AE17:AE48,AJ22)</f>
        <v>1.2</v>
      </c>
      <c r="AM22" s="3">
        <f>INDEX(AF17:AF48,AJ22)</f>
        <v>1.41</v>
      </c>
      <c r="AN22" s="75"/>
      <c r="AO22" s="75"/>
      <c r="AP22" s="113"/>
      <c r="AQ22" s="109"/>
      <c r="AR22" s="109"/>
      <c r="AS22" s="109"/>
      <c r="AT22" s="109"/>
      <c r="AU22" s="75"/>
      <c r="AV22" s="121"/>
      <c r="AW22" s="122"/>
    </row>
    <row r="23" spans="1:50" ht="15">
      <c r="A23" s="13"/>
      <c r="E23" s="116"/>
      <c r="F23" s="43" t="s">
        <v>112</v>
      </c>
      <c r="G23" s="104">
        <v>0.125</v>
      </c>
      <c r="H23" s="13" t="s">
        <v>62</v>
      </c>
      <c r="I23" s="104" t="s">
        <v>111</v>
      </c>
      <c r="K23" s="97"/>
      <c r="V23" s="21">
        <v>1.8</v>
      </c>
      <c r="W23" s="21">
        <f t="shared" si="0"/>
        <v>6.5745679012345679</v>
      </c>
      <c r="X23" s="105">
        <f t="shared" si="1"/>
        <v>10.6508</v>
      </c>
      <c r="Y23" s="21">
        <f t="shared" si="2"/>
        <v>8.4583296433990114</v>
      </c>
      <c r="Z23" s="10"/>
      <c r="AA23" s="22"/>
      <c r="AB23" s="23"/>
      <c r="AC23" s="138">
        <v>7</v>
      </c>
      <c r="AD23" s="3">
        <v>0.6</v>
      </c>
      <c r="AE23" s="3">
        <v>0.3</v>
      </c>
      <c r="AF23" s="3">
        <v>0.6</v>
      </c>
      <c r="AM23" s="75"/>
      <c r="AN23" s="75"/>
      <c r="AO23" s="113"/>
      <c r="AP23" s="113"/>
      <c r="AQ23" s="113"/>
      <c r="AR23" s="113"/>
      <c r="AS23" s="109"/>
      <c r="AT23" s="113"/>
      <c r="AU23" s="75"/>
      <c r="AV23" s="113"/>
      <c r="AW23" s="113"/>
    </row>
    <row r="24" spans="1:50" ht="15">
      <c r="A24" s="13"/>
      <c r="F24" s="116" t="s">
        <v>110</v>
      </c>
      <c r="G24" s="102">
        <f>G22/G17</f>
        <v>1.6363636363636362</v>
      </c>
      <c r="K24" s="115"/>
      <c r="V24" s="21">
        <v>1.9</v>
      </c>
      <c r="W24" s="21">
        <f t="shared" si="0"/>
        <v>6.4480332409972299</v>
      </c>
      <c r="X24" s="105">
        <f t="shared" si="1"/>
        <v>10.445813850415513</v>
      </c>
      <c r="Y24" s="21">
        <f t="shared" si="2"/>
        <v>8.2955399538436083</v>
      </c>
      <c r="Z24" s="10"/>
      <c r="AC24" s="138">
        <v>8</v>
      </c>
      <c r="AD24" s="3">
        <v>0.7</v>
      </c>
      <c r="AE24" s="3">
        <v>0.4</v>
      </c>
      <c r="AF24" s="3">
        <v>0.7</v>
      </c>
      <c r="AH24" s="102">
        <f>AH22</f>
        <v>1.6363636363636362</v>
      </c>
      <c r="AI24" s="3">
        <f>AI22</f>
        <v>1.1809090909090909</v>
      </c>
      <c r="AM24" s="75"/>
      <c r="AN24" s="75"/>
      <c r="AO24" s="110"/>
      <c r="AP24" s="112"/>
      <c r="AQ24" s="111"/>
      <c r="AR24" s="110"/>
      <c r="AS24" s="112"/>
      <c r="AT24" s="110"/>
      <c r="AU24" s="75"/>
      <c r="AV24" s="110"/>
      <c r="AW24" s="112"/>
    </row>
    <row r="25" spans="1:50" ht="15">
      <c r="A25" s="13"/>
      <c r="F25" s="43" t="s">
        <v>109</v>
      </c>
      <c r="G25" s="102">
        <f>G23/G17</f>
        <v>2.2727272727272729</v>
      </c>
      <c r="H25" s="125"/>
      <c r="J25" s="124"/>
      <c r="K25" s="115"/>
      <c r="V25" s="21">
        <v>2</v>
      </c>
      <c r="W25" s="21">
        <f t="shared" si="0"/>
        <v>6.34</v>
      </c>
      <c r="X25" s="105">
        <f t="shared" si="1"/>
        <v>10.270800000000001</v>
      </c>
      <c r="Y25" s="21">
        <f t="shared" si="2"/>
        <v>8.1565527567340066</v>
      </c>
      <c r="Z25" s="10">
        <f>MATCH(G21,V15:V56)</f>
        <v>3</v>
      </c>
      <c r="AA25" s="102">
        <f>INDEX(V15:V56,Z25)</f>
        <v>1.2</v>
      </c>
      <c r="AB25" s="3">
        <f>INDEX(Y15:Y56,Z25)</f>
        <v>10.443703897774039</v>
      </c>
      <c r="AC25" s="138">
        <v>9</v>
      </c>
      <c r="AD25" s="3">
        <v>0.8</v>
      </c>
      <c r="AE25" s="3">
        <v>0.49</v>
      </c>
      <c r="AF25" s="3">
        <v>0.8</v>
      </c>
      <c r="AH25" s="3">
        <v>0</v>
      </c>
      <c r="AI25" s="3">
        <f>AI24</f>
        <v>1.1809090909090909</v>
      </c>
      <c r="AM25" s="75"/>
      <c r="AN25" s="75"/>
      <c r="AO25" s="110"/>
      <c r="AP25" s="112"/>
      <c r="AQ25" s="111"/>
      <c r="AR25" s="110"/>
      <c r="AS25" s="112"/>
      <c r="AT25" s="110"/>
      <c r="AU25" s="71"/>
      <c r="AV25" s="110"/>
      <c r="AW25" s="112"/>
    </row>
    <row r="26" spans="1:50">
      <c r="A26" s="13"/>
      <c r="J26" s="131"/>
      <c r="K26" s="115"/>
      <c r="V26" s="21">
        <v>2.1</v>
      </c>
      <c r="W26" s="21">
        <f t="shared" si="0"/>
        <v>6.2470294784580496</v>
      </c>
      <c r="X26" s="105">
        <f t="shared" si="1"/>
        <v>10.120187755102041</v>
      </c>
      <c r="Y26" s="21">
        <f t="shared" si="2"/>
        <v>8.0369440873683935</v>
      </c>
      <c r="Z26" s="10">
        <f>Z25+1</f>
        <v>4</v>
      </c>
      <c r="AA26" s="3">
        <f>INDEX(V15:V56,Z26)</f>
        <v>1.3</v>
      </c>
      <c r="AB26" s="3">
        <f>INDEX(Y15:Y56,Z26)</f>
        <v>9.9150539483842373</v>
      </c>
      <c r="AC26" s="138">
        <v>10</v>
      </c>
      <c r="AD26" s="3">
        <v>0.9</v>
      </c>
      <c r="AE26" s="3">
        <v>0.59</v>
      </c>
      <c r="AF26" s="3">
        <v>0.9</v>
      </c>
      <c r="AM26" s="75"/>
      <c r="AN26" s="75"/>
      <c r="AO26" s="110"/>
      <c r="AP26" s="112"/>
      <c r="AQ26" s="111"/>
      <c r="AR26" s="110"/>
      <c r="AS26" s="112"/>
      <c r="AT26" s="110"/>
      <c r="AU26" s="75"/>
      <c r="AV26" s="110"/>
      <c r="AW26" s="112"/>
    </row>
    <row r="27" spans="1:50">
      <c r="A27" s="13"/>
      <c r="B27" s="116"/>
      <c r="C27" s="118" t="s">
        <v>108</v>
      </c>
      <c r="D27" s="115"/>
      <c r="H27" s="5" t="s">
        <v>107</v>
      </c>
      <c r="J27" s="123"/>
      <c r="K27" s="115"/>
      <c r="V27" s="21">
        <v>2.2000000000000002</v>
      </c>
      <c r="W27" s="21">
        <f t="shared" si="0"/>
        <v>6.1664462809917353</v>
      </c>
      <c r="X27" s="105">
        <f t="shared" si="1"/>
        <v>9.9896429752066123</v>
      </c>
      <c r="Y27" s="21">
        <f t="shared" si="2"/>
        <v>7.933271989349417</v>
      </c>
      <c r="Z27" s="10"/>
      <c r="AC27" s="138">
        <v>11</v>
      </c>
      <c r="AD27" s="3">
        <v>1</v>
      </c>
      <c r="AE27" s="3">
        <v>0.69</v>
      </c>
      <c r="AF27" s="3">
        <v>1</v>
      </c>
      <c r="AM27" s="75"/>
      <c r="AN27" s="75"/>
      <c r="AO27" s="110"/>
      <c r="AP27" s="112"/>
      <c r="AQ27" s="111"/>
      <c r="AR27" s="110"/>
      <c r="AS27" s="112"/>
      <c r="AT27" s="110"/>
      <c r="AU27" s="75"/>
      <c r="AV27" s="110"/>
      <c r="AW27" s="112"/>
    </row>
    <row r="28" spans="1:50">
      <c r="V28" s="21">
        <v>2.2999999999999998</v>
      </c>
      <c r="W28" s="21">
        <f t="shared" si="0"/>
        <v>6.0961436672967864</v>
      </c>
      <c r="X28" s="105">
        <f t="shared" si="1"/>
        <v>9.8757527410207953</v>
      </c>
      <c r="Y28" s="21">
        <f t="shared" si="2"/>
        <v>7.8428260938385117</v>
      </c>
      <c r="Z28" s="10"/>
      <c r="AA28" s="21">
        <f>(5.34+4/G21^2)*C51</f>
        <v>10.443703897774039</v>
      </c>
      <c r="AC28" s="138">
        <v>12</v>
      </c>
      <c r="AD28" s="3">
        <v>1.1000000000000001</v>
      </c>
      <c r="AE28" s="3">
        <v>0.8</v>
      </c>
      <c r="AF28" s="3">
        <v>1.1000000000000001</v>
      </c>
      <c r="AL28" s="3">
        <v>1</v>
      </c>
      <c r="AM28" s="3">
        <v>2</v>
      </c>
      <c r="AN28" s="75">
        <v>1</v>
      </c>
      <c r="AO28" s="75">
        <v>2</v>
      </c>
      <c r="AP28" s="112"/>
      <c r="AQ28" s="111"/>
      <c r="AR28" s="110"/>
      <c r="AS28" s="112"/>
      <c r="AT28" s="110"/>
      <c r="AU28" s="75"/>
      <c r="AV28" s="110"/>
    </row>
    <row r="29" spans="1:50">
      <c r="B29" s="125"/>
      <c r="C29" s="115"/>
      <c r="D29" s="132"/>
      <c r="E29" s="115"/>
      <c r="F29" s="97"/>
      <c r="G29" s="116"/>
      <c r="H29" s="117"/>
      <c r="V29" s="21">
        <v>2.4</v>
      </c>
      <c r="W29" s="21">
        <f t="shared" si="0"/>
        <v>6.0344444444444445</v>
      </c>
      <c r="X29" s="105">
        <f t="shared" si="1"/>
        <v>9.7758000000000003</v>
      </c>
      <c r="Y29" s="21">
        <f t="shared" si="2"/>
        <v>7.7634486543677523</v>
      </c>
      <c r="Z29" s="10"/>
      <c r="AC29" s="138">
        <v>13</v>
      </c>
      <c r="AD29" s="3">
        <v>1.2</v>
      </c>
      <c r="AE29" s="3">
        <v>0.9</v>
      </c>
      <c r="AF29" s="3">
        <v>1.17</v>
      </c>
      <c r="AG29" s="3">
        <f>IF(I23="Single",1,2)</f>
        <v>2</v>
      </c>
      <c r="AH29" s="102">
        <f>IF(G25&gt;3,3,G25)</f>
        <v>2.2727272727272729</v>
      </c>
      <c r="AI29" s="3">
        <v>0</v>
      </c>
      <c r="AJ29" s="3">
        <f>MATCH(AH29,AD17:AD48)</f>
        <v>23</v>
      </c>
      <c r="AK29" s="3">
        <f>INDEX(AD17:AD48,AJ29)</f>
        <v>2.2000000000000002</v>
      </c>
      <c r="AL29" s="3">
        <f>INDEX(AE17:AE48,AJ29)</f>
        <v>1.27</v>
      </c>
      <c r="AM29" s="3">
        <f>INDEX(AF17:AF48,AJ29)</f>
        <v>1.5349999999999999</v>
      </c>
      <c r="AN29" s="75">
        <f>(AH29-AK29)/(AK30-AK29)*(AL30-AL29)+AL29</f>
        <v>1.2765454545454544</v>
      </c>
      <c r="AO29" s="75">
        <f>(AH29-AK29)/(AK30-AK29)*(AM30-AM29)+AM29</f>
        <v>1.5459090909090909</v>
      </c>
      <c r="AP29" s="112"/>
      <c r="AQ29" s="111"/>
      <c r="AR29" s="110"/>
      <c r="AS29" s="112"/>
      <c r="AT29" s="110"/>
      <c r="AU29" s="75"/>
      <c r="AV29" s="110"/>
      <c r="AW29" s="112"/>
    </row>
    <row r="30" spans="1:50">
      <c r="A30" s="13"/>
      <c r="B30" s="116"/>
      <c r="C30" s="130"/>
      <c r="D30" s="75"/>
      <c r="E30" s="75"/>
      <c r="F30" s="97"/>
      <c r="G30" s="75"/>
      <c r="H30" s="75"/>
      <c r="K30" s="13"/>
      <c r="V30" s="21">
        <v>2.5</v>
      </c>
      <c r="W30" s="21">
        <f t="shared" si="0"/>
        <v>5.9799999999999995</v>
      </c>
      <c r="X30" s="105">
        <f t="shared" si="1"/>
        <v>9.6875999999999998</v>
      </c>
      <c r="Y30" s="21">
        <f t="shared" si="2"/>
        <v>7.6934046506734006</v>
      </c>
      <c r="Z30" s="10"/>
      <c r="AC30" s="138">
        <v>14</v>
      </c>
      <c r="AD30" s="3">
        <v>1.3</v>
      </c>
      <c r="AE30" s="3">
        <v>1</v>
      </c>
      <c r="AF30" s="3">
        <v>1.23</v>
      </c>
      <c r="AH30" s="102">
        <f>AH29</f>
        <v>2.2727272727272729</v>
      </c>
      <c r="AI30" s="3">
        <f>IF(AG29=1,AN29,AO29)</f>
        <v>1.5459090909090909</v>
      </c>
      <c r="AJ30" s="3">
        <f>AJ29+1</f>
        <v>24</v>
      </c>
      <c r="AK30" s="3">
        <f>INDEX(AD17:AD48,AJ30)</f>
        <v>2.2999999999999998</v>
      </c>
      <c r="AL30" s="3">
        <f>INDEX(AE17:AE48,AJ30)</f>
        <v>1.2789999999999999</v>
      </c>
      <c r="AM30" s="3">
        <f>INDEX(AF17:AF48,AJ30)</f>
        <v>1.55</v>
      </c>
      <c r="AN30" s="75"/>
      <c r="AO30" s="75"/>
      <c r="AP30" s="112"/>
      <c r="AQ30" s="111"/>
      <c r="AR30" s="110"/>
      <c r="AS30" s="112"/>
      <c r="AT30" s="110"/>
      <c r="AU30" s="71"/>
      <c r="AV30" s="110"/>
      <c r="AW30" s="110"/>
      <c r="AX30" s="135"/>
    </row>
    <row r="31" spans="1:50">
      <c r="A31" s="13"/>
      <c r="B31" s="116"/>
      <c r="C31" s="125"/>
      <c r="D31" s="132"/>
      <c r="E31" s="115"/>
      <c r="F31" s="97"/>
      <c r="G31" s="97"/>
      <c r="H31" s="130"/>
      <c r="I31" s="13"/>
      <c r="J31" s="13"/>
      <c r="K31" s="13"/>
      <c r="V31" s="21">
        <v>2.6</v>
      </c>
      <c r="W31" s="21">
        <f t="shared" si="0"/>
        <v>5.9317159763313612</v>
      </c>
      <c r="X31" s="105">
        <f t="shared" si="1"/>
        <v>9.609379881656805</v>
      </c>
      <c r="Y31" s="21">
        <f t="shared" si="2"/>
        <v>7.6312861670203027</v>
      </c>
      <c r="Z31" s="29"/>
      <c r="AA31" s="29"/>
      <c r="AB31" s="29"/>
      <c r="AC31" s="138">
        <v>15</v>
      </c>
      <c r="AD31" s="3">
        <v>1.4</v>
      </c>
      <c r="AE31" s="3">
        <v>1.08</v>
      </c>
      <c r="AF31" s="3">
        <v>1.29</v>
      </c>
      <c r="AM31" s="75"/>
      <c r="AN31" s="75"/>
      <c r="AO31" s="113"/>
      <c r="AP31" s="112"/>
      <c r="AQ31" s="111"/>
      <c r="AR31" s="110"/>
      <c r="AS31" s="112"/>
      <c r="AT31" s="110"/>
      <c r="AU31" s="71"/>
      <c r="AV31" s="110"/>
      <c r="AW31" s="110"/>
      <c r="AX31" s="110"/>
    </row>
    <row r="32" spans="1:50">
      <c r="B32" s="116"/>
      <c r="C32" s="134"/>
      <c r="D32" s="115"/>
      <c r="E32" s="115"/>
      <c r="F32" s="97"/>
      <c r="G32" s="75"/>
      <c r="H32" s="75"/>
      <c r="V32" s="21">
        <v>2.7</v>
      </c>
      <c r="W32" s="21">
        <f t="shared" si="0"/>
        <v>5.8886968449931407</v>
      </c>
      <c r="X32" s="105">
        <f t="shared" si="1"/>
        <v>9.5396888888888878</v>
      </c>
      <c r="Y32" s="21">
        <f t="shared" si="2"/>
        <v>7.5759410858989993</v>
      </c>
      <c r="Z32" s="19"/>
      <c r="AA32" s="29"/>
      <c r="AB32" s="29"/>
      <c r="AC32" s="138">
        <v>16</v>
      </c>
      <c r="AD32" s="3">
        <v>1.5</v>
      </c>
      <c r="AE32" s="3">
        <v>1.1299999999999999</v>
      </c>
      <c r="AF32" s="3">
        <v>1.335</v>
      </c>
      <c r="AH32" s="102">
        <f>AH30</f>
        <v>2.2727272727272729</v>
      </c>
      <c r="AI32" s="3">
        <f>AI30</f>
        <v>1.5459090909090909</v>
      </c>
      <c r="AM32" s="75"/>
      <c r="AN32" s="75"/>
      <c r="AO32" s="110"/>
      <c r="AP32" s="112"/>
      <c r="AQ32" s="111"/>
      <c r="AR32" s="110"/>
      <c r="AS32" s="112"/>
      <c r="AT32" s="110"/>
      <c r="AU32" s="75"/>
      <c r="AV32" s="110"/>
      <c r="AW32" s="110"/>
      <c r="AX32" s="135"/>
    </row>
    <row r="33" spans="1:50">
      <c r="V33" s="21">
        <v>2.8</v>
      </c>
      <c r="W33" s="21">
        <f t="shared" si="0"/>
        <v>5.8502040816326533</v>
      </c>
      <c r="X33" s="105">
        <f t="shared" si="1"/>
        <v>9.4773306122448986</v>
      </c>
      <c r="Y33" s="21">
        <f t="shared" si="2"/>
        <v>7.52641927910053</v>
      </c>
      <c r="Z33" s="32"/>
      <c r="AB33" s="29"/>
      <c r="AC33" s="138">
        <v>17</v>
      </c>
      <c r="AD33" s="3">
        <v>1.6</v>
      </c>
      <c r="AE33" s="3">
        <v>1.17</v>
      </c>
      <c r="AF33" s="3">
        <v>1.375</v>
      </c>
      <c r="AH33" s="3">
        <v>0</v>
      </c>
      <c r="AI33" s="3">
        <f>AI32</f>
        <v>1.5459090909090909</v>
      </c>
      <c r="AM33" s="75"/>
      <c r="AN33" s="75"/>
      <c r="AO33" s="110"/>
      <c r="AP33" s="112"/>
      <c r="AQ33" s="111"/>
      <c r="AR33" s="110"/>
      <c r="AS33" s="112"/>
      <c r="AT33" s="110"/>
      <c r="AU33" s="75"/>
      <c r="AV33" s="110"/>
      <c r="AW33" s="110"/>
      <c r="AX33" s="135"/>
    </row>
    <row r="34" spans="1:50">
      <c r="V34" s="21">
        <v>2.9</v>
      </c>
      <c r="W34" s="21">
        <f t="shared" si="0"/>
        <v>5.8156242568370988</v>
      </c>
      <c r="X34" s="105">
        <f t="shared" si="1"/>
        <v>9.4213112960760999</v>
      </c>
      <c r="Y34" s="21">
        <f t="shared" si="2"/>
        <v>7.4819315558728396</v>
      </c>
      <c r="Z34" s="32"/>
      <c r="AB34" s="29"/>
      <c r="AC34" s="138">
        <v>18</v>
      </c>
      <c r="AD34" s="3">
        <v>1.7</v>
      </c>
      <c r="AE34" s="3">
        <v>1.2</v>
      </c>
      <c r="AF34" s="3">
        <v>1.41</v>
      </c>
      <c r="AM34" s="75"/>
      <c r="AN34" s="75"/>
      <c r="AO34" s="110"/>
      <c r="AP34" s="112"/>
      <c r="AQ34" s="111"/>
      <c r="AR34" s="110"/>
      <c r="AS34" s="112"/>
      <c r="AT34" s="110"/>
      <c r="AU34" s="75"/>
      <c r="AV34" s="110"/>
      <c r="AW34" s="112"/>
    </row>
    <row r="35" spans="1:50">
      <c r="V35" s="21">
        <v>3</v>
      </c>
      <c r="W35" s="21">
        <f t="shared" si="0"/>
        <v>5.7844444444444445</v>
      </c>
      <c r="X35" s="105">
        <f t="shared" si="1"/>
        <v>9.3708000000000009</v>
      </c>
      <c r="Y35" s="21">
        <f t="shared" si="2"/>
        <v>7.441818025158998</v>
      </c>
      <c r="Z35" s="32"/>
      <c r="AB35" s="29"/>
      <c r="AC35" s="138">
        <v>19</v>
      </c>
      <c r="AD35" s="3">
        <v>1.8</v>
      </c>
      <c r="AE35" s="3">
        <v>1.22</v>
      </c>
      <c r="AF35" s="3">
        <v>1.4450000000000001</v>
      </c>
      <c r="AM35" s="75"/>
      <c r="AN35" s="75"/>
      <c r="AO35" s="110"/>
      <c r="AP35" s="112"/>
      <c r="AQ35" s="111"/>
      <c r="AR35" s="110"/>
      <c r="AS35" s="112"/>
      <c r="AT35" s="110"/>
      <c r="AU35" s="75"/>
      <c r="AV35" s="110"/>
      <c r="AW35" s="112"/>
    </row>
    <row r="36" spans="1:50">
      <c r="A36" s="13"/>
      <c r="F36" s="13"/>
      <c r="V36" s="21">
        <v>3.1</v>
      </c>
      <c r="W36" s="21">
        <f t="shared" si="0"/>
        <v>5.7562330905306966</v>
      </c>
      <c r="X36" s="105">
        <f t="shared" si="1"/>
        <v>9.32509760665973</v>
      </c>
      <c r="Y36" s="21">
        <f t="shared" si="2"/>
        <v>7.4055234831185599</v>
      </c>
      <c r="Z36" s="2"/>
      <c r="AC36" s="138">
        <v>20</v>
      </c>
      <c r="AD36" s="3">
        <v>1.9</v>
      </c>
      <c r="AE36" s="3">
        <v>1.2350000000000001</v>
      </c>
      <c r="AF36" s="3">
        <v>1.4750000000000001</v>
      </c>
      <c r="AM36" s="75"/>
      <c r="AN36" s="75"/>
      <c r="AO36" s="110"/>
      <c r="AP36" s="112"/>
      <c r="AQ36" s="111"/>
      <c r="AR36" s="110"/>
      <c r="AS36" s="112"/>
      <c r="AT36" s="110"/>
      <c r="AU36" s="75"/>
      <c r="AV36" s="110"/>
      <c r="AW36" s="112"/>
    </row>
    <row r="37" spans="1:50">
      <c r="A37" s="13"/>
      <c r="F37" s="13"/>
      <c r="G37" s="33"/>
      <c r="I37" s="13"/>
      <c r="J37" s="13"/>
      <c r="K37" s="13"/>
      <c r="V37" s="21">
        <v>3.2</v>
      </c>
      <c r="W37" s="21">
        <f t="shared" si="0"/>
        <v>5.7306249999999999</v>
      </c>
      <c r="X37" s="105">
        <f t="shared" si="1"/>
        <v>9.2836125000000003</v>
      </c>
      <c r="Y37" s="21">
        <f t="shared" si="2"/>
        <v>7.3725780980376685</v>
      </c>
      <c r="AC37" s="138">
        <v>21</v>
      </c>
      <c r="AD37" s="3">
        <v>2</v>
      </c>
      <c r="AE37" s="3">
        <v>1.25</v>
      </c>
      <c r="AF37" s="3">
        <v>1.5</v>
      </c>
      <c r="AM37" s="75"/>
      <c r="AN37" s="75"/>
      <c r="AO37" s="110"/>
      <c r="AP37" s="112"/>
      <c r="AQ37" s="111"/>
      <c r="AR37" s="110"/>
      <c r="AS37" s="112"/>
      <c r="AT37" s="110"/>
      <c r="AU37" s="75"/>
      <c r="AV37" s="110"/>
      <c r="AW37" s="112"/>
    </row>
    <row r="38" spans="1:50">
      <c r="A38" s="13"/>
      <c r="G38" s="13"/>
      <c r="I38" s="13"/>
      <c r="J38" s="13"/>
      <c r="K38" s="13"/>
      <c r="V38" s="21">
        <v>3.3</v>
      </c>
      <c r="W38" s="21">
        <f t="shared" si="0"/>
        <v>5.7073094582185488</v>
      </c>
      <c r="X38" s="105">
        <f t="shared" si="1"/>
        <v>9.2458413223140496</v>
      </c>
      <c r="Y38" s="21">
        <f t="shared" si="2"/>
        <v>7.3425821285436248</v>
      </c>
      <c r="Z38" s="34"/>
      <c r="AA38" s="34" t="s">
        <v>5</v>
      </c>
      <c r="AB38" s="34" t="s">
        <v>6</v>
      </c>
      <c r="AC38" s="138">
        <v>22</v>
      </c>
      <c r="AD38" s="3">
        <v>2.1</v>
      </c>
      <c r="AE38" s="3">
        <v>1.26</v>
      </c>
      <c r="AF38" s="3">
        <v>1.5149999999999999</v>
      </c>
      <c r="AM38" s="75"/>
      <c r="AN38" s="75"/>
      <c r="AO38" s="110"/>
      <c r="AP38" s="112"/>
      <c r="AQ38" s="111"/>
      <c r="AR38" s="110"/>
      <c r="AS38" s="112"/>
      <c r="AT38" s="110"/>
      <c r="AU38" s="75"/>
      <c r="AV38" s="110"/>
      <c r="AW38" s="112"/>
    </row>
    <row r="39" spans="1:50">
      <c r="A39" s="13"/>
      <c r="H39" s="33"/>
      <c r="I39" s="33"/>
      <c r="J39" s="33"/>
      <c r="K39" s="13"/>
      <c r="V39" s="21">
        <v>3.4</v>
      </c>
      <c r="W39" s="21">
        <f t="shared" si="0"/>
        <v>5.6860207612456746</v>
      </c>
      <c r="X39" s="105">
        <f t="shared" si="1"/>
        <v>9.2113536332179926</v>
      </c>
      <c r="Y39" s="21">
        <f t="shared" si="2"/>
        <v>7.3151937405339442</v>
      </c>
      <c r="Z39" s="34" t="s">
        <v>7</v>
      </c>
      <c r="AA39" s="34">
        <v>0</v>
      </c>
      <c r="AB39" s="35">
        <f>AA28</f>
        <v>10.443703897774039</v>
      </c>
      <c r="AC39" s="138">
        <v>23</v>
      </c>
      <c r="AD39" s="3">
        <v>2.2000000000000002</v>
      </c>
      <c r="AE39" s="3">
        <v>1.27</v>
      </c>
      <c r="AF39" s="3">
        <v>1.5349999999999999</v>
      </c>
      <c r="AM39" s="75"/>
      <c r="AN39" s="75"/>
      <c r="AO39" s="110"/>
      <c r="AP39" s="112"/>
      <c r="AQ39" s="111"/>
      <c r="AR39" s="110"/>
      <c r="AS39" s="112"/>
      <c r="AT39" s="110"/>
      <c r="AU39" s="75"/>
      <c r="AV39" s="110"/>
      <c r="AW39" s="112"/>
    </row>
    <row r="40" spans="1:50">
      <c r="A40" s="13"/>
      <c r="V40" s="21">
        <v>3.5</v>
      </c>
      <c r="W40" s="21">
        <f t="shared" si="0"/>
        <v>5.6665306122448982</v>
      </c>
      <c r="X40" s="105">
        <f t="shared" si="1"/>
        <v>9.179779591836736</v>
      </c>
      <c r="Y40" s="21">
        <f t="shared" si="2"/>
        <v>7.2901192249879756</v>
      </c>
      <c r="Z40" s="34"/>
      <c r="AA40" s="35">
        <f>G21</f>
        <v>1.2</v>
      </c>
      <c r="AB40" s="35">
        <f>AA28</f>
        <v>10.443703897774039</v>
      </c>
      <c r="AC40" s="138">
        <v>24</v>
      </c>
      <c r="AD40" s="3">
        <v>2.2999999999999998</v>
      </c>
      <c r="AE40" s="3">
        <v>1.2789999999999999</v>
      </c>
      <c r="AF40" s="3">
        <v>1.55</v>
      </c>
      <c r="AM40" s="75"/>
      <c r="AN40" s="75"/>
      <c r="AO40" s="110"/>
      <c r="AP40" s="112"/>
      <c r="AQ40" s="111"/>
      <c r="AR40" s="110"/>
      <c r="AS40" s="112"/>
      <c r="AT40" s="110"/>
      <c r="AU40" s="75"/>
      <c r="AV40" s="110"/>
      <c r="AW40" s="112"/>
    </row>
    <row r="41" spans="1:50">
      <c r="A41" s="13"/>
      <c r="B41" s="13"/>
      <c r="C41" s="13"/>
      <c r="D41" s="13"/>
      <c r="E41" s="13"/>
      <c r="F41" s="13"/>
      <c r="G41" s="13"/>
      <c r="V41" s="21">
        <v>3.6</v>
      </c>
      <c r="W41" s="21">
        <f t="shared" si="0"/>
        <v>5.6486419753086414</v>
      </c>
      <c r="X41" s="105">
        <f t="shared" si="1"/>
        <v>9.1508000000000003</v>
      </c>
      <c r="Y41" s="21">
        <f t="shared" si="2"/>
        <v>7.2671050907739954</v>
      </c>
      <c r="Z41" s="34" t="s">
        <v>8</v>
      </c>
      <c r="AA41" s="35">
        <f>G21</f>
        <v>1.2</v>
      </c>
      <c r="AB41" s="34">
        <v>5</v>
      </c>
      <c r="AC41" s="138">
        <v>25</v>
      </c>
      <c r="AD41" s="3">
        <v>2.4</v>
      </c>
      <c r="AE41" s="3">
        <v>1.2869999999999999</v>
      </c>
      <c r="AF41" s="3">
        <v>1.5649999999999999</v>
      </c>
      <c r="AM41" s="75"/>
      <c r="AN41" s="75"/>
      <c r="AO41" s="110"/>
      <c r="AP41" s="112"/>
      <c r="AQ41" s="111"/>
      <c r="AR41" s="110"/>
      <c r="AS41" s="112"/>
      <c r="AT41" s="110"/>
      <c r="AU41" s="75"/>
      <c r="AV41" s="110"/>
      <c r="AW41" s="112"/>
    </row>
    <row r="42" spans="1:50">
      <c r="A42" s="13"/>
      <c r="B42" s="13"/>
      <c r="C42" s="13"/>
      <c r="D42" s="13"/>
      <c r="E42" s="13"/>
      <c r="F42" s="13"/>
      <c r="G42" s="13"/>
      <c r="V42" s="21">
        <v>3.7</v>
      </c>
      <c r="W42" s="21">
        <f t="shared" si="0"/>
        <v>5.6321840759678592</v>
      </c>
      <c r="X42" s="105">
        <f t="shared" si="1"/>
        <v>9.1241382030679326</v>
      </c>
      <c r="Y42" s="21">
        <f t="shared" si="2"/>
        <v>7.2459316326922742</v>
      </c>
      <c r="AA42" s="35">
        <f>G21</f>
        <v>1.2</v>
      </c>
      <c r="AB42" s="35">
        <f>AA28</f>
        <v>10.443703897774039</v>
      </c>
      <c r="AC42" s="138">
        <v>26</v>
      </c>
      <c r="AD42" s="3">
        <v>2.5</v>
      </c>
      <c r="AE42" s="3">
        <v>1.2949999999999999</v>
      </c>
      <c r="AF42" s="3">
        <v>1.575</v>
      </c>
      <c r="AM42" s="75"/>
      <c r="AN42" s="75"/>
      <c r="AO42" s="110"/>
      <c r="AP42" s="112"/>
      <c r="AQ42" s="111"/>
      <c r="AR42" s="110"/>
      <c r="AS42" s="112"/>
      <c r="AT42" s="110"/>
      <c r="AU42" s="75"/>
      <c r="AV42" s="110"/>
      <c r="AW42" s="112"/>
    </row>
    <row r="43" spans="1:50">
      <c r="A43" s="13"/>
      <c r="B43" s="13"/>
      <c r="C43" s="13"/>
      <c r="D43" s="13"/>
      <c r="E43" s="13"/>
      <c r="F43" s="13"/>
      <c r="G43" s="13"/>
      <c r="V43" s="21">
        <v>3.8</v>
      </c>
      <c r="W43" s="21">
        <f t="shared" si="0"/>
        <v>5.6170083102493074</v>
      </c>
      <c r="X43" s="105">
        <f t="shared" si="1"/>
        <v>9.099553462603879</v>
      </c>
      <c r="Y43" s="21">
        <f t="shared" si="2"/>
        <v>7.2264076683851446</v>
      </c>
      <c r="Z43" s="10"/>
      <c r="AA43" s="25"/>
      <c r="AB43" s="25"/>
      <c r="AC43" s="138">
        <v>27</v>
      </c>
      <c r="AD43" s="3">
        <v>2.6</v>
      </c>
      <c r="AE43" s="3">
        <v>1.3080000000000001</v>
      </c>
      <c r="AF43" s="3">
        <f>(AF44+AF42)/2</f>
        <v>1.5874999999999999</v>
      </c>
      <c r="AM43" s="75"/>
      <c r="AN43" s="90"/>
      <c r="AO43" s="110"/>
      <c r="AP43" s="112"/>
      <c r="AQ43" s="111"/>
      <c r="AR43" s="110"/>
      <c r="AS43" s="112"/>
      <c r="AT43" s="110"/>
      <c r="AU43" s="90"/>
      <c r="AV43" s="110"/>
      <c r="AW43" s="112"/>
    </row>
    <row r="44" spans="1:50">
      <c r="A44" s="13"/>
      <c r="B44" s="13"/>
      <c r="C44" s="13"/>
      <c r="D44" s="13"/>
      <c r="E44" s="13"/>
      <c r="F44" s="13"/>
      <c r="G44" s="13"/>
      <c r="V44" s="21">
        <v>3.9</v>
      </c>
      <c r="W44" s="21">
        <f t="shared" si="0"/>
        <v>5.6029848783694938</v>
      </c>
      <c r="X44" s="105">
        <f t="shared" si="1"/>
        <v>9.0768355029585805</v>
      </c>
      <c r="Y44" s="21">
        <f t="shared" si="2"/>
        <v>7.2083662075084627</v>
      </c>
      <c r="Z44" s="10"/>
      <c r="AA44" s="25"/>
      <c r="AB44" s="6"/>
      <c r="AC44" s="138">
        <v>28</v>
      </c>
      <c r="AD44" s="3">
        <v>2.7</v>
      </c>
      <c r="AE44" s="3">
        <f>(AE45+AE43)/2</f>
        <v>1.3125</v>
      </c>
      <c r="AF44" s="3">
        <v>1.6</v>
      </c>
      <c r="AM44" s="75"/>
      <c r="AN44" s="90"/>
      <c r="AO44" s="110"/>
      <c r="AP44" s="112"/>
      <c r="AQ44" s="111"/>
      <c r="AR44" s="110"/>
      <c r="AS44" s="112"/>
      <c r="AT44" s="110"/>
      <c r="AU44" s="90"/>
      <c r="AV44" s="110"/>
      <c r="AW44" s="112"/>
    </row>
    <row r="45" spans="1:50">
      <c r="A45" s="13"/>
      <c r="B45" s="13"/>
      <c r="C45" s="13"/>
      <c r="D45" s="13"/>
      <c r="E45" s="13"/>
      <c r="F45" s="13"/>
      <c r="G45" s="13"/>
      <c r="V45" s="21">
        <v>4</v>
      </c>
      <c r="W45" s="21">
        <f t="shared" si="0"/>
        <v>5.59</v>
      </c>
      <c r="X45" s="105">
        <f t="shared" si="1"/>
        <v>9.0557999999999996</v>
      </c>
      <c r="Y45" s="21">
        <f t="shared" si="2"/>
        <v>7.1916608691077446</v>
      </c>
      <c r="Z45" s="36"/>
      <c r="AA45" s="25"/>
      <c r="AB45" s="6"/>
      <c r="AC45" s="138">
        <v>29</v>
      </c>
      <c r="AD45" s="3">
        <v>2.8</v>
      </c>
      <c r="AE45" s="3">
        <v>1.3169999999999999</v>
      </c>
      <c r="AF45" s="3">
        <v>1.607</v>
      </c>
      <c r="AM45" s="75"/>
      <c r="AN45" s="90"/>
      <c r="AO45" s="110"/>
      <c r="AP45" s="112"/>
      <c r="AQ45" s="111"/>
      <c r="AR45" s="110"/>
      <c r="AS45" s="112"/>
      <c r="AT45" s="110"/>
      <c r="AU45" s="90"/>
      <c r="AV45" s="110"/>
      <c r="AW45" s="112"/>
    </row>
    <row r="46" spans="1:50">
      <c r="A46" s="13"/>
      <c r="B46" s="13"/>
      <c r="C46" s="13"/>
      <c r="D46" s="13"/>
      <c r="E46" s="13"/>
      <c r="F46" s="13"/>
      <c r="G46" s="13"/>
      <c r="H46" s="13"/>
      <c r="I46" s="13"/>
      <c r="J46" s="13"/>
      <c r="K46" s="13"/>
      <c r="V46" s="21">
        <v>4.0999999999999996</v>
      </c>
      <c r="W46" s="21">
        <f t="shared" si="0"/>
        <v>5.5779535990481852</v>
      </c>
      <c r="X46" s="105">
        <f t="shared" si="1"/>
        <v>9.0362848304580599</v>
      </c>
      <c r="Y46" s="21">
        <f t="shared" si="2"/>
        <v>7.1761629030364125</v>
      </c>
      <c r="Z46" s="25"/>
      <c r="AA46" s="25"/>
      <c r="AB46" s="6"/>
      <c r="AC46" s="138">
        <v>30</v>
      </c>
      <c r="AD46" s="3">
        <v>2.9</v>
      </c>
      <c r="AE46" s="3">
        <f>(AE47+AE45)/2</f>
        <v>1.3235000000000001</v>
      </c>
      <c r="AF46" s="3">
        <v>1.6140000000000001</v>
      </c>
      <c r="AM46" s="75"/>
      <c r="AN46" s="90"/>
      <c r="AO46" s="110"/>
      <c r="AP46" s="112"/>
      <c r="AQ46" s="111"/>
      <c r="AR46" s="110"/>
      <c r="AS46" s="112"/>
      <c r="AT46" s="110"/>
      <c r="AU46" s="90"/>
      <c r="AV46" s="110"/>
      <c r="AW46" s="112"/>
    </row>
    <row r="47" spans="1:50">
      <c r="A47" s="13"/>
      <c r="B47" s="13"/>
      <c r="C47" s="13"/>
      <c r="D47" s="13"/>
      <c r="E47" s="13"/>
      <c r="F47" s="13"/>
      <c r="G47" s="13"/>
      <c r="H47" s="13"/>
      <c r="I47" s="13"/>
      <c r="J47" s="13"/>
      <c r="K47" s="13"/>
      <c r="V47" s="21">
        <v>4.2</v>
      </c>
      <c r="W47" s="21">
        <f t="shared" si="0"/>
        <v>5.5667573696145123</v>
      </c>
      <c r="X47" s="105">
        <f t="shared" si="1"/>
        <v>9.0181469387755104</v>
      </c>
      <c r="Y47" s="21">
        <f t="shared" si="2"/>
        <v>7.1617587017663409</v>
      </c>
      <c r="Z47" s="6"/>
      <c r="AA47" s="25"/>
      <c r="AB47" s="36"/>
      <c r="AC47" s="138">
        <v>31</v>
      </c>
      <c r="AD47" s="3">
        <v>3</v>
      </c>
      <c r="AE47" s="3">
        <v>1.33</v>
      </c>
      <c r="AF47" s="3">
        <v>1.62</v>
      </c>
      <c r="AM47" s="75"/>
      <c r="AN47" s="90"/>
      <c r="AO47" s="110"/>
      <c r="AP47" s="112"/>
      <c r="AQ47" s="111"/>
      <c r="AR47" s="110"/>
      <c r="AS47" s="112"/>
      <c r="AT47" s="110"/>
      <c r="AU47" s="90"/>
      <c r="AV47" s="110"/>
      <c r="AW47" s="112"/>
    </row>
    <row r="48" spans="1:50" ht="15">
      <c r="B48" s="43" t="s">
        <v>66</v>
      </c>
      <c r="C48" s="102">
        <f>AI24</f>
        <v>1.1809090909090909</v>
      </c>
      <c r="D48" s="3" t="s">
        <v>64</v>
      </c>
      <c r="I48" s="148" t="str">
        <f>IF(OR(C48&lt;1,C49&lt;1)=TRUE,"Panel supports are not stiff enough, redesign recommended","")</f>
        <v/>
      </c>
      <c r="J48" s="148"/>
      <c r="K48" s="148"/>
      <c r="V48" s="21">
        <v>4.3</v>
      </c>
      <c r="W48" s="21">
        <f t="shared" si="0"/>
        <v>5.5563331530557054</v>
      </c>
      <c r="X48" s="105">
        <f t="shared" si="1"/>
        <v>9.0012597079502434</v>
      </c>
      <c r="Y48" s="21">
        <f t="shared" si="2"/>
        <v>7.1483477124430719</v>
      </c>
      <c r="Z48" s="6"/>
      <c r="AA48" s="25"/>
      <c r="AB48" s="25"/>
      <c r="AC48" s="138">
        <v>32</v>
      </c>
      <c r="AD48" s="6">
        <v>10</v>
      </c>
      <c r="AE48" s="6">
        <v>1.33</v>
      </c>
      <c r="AF48" s="6">
        <v>1.62</v>
      </c>
      <c r="AM48" s="75"/>
      <c r="AN48" s="90"/>
      <c r="AO48" s="110"/>
      <c r="AP48" s="112"/>
      <c r="AQ48" s="111"/>
      <c r="AR48" s="110"/>
      <c r="AS48" s="112"/>
      <c r="AT48" s="110"/>
      <c r="AU48" s="90"/>
      <c r="AV48" s="110"/>
      <c r="AW48" s="112"/>
    </row>
    <row r="49" spans="1:49" ht="15">
      <c r="B49" s="17" t="s">
        <v>67</v>
      </c>
      <c r="C49" s="137">
        <f>AI30</f>
        <v>1.5459090909090909</v>
      </c>
      <c r="D49" s="3" t="s">
        <v>65</v>
      </c>
      <c r="I49" s="148"/>
      <c r="J49" s="148"/>
      <c r="K49" s="148"/>
      <c r="V49" s="21">
        <v>4.4000000000000004</v>
      </c>
      <c r="W49" s="21">
        <f t="shared" si="0"/>
        <v>5.5466115702479337</v>
      </c>
      <c r="X49" s="105">
        <f t="shared" si="1"/>
        <v>8.9855107438016528</v>
      </c>
      <c r="Y49" s="21">
        <f t="shared" si="2"/>
        <v>7.135840677261597</v>
      </c>
      <c r="Z49" s="25"/>
      <c r="AA49" s="25"/>
      <c r="AB49" s="23"/>
      <c r="AC49" s="25"/>
      <c r="AD49" s="6"/>
      <c r="AE49" s="6"/>
      <c r="AF49" s="6"/>
      <c r="AM49" s="75"/>
      <c r="AN49" s="90"/>
      <c r="AO49" s="110"/>
      <c r="AP49" s="112"/>
      <c r="AQ49" s="111"/>
      <c r="AR49" s="110"/>
      <c r="AS49" s="112"/>
      <c r="AT49" s="110"/>
      <c r="AU49" s="90"/>
      <c r="AV49" s="110"/>
      <c r="AW49" s="112"/>
    </row>
    <row r="50" spans="1:49" ht="15">
      <c r="B50" s="17" t="s">
        <v>70</v>
      </c>
      <c r="C50" s="3" t="str">
        <f>[1]!xln(C51)</f>
        <v>1.18 + (1 / 2) × (1.55 - 1.18) × (5 / 6)³</v>
      </c>
      <c r="D50" s="13"/>
      <c r="V50" s="21">
        <v>4.5</v>
      </c>
      <c r="W50" s="21">
        <f t="shared" si="0"/>
        <v>5.5375308641975307</v>
      </c>
      <c r="X50" s="105">
        <f t="shared" si="1"/>
        <v>8.9708000000000006</v>
      </c>
      <c r="Y50" s="21">
        <f t="shared" si="2"/>
        <v>7.1241581444589936</v>
      </c>
      <c r="Z50" s="7"/>
      <c r="AA50" s="25"/>
      <c r="AB50" s="6"/>
      <c r="AC50" s="25"/>
      <c r="AM50" s="75"/>
      <c r="AN50" s="90"/>
      <c r="AO50" s="110"/>
      <c r="AP50" s="112"/>
      <c r="AQ50" s="111"/>
      <c r="AR50" s="110"/>
      <c r="AS50" s="112"/>
      <c r="AT50" s="110"/>
      <c r="AU50" s="90"/>
      <c r="AV50" s="90"/>
      <c r="AW50" s="90"/>
    </row>
    <row r="51" spans="1:49">
      <c r="B51" s="43" t="s">
        <v>10</v>
      </c>
      <c r="C51" s="107">
        <f>C48+(1/2)*(C49-C48)*(G16/G15)^3</f>
        <v>1.2865225168350169</v>
      </c>
      <c r="J51" s="13"/>
      <c r="V51" s="21">
        <v>4.5999999999999996</v>
      </c>
      <c r="W51" s="21">
        <f t="shared" si="0"/>
        <v>5.5290359168241965</v>
      </c>
      <c r="X51" s="105">
        <f t="shared" si="1"/>
        <v>8.9570381852551986</v>
      </c>
      <c r="Y51" s="21">
        <f t="shared" si="2"/>
        <v>7.1132292033838711</v>
      </c>
      <c r="Z51" s="32"/>
      <c r="AA51" s="32"/>
      <c r="AB51" s="19"/>
      <c r="AC51" s="19"/>
      <c r="AD51" s="9"/>
      <c r="AM51" s="75"/>
      <c r="AN51" s="90"/>
      <c r="AO51" s="110"/>
      <c r="AP51" s="112"/>
      <c r="AQ51" s="111"/>
      <c r="AR51" s="110"/>
      <c r="AS51" s="112"/>
      <c r="AT51" s="110"/>
      <c r="AU51" s="90"/>
      <c r="AV51" s="90"/>
      <c r="AW51" s="90"/>
    </row>
    <row r="52" spans="1:49">
      <c r="B52" s="17" t="s">
        <v>69</v>
      </c>
      <c r="C52" s="28">
        <f>AB39</f>
        <v>10.443703897774039</v>
      </c>
      <c r="E52" s="13"/>
      <c r="V52" s="21">
        <v>4.7</v>
      </c>
      <c r="W52" s="21">
        <f t="shared" si="0"/>
        <v>5.521077410593028</v>
      </c>
      <c r="X52" s="105">
        <f t="shared" si="1"/>
        <v>8.9441454051607057</v>
      </c>
      <c r="Y52" s="21">
        <f t="shared" si="2"/>
        <v>7.102990405917101</v>
      </c>
      <c r="AM52" s="75"/>
      <c r="AN52" s="90"/>
      <c r="AO52" s="97"/>
      <c r="AP52" s="76"/>
      <c r="AQ52" s="90"/>
      <c r="AR52" s="90"/>
      <c r="AS52" s="90"/>
      <c r="AT52" s="90"/>
      <c r="AU52" s="90"/>
      <c r="AV52" s="90"/>
      <c r="AW52" s="90"/>
    </row>
    <row r="53" spans="1:49" ht="15">
      <c r="B53" s="17" t="s">
        <v>104</v>
      </c>
      <c r="C53" s="103" t="str">
        <f ca="1">[1]!xlv(C55)</f>
        <v>k × (π²) × E × ((t / b)²) / (12 × (1 - νₑ²))</v>
      </c>
      <c r="V53" s="21">
        <v>4.8</v>
      </c>
      <c r="W53" s="21">
        <f t="shared" si="0"/>
        <v>5.5136111111111106</v>
      </c>
      <c r="X53" s="105">
        <f t="shared" si="1"/>
        <v>8.9320500000000003</v>
      </c>
      <c r="Y53" s="21">
        <f t="shared" si="2"/>
        <v>7.0933848435161799</v>
      </c>
    </row>
    <row r="54" spans="1:49">
      <c r="A54" s="13"/>
      <c r="B54" s="43" t="s">
        <v>10</v>
      </c>
      <c r="C54" s="103" t="str">
        <f>[1]!xln(C55)</f>
        <v>10.4 × (π²) × (1.05E+08) × ((0.055 / 5)²) / (12 × (1 - 0.3²))</v>
      </c>
      <c r="D54" s="103"/>
      <c r="E54" s="13"/>
      <c r="I54" s="13"/>
      <c r="J54" s="13"/>
      <c r="K54" s="13"/>
      <c r="V54" s="21">
        <v>4.9000000000000004</v>
      </c>
      <c r="W54" s="21">
        <f t="shared" si="0"/>
        <v>5.5065972511453563</v>
      </c>
      <c r="X54" s="105">
        <f t="shared" si="1"/>
        <v>8.9206875468554774</v>
      </c>
      <c r="Y54" s="21">
        <f t="shared" si="2"/>
        <v>7.0843613547403095</v>
      </c>
    </row>
    <row r="55" spans="1:49" ht="15">
      <c r="B55" s="17" t="s">
        <v>104</v>
      </c>
      <c r="C55" s="106">
        <f xml:space="preserve"> C52*(PI()^2)*G19*((G17/G16)^2)/(12*(1-G20^2))</f>
        <v>119924.06096471648</v>
      </c>
      <c r="D55" s="13" t="s">
        <v>116</v>
      </c>
      <c r="E55" s="13"/>
      <c r="F55" s="13"/>
      <c r="G55" s="13"/>
      <c r="V55" s="21">
        <v>5</v>
      </c>
      <c r="W55" s="21">
        <f t="shared" si="0"/>
        <v>5.5</v>
      </c>
      <c r="X55" s="105">
        <f t="shared" si="1"/>
        <v>8.91</v>
      </c>
      <c r="Y55" s="21">
        <f t="shared" si="2"/>
        <v>7.0758738425925936</v>
      </c>
    </row>
    <row r="56" spans="1:49">
      <c r="A56" s="13"/>
      <c r="C56" s="3" t="s">
        <v>117</v>
      </c>
      <c r="J56" s="43"/>
      <c r="K56" s="31"/>
      <c r="V56" s="21">
        <v>5.0999999999999996</v>
      </c>
      <c r="W56" s="21">
        <f t="shared" si="0"/>
        <v>5.4937870049980777</v>
      </c>
      <c r="X56" s="105">
        <f t="shared" si="1"/>
        <v>8.8999349480968863</v>
      </c>
      <c r="Y56" s="21">
        <f t="shared" si="2"/>
        <v>7.0678806846256368</v>
      </c>
    </row>
    <row r="57" spans="1:49">
      <c r="E57" s="13"/>
      <c r="F57" s="13"/>
      <c r="G57" s="13"/>
      <c r="K57" s="103"/>
      <c r="V57" s="21"/>
      <c r="W57" s="21"/>
      <c r="X57" s="105"/>
      <c r="Y57" s="21"/>
    </row>
    <row r="58" spans="1:49" s="6" customFormat="1">
      <c r="A58" s="37"/>
      <c r="B58" s="5"/>
      <c r="C58" s="69"/>
      <c r="D58" s="38"/>
      <c r="E58" s="38"/>
      <c r="F58" s="70" t="s">
        <v>48</v>
      </c>
      <c r="G58" s="69"/>
      <c r="H58" s="38"/>
      <c r="I58" s="38"/>
      <c r="J58" s="38"/>
      <c r="K58" s="37"/>
      <c r="M58" s="14"/>
      <c r="N58" s="14"/>
      <c r="O58" s="14"/>
      <c r="P58" s="57"/>
      <c r="Q58" s="14"/>
      <c r="R58" s="14"/>
      <c r="S58" s="14"/>
      <c r="T58" s="14"/>
    </row>
    <row r="59" spans="1:49" s="6" customFormat="1">
      <c r="A59" s="37"/>
      <c r="B59" s="38"/>
      <c r="C59" s="38"/>
      <c r="D59" s="38"/>
      <c r="E59" s="38"/>
      <c r="F59" s="101" t="s">
        <v>119</v>
      </c>
      <c r="G59" s="38"/>
      <c r="H59" s="38"/>
      <c r="I59" s="38"/>
      <c r="J59" s="38"/>
      <c r="K59" s="37"/>
      <c r="M59" s="14"/>
      <c r="N59" s="14"/>
      <c r="O59" s="14"/>
      <c r="P59" s="57"/>
      <c r="Q59" s="14"/>
      <c r="R59" s="14"/>
      <c r="S59" s="14"/>
      <c r="T59" s="14"/>
    </row>
    <row r="60" spans="1:49" s="6" customFormat="1">
      <c r="A60" s="84"/>
      <c r="B60" s="75"/>
      <c r="C60" s="75"/>
      <c r="D60" s="75"/>
      <c r="E60" s="49" t="s">
        <v>11</v>
      </c>
      <c r="F60" s="50" t="str">
        <f>$C$1</f>
        <v>R. Abbott</v>
      </c>
      <c r="G60" s="48"/>
      <c r="H60" s="51"/>
      <c r="I60" s="49" t="s">
        <v>16</v>
      </c>
      <c r="J60" s="52" t="str">
        <f>$G$2</f>
        <v>AA-SM-007-003</v>
      </c>
      <c r="K60" s="53"/>
      <c r="L60" s="68"/>
      <c r="M60" s="62"/>
      <c r="N60" s="62"/>
      <c r="O60" s="4"/>
      <c r="P60" s="56"/>
      <c r="Q60" s="14"/>
      <c r="R60" s="14"/>
      <c r="S60" s="14"/>
      <c r="T60" s="14"/>
    </row>
    <row r="61" spans="1:49" s="7" customFormat="1">
      <c r="A61" s="75"/>
      <c r="B61" s="75"/>
      <c r="C61" s="75"/>
      <c r="D61" s="75"/>
      <c r="E61" s="49" t="s">
        <v>12</v>
      </c>
      <c r="F61" s="51" t="str">
        <f>$C$2</f>
        <v xml:space="preserve"> </v>
      </c>
      <c r="G61" s="48"/>
      <c r="H61" s="51"/>
      <c r="I61" s="49" t="s">
        <v>17</v>
      </c>
      <c r="J61" s="53" t="str">
        <f>$G$3</f>
        <v>IR</v>
      </c>
      <c r="K61" s="53"/>
      <c r="L61" s="68"/>
      <c r="M61" s="62">
        <v>1</v>
      </c>
      <c r="N61" s="62"/>
      <c r="O61" s="4"/>
      <c r="P61" s="56"/>
      <c r="Q61" s="58"/>
      <c r="R61" s="58"/>
      <c r="S61" s="58"/>
      <c r="T61" s="58"/>
      <c r="X61" s="8"/>
      <c r="Y61" s="8"/>
      <c r="Z61" s="8"/>
      <c r="AA61" s="8"/>
      <c r="AB61" s="6"/>
      <c r="AC61" s="6"/>
      <c r="AD61" s="9"/>
      <c r="AE61" s="6"/>
      <c r="AF61" s="6"/>
    </row>
    <row r="62" spans="1:49" s="6" customFormat="1">
      <c r="A62" s="75"/>
      <c r="B62" s="75"/>
      <c r="C62" s="75"/>
      <c r="D62" s="75"/>
      <c r="E62" s="49" t="s">
        <v>0</v>
      </c>
      <c r="F62" s="51" t="str">
        <f>$C$3</f>
        <v>20/10/2013</v>
      </c>
      <c r="G62" s="48"/>
      <c r="H62" s="51"/>
      <c r="I62" s="49" t="s">
        <v>18</v>
      </c>
      <c r="J62" s="50" t="str">
        <f>L62&amp;" of "&amp;$G$1</f>
        <v>2 of 2</v>
      </c>
      <c r="K62" s="51"/>
      <c r="L62" s="68">
        <f>SUM($M$1:M61)</f>
        <v>2</v>
      </c>
      <c r="M62" s="62"/>
      <c r="N62" s="62"/>
      <c r="O62" s="4"/>
      <c r="P62" s="56"/>
      <c r="Q62" s="14"/>
      <c r="R62" s="14"/>
      <c r="S62" s="14"/>
      <c r="T62" s="14"/>
      <c r="X62" s="10"/>
      <c r="Y62" s="11"/>
      <c r="Z62" s="11"/>
      <c r="AA62" s="11"/>
      <c r="AB62" s="12"/>
      <c r="AC62" s="12"/>
      <c r="AD62" s="12"/>
    </row>
    <row r="63" spans="1:49">
      <c r="A63" s="75"/>
      <c r="B63" s="75"/>
      <c r="C63" s="75"/>
      <c r="D63" s="75"/>
      <c r="E63" s="49" t="s">
        <v>31</v>
      </c>
      <c r="F63" s="51" t="str">
        <f>$C$5</f>
        <v>STANDARD SPREADSHEET METHOD</v>
      </c>
      <c r="G63" s="48"/>
      <c r="H63" s="48"/>
      <c r="I63" s="54"/>
      <c r="J63" s="50"/>
      <c r="K63" s="48"/>
      <c r="L63" s="48"/>
      <c r="M63" s="62"/>
      <c r="N63" s="62"/>
      <c r="O63" s="4"/>
      <c r="P63" s="56"/>
      <c r="X63" s="10"/>
      <c r="Y63" s="11"/>
      <c r="Z63" s="11"/>
      <c r="AA63" s="11"/>
      <c r="AB63" s="12"/>
      <c r="AC63" s="12"/>
      <c r="AD63" s="12"/>
    </row>
    <row r="64" spans="1:49" ht="15.6">
      <c r="A64" s="37"/>
      <c r="B64" s="55" t="str">
        <f>$G$4</f>
        <v>PLASTIC SHEAR BUCKLING OF FLAT ISOTROPIC PANELS</v>
      </c>
      <c r="C64" s="37"/>
      <c r="D64" s="37"/>
      <c r="E64" s="37"/>
      <c r="F64" s="37"/>
      <c r="G64" s="37"/>
      <c r="H64" s="37"/>
      <c r="I64" s="37"/>
      <c r="J64" s="37"/>
      <c r="K64" s="37"/>
    </row>
    <row r="65" spans="1:91">
      <c r="A65" s="15"/>
      <c r="B65" s="16" t="str">
        <f>UPPER("Effect of material plasticity on Shear Buckling Allowable")</f>
        <v>EFFECT OF MATERIAL PLASTICITY ON SHEAR BUCKLING ALLOWABLE</v>
      </c>
      <c r="C65" s="13"/>
      <c r="D65" s="13"/>
      <c r="E65" s="13"/>
      <c r="F65" s="13"/>
      <c r="G65" s="13"/>
      <c r="H65" s="13"/>
      <c r="I65" s="13"/>
      <c r="J65" s="13"/>
      <c r="K65" s="37"/>
    </row>
    <row r="66" spans="1:91" ht="13.5" customHeight="1">
      <c r="A66" s="37"/>
      <c r="B66" s="37"/>
      <c r="C66" s="37"/>
      <c r="D66" s="37"/>
      <c r="E66" s="37"/>
      <c r="F66" s="37"/>
      <c r="G66" s="37"/>
      <c r="H66" s="37"/>
      <c r="I66" s="37"/>
      <c r="J66" s="37"/>
      <c r="K66" s="37"/>
    </row>
    <row r="67" spans="1:91">
      <c r="C67" s="116" t="s">
        <v>89</v>
      </c>
      <c r="D67" s="132">
        <v>7.0000000000000007E-2</v>
      </c>
      <c r="E67" s="125"/>
      <c r="G67" s="115" t="str">
        <f>"Derivation of shear Shape Factor"</f>
        <v>Derivation of shear Shape Factor</v>
      </c>
      <c r="H67" s="125"/>
      <c r="I67" s="125"/>
    </row>
    <row r="68" spans="1:91" s="75" customFormat="1" ht="13.8" customHeight="1">
      <c r="C68" s="116" t="s">
        <v>103</v>
      </c>
      <c r="D68" s="132">
        <v>3900000</v>
      </c>
      <c r="E68" s="115" t="str">
        <f>IF(D68="","","psi")</f>
        <v>psi</v>
      </c>
      <c r="G68" s="116" t="s">
        <v>88</v>
      </c>
      <c r="H68" s="124">
        <v>25</v>
      </c>
      <c r="I68" s="115"/>
      <c r="M68" s="108"/>
      <c r="N68" s="108"/>
      <c r="O68" s="108"/>
      <c r="P68" s="108"/>
      <c r="Q68" s="108"/>
      <c r="R68" s="108"/>
      <c r="S68" s="108"/>
      <c r="T68" s="108"/>
      <c r="U68" s="109"/>
      <c r="V68" s="109"/>
      <c r="W68" s="109"/>
      <c r="X68" s="109"/>
      <c r="Y68" s="3"/>
      <c r="Z68" s="3"/>
      <c r="AA68" s="3"/>
      <c r="AB68" s="3"/>
      <c r="AC68" s="3"/>
      <c r="AD68" s="3"/>
      <c r="AE68" s="3"/>
      <c r="AF68" s="3"/>
      <c r="AG68" s="3"/>
      <c r="AH68" s="3"/>
      <c r="AI68" s="3"/>
      <c r="AJ68" s="3"/>
      <c r="AK68" s="3"/>
      <c r="AL68" s="3"/>
      <c r="AM68" s="3"/>
      <c r="AN68" s="3"/>
      <c r="AO68" s="126"/>
      <c r="AP68" s="126"/>
      <c r="AQ68" s="126"/>
      <c r="AR68" s="126"/>
      <c r="AS68" s="126"/>
      <c r="AT68" s="126"/>
      <c r="AU68" s="126"/>
      <c r="AV68" s="126"/>
      <c r="AW68" s="126"/>
      <c r="AX68" s="126"/>
      <c r="AY68" s="126"/>
      <c r="AZ68" s="126"/>
      <c r="BA68" s="126"/>
      <c r="BB68" s="109"/>
      <c r="BC68" s="109"/>
      <c r="BD68" s="109"/>
      <c r="BE68" s="109"/>
      <c r="BF68" s="109"/>
      <c r="BG68" s="109"/>
      <c r="BH68" s="109"/>
      <c r="BI68" s="109"/>
      <c r="BJ68" s="109"/>
      <c r="BK68" s="109"/>
      <c r="BL68" s="109"/>
      <c r="BM68" s="109"/>
      <c r="BN68" s="109"/>
      <c r="BO68" s="109"/>
      <c r="BP68" s="109"/>
      <c r="BQ68" s="109"/>
      <c r="BR68" s="109"/>
      <c r="BS68" s="109"/>
      <c r="BT68" s="109"/>
      <c r="BU68" s="109"/>
      <c r="BV68" s="109"/>
      <c r="BW68" s="109"/>
      <c r="BX68" s="77"/>
      <c r="BY68" s="77"/>
      <c r="BZ68" s="77"/>
      <c r="CA68" s="77"/>
      <c r="CB68" s="77"/>
      <c r="CC68" s="77"/>
      <c r="CD68" s="77"/>
      <c r="CE68" s="77"/>
      <c r="CF68" s="77"/>
      <c r="CG68" s="77"/>
      <c r="CH68" s="77"/>
      <c r="CI68" s="77"/>
      <c r="CJ68" s="77"/>
      <c r="CK68" s="77"/>
      <c r="CL68" s="77"/>
      <c r="CM68" s="77"/>
    </row>
    <row r="69" spans="1:91" s="75" customFormat="1" ht="15">
      <c r="B69" s="116" t="s">
        <v>101</v>
      </c>
      <c r="C69" s="116" t="s">
        <v>93</v>
      </c>
      <c r="D69" s="132">
        <v>76000</v>
      </c>
      <c r="E69" s="115" t="str">
        <f t="shared" ref="E69:E75" si="3">IF(D69="","","psi")</f>
        <v>psi</v>
      </c>
      <c r="G69" s="116" t="s">
        <v>87</v>
      </c>
      <c r="H69" s="124">
        <v>22</v>
      </c>
      <c r="I69" s="97"/>
      <c r="M69" s="108"/>
      <c r="N69" s="108"/>
      <c r="O69" s="108"/>
      <c r="P69" s="108"/>
      <c r="Q69" s="108"/>
      <c r="R69" s="108"/>
      <c r="S69" s="108"/>
      <c r="T69" s="108"/>
      <c r="U69" s="113"/>
      <c r="V69" s="109"/>
      <c r="W69" s="17" t="s">
        <v>104</v>
      </c>
      <c r="X69" s="106">
        <f>C55</f>
        <v>119924.06096471648</v>
      </c>
      <c r="Y69" s="13" t="s">
        <v>63</v>
      </c>
      <c r="AB69" s="113" t="s">
        <v>78</v>
      </c>
      <c r="AC69" s="109"/>
      <c r="AD69" s="3"/>
      <c r="AE69" s="3"/>
      <c r="AF69" s="113" t="s">
        <v>80</v>
      </c>
      <c r="AG69" s="113"/>
      <c r="AH69" s="109"/>
      <c r="AI69" s="109"/>
      <c r="AK69" s="113"/>
      <c r="AL69" s="109"/>
      <c r="AM69" s="3"/>
      <c r="AN69" s="3"/>
      <c r="AO69" s="129"/>
      <c r="AP69" s="129"/>
      <c r="AQ69" s="129"/>
      <c r="AR69" s="129"/>
      <c r="AS69" s="129"/>
      <c r="AT69" s="129"/>
      <c r="AU69" s="129"/>
      <c r="AV69" s="129"/>
      <c r="AW69" s="129"/>
      <c r="AX69" s="129"/>
      <c r="AY69" s="129"/>
      <c r="AZ69" s="129"/>
      <c r="BA69" s="129"/>
      <c r="BB69" s="109"/>
      <c r="BC69" s="128"/>
      <c r="BD69" s="128"/>
      <c r="BE69" s="128"/>
      <c r="BF69" s="128"/>
      <c r="BG69" s="128"/>
      <c r="BH69" s="128"/>
      <c r="BI69" s="109"/>
      <c r="BJ69" s="109"/>
      <c r="BK69" s="109"/>
      <c r="BL69" s="109"/>
      <c r="BM69" s="109"/>
      <c r="BN69" s="109"/>
      <c r="BO69" s="109"/>
      <c r="BP69" s="109"/>
      <c r="BQ69" s="109"/>
      <c r="BR69" s="109"/>
      <c r="BS69" s="109"/>
      <c r="BT69" s="109"/>
      <c r="BU69" s="109"/>
      <c r="BV69" s="109"/>
      <c r="BW69" s="109"/>
      <c r="BX69" s="77"/>
      <c r="BY69" s="77"/>
      <c r="BZ69" s="77"/>
      <c r="CA69" s="77"/>
      <c r="CB69" s="77"/>
      <c r="CC69" s="77"/>
      <c r="CD69" s="77"/>
      <c r="CE69" s="77"/>
      <c r="CF69" s="77"/>
      <c r="CG69" s="77"/>
      <c r="CH69" s="77"/>
      <c r="CI69" s="77"/>
      <c r="CJ69" s="77"/>
      <c r="CK69" s="77"/>
      <c r="CL69" s="77"/>
      <c r="CM69" s="77"/>
    </row>
    <row r="70" spans="1:91" s="75" customFormat="1" ht="15">
      <c r="B70" s="116"/>
      <c r="C70" s="116" t="s">
        <v>92</v>
      </c>
      <c r="D70" s="132">
        <v>76000</v>
      </c>
      <c r="E70" s="115" t="str">
        <f t="shared" si="3"/>
        <v>psi</v>
      </c>
      <c r="G70" s="116" t="s">
        <v>86</v>
      </c>
      <c r="H70" s="124">
        <v>22</v>
      </c>
      <c r="I70" s="115"/>
      <c r="M70" s="108"/>
      <c r="N70" s="108"/>
      <c r="O70" s="108"/>
      <c r="P70" s="108"/>
      <c r="Q70" s="108"/>
      <c r="R70" s="108"/>
      <c r="S70" s="108"/>
      <c r="T70" s="108"/>
      <c r="U70" s="109"/>
      <c r="V70" s="109"/>
      <c r="Y70" s="3"/>
      <c r="AB70" s="113" t="s">
        <v>83</v>
      </c>
      <c r="AC70" s="109"/>
      <c r="AD70" s="3"/>
      <c r="AE70" s="3"/>
      <c r="AF70" s="113" t="s">
        <v>77</v>
      </c>
      <c r="AG70" s="113" t="s">
        <v>79</v>
      </c>
      <c r="AH70" s="113" t="s">
        <v>82</v>
      </c>
      <c r="AI70" s="113" t="s">
        <v>75</v>
      </c>
      <c r="AK70" s="113"/>
      <c r="AL70" s="113"/>
      <c r="AM70" s="3"/>
      <c r="AN70" s="3"/>
      <c r="AO70" s="109"/>
      <c r="AP70" s="109"/>
      <c r="AQ70" s="109"/>
      <c r="AR70" s="109"/>
      <c r="AS70" s="109"/>
      <c r="AT70" s="109"/>
      <c r="AU70" s="109"/>
      <c r="AV70" s="109"/>
      <c r="AW70" s="109"/>
      <c r="AX70" s="109"/>
      <c r="AY70" s="109"/>
      <c r="AZ70" s="109"/>
      <c r="BA70" s="109"/>
      <c r="BB70" s="109"/>
      <c r="BC70" s="109"/>
      <c r="BD70" s="109"/>
      <c r="BE70" s="109"/>
      <c r="BF70" s="109"/>
      <c r="BG70" s="109"/>
      <c r="BH70" s="109"/>
      <c r="BI70" s="109"/>
      <c r="BJ70" s="109"/>
      <c r="BK70" s="109"/>
      <c r="BL70" s="109"/>
      <c r="BM70" s="109"/>
      <c r="BN70" s="109"/>
      <c r="BO70" s="109"/>
      <c r="BP70" s="109"/>
      <c r="BQ70" s="109"/>
      <c r="BR70" s="109"/>
      <c r="BS70" s="109"/>
      <c r="BT70" s="109"/>
      <c r="BU70" s="109"/>
      <c r="BV70" s="109"/>
      <c r="BW70" s="109"/>
      <c r="BX70" s="77"/>
      <c r="BY70" s="77"/>
      <c r="BZ70" s="77"/>
      <c r="CA70" s="77"/>
      <c r="CB70" s="77"/>
      <c r="CC70" s="77"/>
      <c r="CD70" s="77"/>
      <c r="CE70" s="77"/>
      <c r="CF70" s="77"/>
      <c r="CG70" s="77"/>
      <c r="CH70" s="77"/>
      <c r="CI70" s="77"/>
      <c r="CJ70" s="77"/>
      <c r="CK70" s="77"/>
      <c r="CL70" s="77"/>
      <c r="CM70" s="77"/>
    </row>
    <row r="71" spans="1:91" s="75" customFormat="1" ht="15" customHeight="1">
      <c r="B71" s="116" t="s">
        <v>99</v>
      </c>
      <c r="C71" s="116" t="s">
        <v>100</v>
      </c>
      <c r="D71" s="132">
        <v>69000</v>
      </c>
      <c r="E71" s="115" t="str">
        <f t="shared" si="3"/>
        <v>psi</v>
      </c>
      <c r="G71" s="116" t="s">
        <v>85</v>
      </c>
      <c r="H71" s="124">
        <v>22</v>
      </c>
      <c r="I71" s="115"/>
      <c r="M71" s="108"/>
      <c r="N71" s="108"/>
      <c r="O71" s="108"/>
      <c r="P71" s="108"/>
      <c r="Q71" s="108"/>
      <c r="R71" s="108"/>
      <c r="S71" s="108"/>
      <c r="T71" s="108"/>
      <c r="U71" s="109"/>
      <c r="V71" s="127"/>
      <c r="Y71" s="3"/>
      <c r="AB71" s="113" t="s">
        <v>73</v>
      </c>
      <c r="AC71" s="113" t="s">
        <v>81</v>
      </c>
      <c r="AD71" s="3"/>
      <c r="AE71" s="3"/>
      <c r="AF71" s="113" t="s">
        <v>76</v>
      </c>
      <c r="AG71" s="113" t="s">
        <v>74</v>
      </c>
      <c r="AH71" s="109"/>
      <c r="AI71" s="113" t="s">
        <v>73</v>
      </c>
      <c r="AK71" s="113"/>
      <c r="AL71" s="113"/>
      <c r="AM71" s="3"/>
      <c r="AN71" s="3"/>
      <c r="AO71" s="109"/>
      <c r="AP71" s="109"/>
      <c r="AQ71" s="109"/>
      <c r="AR71" s="109"/>
      <c r="AS71" s="109"/>
      <c r="AT71" s="109"/>
      <c r="AU71" s="109"/>
      <c r="AV71" s="109"/>
      <c r="AW71" s="109"/>
      <c r="AX71" s="109"/>
      <c r="AY71" s="109"/>
      <c r="AZ71" s="109"/>
      <c r="BA71" s="109"/>
      <c r="BB71" s="109"/>
      <c r="BC71" s="109"/>
      <c r="BD71" s="109"/>
      <c r="BE71" s="109"/>
      <c r="BF71" s="109"/>
      <c r="BG71" s="109"/>
      <c r="BH71" s="109"/>
      <c r="BI71" s="109"/>
      <c r="BJ71" s="109"/>
      <c r="BK71" s="109"/>
      <c r="BL71" s="109"/>
      <c r="BM71" s="109"/>
      <c r="BN71" s="109"/>
      <c r="BO71" s="109"/>
      <c r="BP71" s="109"/>
      <c r="BQ71" s="109"/>
      <c r="BR71" s="109"/>
      <c r="BS71" s="109"/>
      <c r="BT71" s="109"/>
      <c r="BU71" s="109"/>
      <c r="BV71" s="109"/>
      <c r="BW71" s="109"/>
      <c r="BX71" s="77"/>
      <c r="BY71" s="77"/>
      <c r="BZ71" s="77"/>
      <c r="CA71" s="77"/>
      <c r="CB71" s="77"/>
      <c r="CC71" s="77"/>
      <c r="CD71" s="77"/>
      <c r="CE71" s="77"/>
      <c r="CF71" s="77"/>
      <c r="CG71" s="77"/>
      <c r="CH71" s="77"/>
      <c r="CI71" s="77"/>
      <c r="CJ71" s="77"/>
      <c r="CK71" s="77"/>
      <c r="CL71" s="77"/>
      <c r="CM71" s="77"/>
    </row>
    <row r="72" spans="1:91" s="75" customFormat="1" ht="15">
      <c r="B72" s="116"/>
      <c r="C72" s="116" t="s">
        <v>98</v>
      </c>
      <c r="D72" s="132">
        <v>67000</v>
      </c>
      <c r="E72" s="115" t="str">
        <f t="shared" si="3"/>
        <v>psi</v>
      </c>
      <c r="G72" s="116" t="s">
        <v>84</v>
      </c>
      <c r="H72" s="131" t="str">
        <f>[1]!xln(H73)</f>
        <v>(25 + 22 + 22 + 22) / 4</v>
      </c>
      <c r="I72" s="115"/>
      <c r="M72" s="108"/>
      <c r="N72" s="108"/>
      <c r="O72" s="108"/>
      <c r="P72" s="108"/>
      <c r="Q72" s="108"/>
      <c r="R72" s="108"/>
      <c r="S72" s="108"/>
      <c r="T72" s="108"/>
      <c r="U72" s="109"/>
      <c r="V72" s="109"/>
      <c r="Y72" s="3"/>
      <c r="AB72" s="109"/>
      <c r="AC72" s="113"/>
      <c r="AD72" s="3"/>
      <c r="AE72" s="3"/>
      <c r="AF72" s="109"/>
      <c r="AG72" s="109"/>
      <c r="AH72" s="109"/>
      <c r="AI72" s="109"/>
      <c r="AK72" s="121"/>
      <c r="AL72" s="122"/>
      <c r="AM72" s="3"/>
      <c r="AN72" s="3"/>
      <c r="AO72" s="109"/>
      <c r="AP72" s="109"/>
      <c r="AQ72" s="109"/>
      <c r="AR72" s="109"/>
      <c r="AS72" s="109"/>
      <c r="AT72" s="109"/>
      <c r="AU72" s="109"/>
      <c r="AV72" s="109"/>
      <c r="AW72" s="109"/>
      <c r="AX72" s="109"/>
      <c r="AY72" s="109"/>
      <c r="AZ72" s="109"/>
      <c r="BA72" s="109"/>
      <c r="BB72" s="109"/>
      <c r="BC72" s="109"/>
      <c r="BD72" s="109"/>
      <c r="BE72" s="109"/>
      <c r="BF72" s="109"/>
      <c r="BG72" s="109"/>
      <c r="BH72" s="109"/>
      <c r="BI72" s="109"/>
      <c r="BJ72" s="109"/>
      <c r="BK72" s="109"/>
      <c r="BL72" s="109"/>
      <c r="BM72" s="109"/>
      <c r="BN72" s="109"/>
      <c r="BO72" s="109"/>
      <c r="BP72" s="109"/>
      <c r="BQ72" s="109"/>
      <c r="BR72" s="109"/>
      <c r="BS72" s="109"/>
      <c r="BT72" s="109"/>
      <c r="BU72" s="109"/>
      <c r="BV72" s="109"/>
      <c r="BW72" s="109"/>
      <c r="BX72" s="77"/>
      <c r="BY72" s="77"/>
      <c r="BZ72" s="77"/>
      <c r="CA72" s="77"/>
      <c r="CB72" s="77"/>
      <c r="CC72" s="77"/>
      <c r="CD72" s="77"/>
      <c r="CE72" s="77"/>
      <c r="CF72" s="77"/>
      <c r="CG72" s="77"/>
      <c r="CH72" s="77"/>
      <c r="CI72" s="77"/>
      <c r="CJ72" s="77"/>
      <c r="CK72" s="77"/>
      <c r="CL72" s="77"/>
      <c r="CM72" s="77"/>
    </row>
    <row r="73" spans="1:91" s="75" customFormat="1" ht="15">
      <c r="B73" s="116" t="s">
        <v>95</v>
      </c>
      <c r="C73" s="116" t="s">
        <v>97</v>
      </c>
      <c r="D73" s="132">
        <v>68000</v>
      </c>
      <c r="E73" s="115" t="str">
        <f t="shared" si="3"/>
        <v>psi</v>
      </c>
      <c r="G73" s="116" t="s">
        <v>84</v>
      </c>
      <c r="H73" s="123">
        <f>(H68+H69+H70+H71)/4</f>
        <v>22.75</v>
      </c>
      <c r="I73" s="115"/>
      <c r="M73" s="108"/>
      <c r="N73" s="108"/>
      <c r="O73" s="108"/>
      <c r="P73" s="108"/>
      <c r="Q73" s="108"/>
      <c r="R73" s="108"/>
      <c r="S73" s="108"/>
      <c r="T73" s="108"/>
      <c r="U73" s="109"/>
      <c r="V73" s="71"/>
      <c r="Y73" s="3"/>
      <c r="AB73" s="113" t="s">
        <v>72</v>
      </c>
      <c r="AC73" s="113"/>
      <c r="AD73" s="3"/>
      <c r="AE73" s="3"/>
      <c r="AF73" s="113"/>
      <c r="AG73" s="113" t="s">
        <v>72</v>
      </c>
      <c r="AH73" s="109"/>
      <c r="AI73" s="113" t="s">
        <v>72</v>
      </c>
      <c r="AK73" s="113"/>
      <c r="AL73" s="113"/>
      <c r="AM73" s="3"/>
      <c r="AN73" s="3"/>
      <c r="AO73" s="71"/>
      <c r="AP73" s="71"/>
      <c r="AQ73" s="71"/>
      <c r="AR73" s="71"/>
      <c r="AS73" s="71"/>
      <c r="AT73" s="71"/>
      <c r="AU73" s="71"/>
      <c r="AV73" s="71"/>
      <c r="AW73" s="71"/>
      <c r="AX73" s="71"/>
      <c r="AY73" s="71"/>
      <c r="AZ73" s="71"/>
      <c r="BA73" s="71"/>
      <c r="BB73" s="71"/>
      <c r="BC73" s="71"/>
      <c r="BD73" s="71"/>
      <c r="BE73" s="71"/>
      <c r="BF73" s="71"/>
      <c r="BG73" s="71"/>
      <c r="BH73" s="71"/>
      <c r="BI73" s="71"/>
      <c r="BJ73" s="71"/>
      <c r="BK73" s="71"/>
      <c r="BL73" s="71"/>
      <c r="BM73" s="71"/>
      <c r="BN73" s="71"/>
      <c r="BO73" s="71"/>
      <c r="BP73" s="71"/>
      <c r="BQ73" s="71"/>
      <c r="BR73" s="71"/>
      <c r="BS73" s="71"/>
      <c r="BT73" s="71"/>
      <c r="BU73" s="71"/>
      <c r="BV73" s="71"/>
      <c r="BW73" s="71"/>
    </row>
    <row r="74" spans="1:91" s="75" customFormat="1" ht="15">
      <c r="B74" s="115"/>
      <c r="C74" s="116" t="s">
        <v>96</v>
      </c>
      <c r="D74" s="132">
        <v>71000</v>
      </c>
      <c r="E74" s="115" t="str">
        <f t="shared" si="3"/>
        <v>psi</v>
      </c>
      <c r="M74" s="108"/>
      <c r="N74" s="108"/>
      <c r="O74" s="108"/>
      <c r="P74" s="108"/>
      <c r="Q74" s="108"/>
      <c r="R74" s="108"/>
      <c r="S74" s="108"/>
      <c r="T74" s="108"/>
      <c r="U74" s="109"/>
      <c r="V74" s="71"/>
      <c r="Y74" s="3"/>
      <c r="AB74" s="110">
        <v>0</v>
      </c>
      <c r="AC74" s="112">
        <f t="shared" ref="AC74:AC101" si="4">IF(AB74&lt;$C$80,$H$73,(LOG(($D$67)/SQRT(3)/0.00346))/(LOG($D$75/$C$80)))</f>
        <v>22.75</v>
      </c>
      <c r="AD74" s="3">
        <f>AVERAGE(AC72:AC76)</f>
        <v>22.75</v>
      </c>
      <c r="AE74" s="3">
        <f>AVERAGE(AD72:AD76)</f>
        <v>22.75</v>
      </c>
      <c r="AF74" s="111">
        <f t="shared" ref="AF74:AF101" si="5">(AB74/$D$68)+0.00346*(AB74/$C$80)^AC74</f>
        <v>0</v>
      </c>
      <c r="AG74" s="110">
        <f>D68</f>
        <v>3900000</v>
      </c>
      <c r="AH74" s="112">
        <f t="shared" ref="AH74:AH101" si="6">AG74/$D$68</f>
        <v>1</v>
      </c>
      <c r="AI74" s="110">
        <f t="shared" ref="AI74:AI101" si="7">AB74/AH74</f>
        <v>0</v>
      </c>
      <c r="AK74" s="110"/>
      <c r="AL74" s="112"/>
      <c r="AM74" s="3"/>
      <c r="AN74" s="3"/>
      <c r="AO74" s="71"/>
      <c r="AP74" s="71"/>
      <c r="AQ74" s="71"/>
      <c r="AR74" s="71"/>
      <c r="AS74" s="71"/>
      <c r="AT74" s="71"/>
      <c r="AU74" s="71"/>
      <c r="AV74" s="71"/>
      <c r="AW74" s="71"/>
      <c r="AX74" s="71"/>
      <c r="AY74" s="71"/>
      <c r="AZ74" s="71"/>
      <c r="BA74" s="71"/>
      <c r="BB74" s="71"/>
      <c r="BC74" s="71"/>
      <c r="BD74" s="71"/>
      <c r="BE74" s="71"/>
      <c r="BF74" s="71"/>
      <c r="BG74" s="71"/>
      <c r="BH74" s="71"/>
      <c r="BI74" s="71"/>
      <c r="BJ74" s="71"/>
      <c r="BK74" s="71"/>
      <c r="BL74" s="71"/>
      <c r="BM74" s="71"/>
      <c r="BN74" s="71"/>
      <c r="BO74" s="71"/>
      <c r="BP74" s="71"/>
      <c r="BQ74" s="71"/>
      <c r="BR74" s="71"/>
      <c r="BS74" s="71"/>
      <c r="BT74" s="71"/>
      <c r="BU74" s="71"/>
      <c r="BV74" s="71"/>
      <c r="BW74" s="71"/>
    </row>
    <row r="75" spans="1:91" s="75" customFormat="1" ht="15">
      <c r="B75" s="116" t="s">
        <v>91</v>
      </c>
      <c r="C75" s="116" t="s">
        <v>94</v>
      </c>
      <c r="D75" s="132">
        <v>46000</v>
      </c>
      <c r="E75" s="115" t="str">
        <f t="shared" si="3"/>
        <v>psi</v>
      </c>
      <c r="M75" s="108"/>
      <c r="N75" s="108"/>
      <c r="O75" s="108"/>
      <c r="P75" s="108"/>
      <c r="Q75" s="108"/>
      <c r="R75" s="108"/>
      <c r="S75" s="108"/>
      <c r="T75" s="108"/>
      <c r="U75" s="109"/>
      <c r="V75" s="71"/>
      <c r="Y75" s="3"/>
      <c r="Z75" s="75">
        <f>(AB93-AB75)/18</f>
        <v>693.53070175438609</v>
      </c>
      <c r="AB75" s="110">
        <f>C80*0.7</f>
        <v>29128.28947368421</v>
      </c>
      <c r="AC75" s="112">
        <f t="shared" si="4"/>
        <v>22.75</v>
      </c>
      <c r="AD75" s="3">
        <f t="shared" ref="AD75:AE101" si="8">AVERAGE(AC73:AC77)</f>
        <v>22.75</v>
      </c>
      <c r="AE75" s="3">
        <f t="shared" si="8"/>
        <v>22.75</v>
      </c>
      <c r="AF75" s="111">
        <f t="shared" si="5"/>
        <v>7.4698274496046288E-3</v>
      </c>
      <c r="AG75" s="110">
        <f t="shared" ref="AG75:AG101" si="9">AB75/((AB75/$D$68)+0.00346*(AB75/$C$80)^AE75)</f>
        <v>3899459.4815206802</v>
      </c>
      <c r="AH75" s="112">
        <f t="shared" si="6"/>
        <v>0.99986140551812319</v>
      </c>
      <c r="AI75" s="110">
        <f t="shared" si="7"/>
        <v>29132.327053458048</v>
      </c>
      <c r="AJ75" s="71"/>
      <c r="AK75" s="110">
        <f>MATCH(X69,AI74:AI101)</f>
        <v>25</v>
      </c>
      <c r="AL75" s="112">
        <f>INDEX(AI74:AI101,AK75)</f>
        <v>108880.69999594129</v>
      </c>
      <c r="AM75" s="3">
        <f>INDEX(AB74:AB101,AK75)</f>
        <v>44354.440789473694</v>
      </c>
      <c r="AN75" s="3"/>
      <c r="AO75" s="71"/>
      <c r="AP75" s="71"/>
      <c r="AQ75" s="71"/>
      <c r="AR75" s="71"/>
      <c r="AS75" s="71"/>
      <c r="AT75" s="71"/>
      <c r="AU75" s="71"/>
      <c r="AV75" s="71"/>
      <c r="AW75" s="71"/>
      <c r="AX75" s="71"/>
      <c r="AY75" s="71"/>
      <c r="AZ75" s="71"/>
      <c r="BA75" s="71"/>
      <c r="BB75" s="71"/>
      <c r="BC75" s="71"/>
      <c r="BD75" s="71"/>
      <c r="BE75" s="71"/>
      <c r="BF75" s="71"/>
      <c r="BG75" s="71"/>
      <c r="BH75" s="71"/>
      <c r="BI75" s="71"/>
      <c r="BJ75" s="71"/>
      <c r="BK75" s="71"/>
      <c r="BL75" s="71"/>
      <c r="BM75" s="71"/>
      <c r="BN75" s="71"/>
      <c r="BO75" s="71"/>
      <c r="BP75" s="71"/>
      <c r="BQ75" s="71"/>
      <c r="BR75" s="71"/>
      <c r="BS75" s="71"/>
      <c r="BT75" s="71"/>
      <c r="BU75" s="71"/>
      <c r="BV75" s="71"/>
      <c r="BW75" s="71"/>
    </row>
    <row r="76" spans="1:91" s="75" customFormat="1">
      <c r="M76" s="108"/>
      <c r="N76" s="108"/>
      <c r="O76" s="108"/>
      <c r="P76" s="108"/>
      <c r="Q76" s="108"/>
      <c r="R76" s="108"/>
      <c r="S76" s="108"/>
      <c r="T76" s="108"/>
      <c r="U76" s="109"/>
      <c r="V76" s="71"/>
      <c r="Y76" s="3"/>
      <c r="AB76" s="110">
        <f t="shared" ref="AB76:AB92" si="10">AB75+$Z$75</f>
        <v>29821.820175438595</v>
      </c>
      <c r="AC76" s="112">
        <f t="shared" si="4"/>
        <v>22.75</v>
      </c>
      <c r="AD76" s="3">
        <f t="shared" si="8"/>
        <v>22.75</v>
      </c>
      <c r="AE76" s="3">
        <f t="shared" si="8"/>
        <v>22.75</v>
      </c>
      <c r="AF76" s="111">
        <f t="shared" si="5"/>
        <v>7.6483888031234981E-3</v>
      </c>
      <c r="AG76" s="110">
        <f t="shared" si="9"/>
        <v>3899098.351702488</v>
      </c>
      <c r="AH76" s="112">
        <f t="shared" si="6"/>
        <v>0.99976880812884306</v>
      </c>
      <c r="AI76" s="110">
        <f t="shared" si="7"/>
        <v>29828.716332181641</v>
      </c>
      <c r="AK76" s="110">
        <f>AK75+1</f>
        <v>26</v>
      </c>
      <c r="AL76" s="112">
        <f>INDEX(AI74:AI101,AK76)</f>
        <v>132119.97700771916</v>
      </c>
      <c r="AM76" s="3">
        <f>INDEX(AB74:AB101,AK76)</f>
        <v>44902.960526315801</v>
      </c>
      <c r="AN76" s="3"/>
      <c r="AO76" s="71"/>
      <c r="AP76" s="71"/>
      <c r="AQ76" s="71"/>
      <c r="AR76" s="71"/>
      <c r="AS76" s="71"/>
      <c r="AT76" s="71"/>
      <c r="AU76" s="71"/>
      <c r="AV76" s="71"/>
      <c r="AW76" s="71"/>
      <c r="AX76" s="71"/>
      <c r="AY76" s="71"/>
      <c r="AZ76" s="71"/>
      <c r="BA76" s="71"/>
      <c r="BB76" s="71"/>
      <c r="BC76" s="71"/>
      <c r="BD76" s="71"/>
      <c r="BE76" s="71"/>
      <c r="BF76" s="71"/>
      <c r="BG76" s="71"/>
      <c r="BH76" s="71"/>
      <c r="BI76" s="71"/>
      <c r="BJ76" s="71"/>
      <c r="BK76" s="71"/>
      <c r="BL76" s="71"/>
      <c r="BM76" s="71"/>
      <c r="BN76" s="71"/>
      <c r="BO76" s="71"/>
      <c r="BP76" s="71"/>
      <c r="BQ76" s="71"/>
      <c r="BR76" s="71"/>
      <c r="BS76" s="71"/>
      <c r="BT76" s="71"/>
      <c r="BU76" s="71"/>
      <c r="BV76" s="71"/>
      <c r="BW76" s="71"/>
    </row>
    <row r="77" spans="1:91" s="75" customFormat="1">
      <c r="B77" s="125" t="s">
        <v>102</v>
      </c>
      <c r="C77" s="115"/>
      <c r="D77" s="132"/>
      <c r="E77" s="115"/>
      <c r="F77" s="97"/>
      <c r="G77" s="116"/>
      <c r="H77" s="117"/>
      <c r="I77" s="3"/>
      <c r="J77" s="3"/>
      <c r="M77" s="108"/>
      <c r="N77" s="108"/>
      <c r="O77" s="108"/>
      <c r="P77" s="108"/>
      <c r="Q77" s="108"/>
      <c r="R77" s="108"/>
      <c r="S77" s="108"/>
      <c r="T77" s="108"/>
      <c r="U77" s="109"/>
      <c r="V77" s="71"/>
      <c r="Y77" s="3"/>
      <c r="Z77" s="75">
        <f>(AB101-AB93)/8</f>
        <v>548.51973684210498</v>
      </c>
      <c r="AB77" s="110">
        <f t="shared" si="10"/>
        <v>30515.350877192981</v>
      </c>
      <c r="AC77" s="112">
        <f t="shared" si="4"/>
        <v>22.75</v>
      </c>
      <c r="AD77" s="3">
        <f t="shared" si="8"/>
        <v>22.75</v>
      </c>
      <c r="AE77" s="3">
        <f t="shared" si="8"/>
        <v>22.75</v>
      </c>
      <c r="AF77" s="111">
        <f t="shared" si="5"/>
        <v>7.8274321509224296E-3</v>
      </c>
      <c r="AG77" s="110">
        <f t="shared" si="9"/>
        <v>3898513.6234744466</v>
      </c>
      <c r="AH77" s="112">
        <f t="shared" si="6"/>
        <v>0.99961887781396064</v>
      </c>
      <c r="AI77" s="110">
        <f t="shared" si="7"/>
        <v>30526.985388597474</v>
      </c>
      <c r="AK77" s="110"/>
      <c r="AL77" s="112"/>
      <c r="AM77" s="3"/>
      <c r="AN77" s="3"/>
      <c r="AO77" s="71"/>
      <c r="AP77" s="71"/>
      <c r="AQ77" s="71"/>
      <c r="AR77" s="71"/>
      <c r="AS77" s="71"/>
      <c r="AT77" s="71"/>
      <c r="AU77" s="71"/>
      <c r="AV77" s="71"/>
      <c r="AW77" s="71"/>
      <c r="AX77" s="71"/>
      <c r="AY77" s="71"/>
      <c r="AZ77" s="71"/>
      <c r="BA77" s="71"/>
      <c r="BB77" s="71"/>
      <c r="BC77" s="71"/>
      <c r="BD77" s="71"/>
      <c r="BE77" s="71"/>
      <c r="BF77" s="71"/>
      <c r="BG77" s="71"/>
      <c r="BH77" s="71"/>
      <c r="BI77" s="71"/>
      <c r="BJ77" s="71"/>
      <c r="BK77" s="71"/>
      <c r="BL77" s="71"/>
      <c r="BM77" s="71"/>
      <c r="BN77" s="71"/>
      <c r="BO77" s="71"/>
      <c r="BP77" s="71"/>
      <c r="BQ77" s="71"/>
      <c r="BR77" s="71"/>
      <c r="BS77" s="71"/>
      <c r="BT77" s="71"/>
      <c r="BU77" s="71"/>
      <c r="BV77" s="71"/>
      <c r="BW77" s="71"/>
    </row>
    <row r="78" spans="1:91" s="75" customFormat="1" ht="15">
      <c r="B78" s="116" t="s">
        <v>90</v>
      </c>
      <c r="C78" s="130" t="str">
        <f ca="1">[1]!xlv(C80)</f>
        <v>((Fty[L] + Fty[LT] + Fcy[L] + Fcy[LT]) / 4) × ((2 × Fsu) / (Ftu (L) + Ftu[LT]))</v>
      </c>
      <c r="F78" s="97"/>
      <c r="I78" s="3"/>
      <c r="J78" s="3"/>
      <c r="M78" s="108"/>
      <c r="N78" s="108"/>
      <c r="O78" s="108"/>
      <c r="P78" s="108"/>
      <c r="Q78" s="108"/>
      <c r="R78" s="108"/>
      <c r="S78" s="108"/>
      <c r="T78" s="108"/>
      <c r="U78" s="109"/>
      <c r="V78" s="71"/>
      <c r="Y78" s="3"/>
      <c r="AB78" s="110">
        <f t="shared" si="10"/>
        <v>31208.881578947367</v>
      </c>
      <c r="AC78" s="112">
        <f t="shared" si="4"/>
        <v>22.75</v>
      </c>
      <c r="AD78" s="3">
        <f t="shared" si="8"/>
        <v>22.75</v>
      </c>
      <c r="AE78" s="3">
        <f t="shared" si="8"/>
        <v>22.75</v>
      </c>
      <c r="AF78" s="111">
        <f t="shared" si="5"/>
        <v>8.0072514889680587E-3</v>
      </c>
      <c r="AG78" s="110">
        <f t="shared" si="9"/>
        <v>3897577.292526057</v>
      </c>
      <c r="AH78" s="112">
        <f t="shared" si="6"/>
        <v>0.99937879295539922</v>
      </c>
      <c r="AI78" s="110">
        <f t="shared" si="7"/>
        <v>31228.280806975432</v>
      </c>
      <c r="AK78" s="110"/>
      <c r="AL78" s="3"/>
      <c r="AM78" s="3"/>
      <c r="AN78" s="3"/>
      <c r="AO78" s="71"/>
      <c r="AP78" s="71"/>
      <c r="AQ78" s="71"/>
      <c r="AR78" s="71"/>
      <c r="AS78" s="71"/>
      <c r="AT78" s="71"/>
      <c r="AU78" s="71"/>
      <c r="AV78" s="71"/>
      <c r="AW78" s="71"/>
      <c r="AX78" s="71"/>
      <c r="AY78" s="71"/>
      <c r="AZ78" s="71"/>
      <c r="BA78" s="71"/>
      <c r="BB78" s="71"/>
      <c r="BC78" s="71"/>
      <c r="BD78" s="71"/>
      <c r="BE78" s="71"/>
      <c r="BF78" s="71"/>
      <c r="BG78" s="71"/>
      <c r="BH78" s="71"/>
      <c r="BI78" s="71"/>
      <c r="BJ78" s="71"/>
      <c r="BK78" s="71"/>
      <c r="BL78" s="71"/>
      <c r="BM78" s="71"/>
      <c r="BN78" s="71"/>
      <c r="BO78" s="71"/>
      <c r="BP78" s="71"/>
      <c r="BQ78" s="71"/>
      <c r="BR78" s="71"/>
      <c r="BS78" s="71"/>
      <c r="BT78" s="71"/>
      <c r="BU78" s="71"/>
      <c r="BV78" s="71"/>
      <c r="BW78" s="71"/>
    </row>
    <row r="79" spans="1:91" s="75" customFormat="1">
      <c r="B79" s="116" t="s">
        <v>10</v>
      </c>
      <c r="C79" s="125" t="str">
        <f>[1]!xln(C80)</f>
        <v>((69000 + 67000 + 68000 + 71000) / 4) × ((2 × 46000) / (76000 + 76000))</v>
      </c>
      <c r="D79" s="132"/>
      <c r="E79" s="115"/>
      <c r="F79" s="97"/>
      <c r="G79" s="97"/>
      <c r="H79" s="130"/>
      <c r="I79" s="13"/>
      <c r="J79" s="13"/>
      <c r="M79" s="108"/>
      <c r="N79" s="108"/>
      <c r="O79" s="108"/>
      <c r="P79" s="108"/>
      <c r="Q79" s="108"/>
      <c r="R79" s="108"/>
      <c r="S79" s="108"/>
      <c r="T79" s="108"/>
      <c r="U79" s="109"/>
      <c r="V79" s="71"/>
      <c r="Y79" s="3"/>
      <c r="AB79" s="110">
        <f t="shared" si="10"/>
        <v>31902.412280701752</v>
      </c>
      <c r="AC79" s="112">
        <f t="shared" si="4"/>
        <v>22.75</v>
      </c>
      <c r="AD79" s="3">
        <f t="shared" si="8"/>
        <v>22.75</v>
      </c>
      <c r="AE79" s="3">
        <f t="shared" si="8"/>
        <v>22.75</v>
      </c>
      <c r="AF79" s="111">
        <f t="shared" si="5"/>
        <v>8.1883068831694501E-3</v>
      </c>
      <c r="AG79" s="110">
        <f t="shared" si="9"/>
        <v>3896093.8733592355</v>
      </c>
      <c r="AH79" s="112">
        <f t="shared" si="6"/>
        <v>0.99899842906647063</v>
      </c>
      <c r="AI79" s="110">
        <f t="shared" si="7"/>
        <v>31934.396844360857</v>
      </c>
      <c r="AK79" s="110"/>
      <c r="AL79" s="112"/>
      <c r="AM79" s="3"/>
      <c r="AN79" s="3"/>
      <c r="AO79" s="71"/>
      <c r="AP79" s="71"/>
      <c r="AQ79" s="71"/>
      <c r="AR79" s="71"/>
      <c r="AS79" s="71"/>
      <c r="AT79" s="71"/>
      <c r="AU79" s="71"/>
      <c r="AV79" s="71"/>
      <c r="AW79" s="71"/>
      <c r="AX79" s="71"/>
      <c r="AY79" s="71"/>
      <c r="AZ79" s="71"/>
      <c r="BA79" s="71"/>
      <c r="BB79" s="71"/>
      <c r="BC79" s="71"/>
      <c r="BD79" s="71"/>
      <c r="BE79" s="71"/>
      <c r="BF79" s="71"/>
      <c r="BG79" s="71"/>
      <c r="BH79" s="71"/>
      <c r="BI79" s="71"/>
      <c r="BJ79" s="71"/>
      <c r="BK79" s="71"/>
      <c r="BL79" s="71"/>
      <c r="BM79" s="71"/>
      <c r="BN79" s="71"/>
      <c r="BO79" s="71"/>
      <c r="BP79" s="71"/>
      <c r="BQ79" s="71"/>
      <c r="BR79" s="71"/>
      <c r="BS79" s="71"/>
      <c r="BT79" s="71"/>
      <c r="BU79" s="71"/>
      <c r="BV79" s="71"/>
      <c r="BW79" s="71"/>
    </row>
    <row r="80" spans="1:91" s="75" customFormat="1" ht="15" customHeight="1">
      <c r="B80" s="116" t="s">
        <v>90</v>
      </c>
      <c r="C80" s="134">
        <f>((D71+D72+D73+D74)/4)*((2*D75)/(D69+D70))</f>
        <v>41611.84210526316</v>
      </c>
      <c r="D80" s="115" t="s">
        <v>63</v>
      </c>
      <c r="E80" s="115"/>
      <c r="F80" s="97"/>
      <c r="I80" s="3"/>
      <c r="J80" s="3"/>
      <c r="M80" s="108"/>
      <c r="N80" s="108"/>
      <c r="O80" s="108"/>
      <c r="P80" s="108"/>
      <c r="Q80" s="108"/>
      <c r="R80" s="108"/>
      <c r="S80" s="108"/>
      <c r="T80" s="108"/>
      <c r="U80" s="109"/>
      <c r="V80" s="71"/>
      <c r="Y80" s="3"/>
      <c r="AB80" s="110">
        <f t="shared" si="10"/>
        <v>32595.942982456138</v>
      </c>
      <c r="AC80" s="112">
        <f t="shared" si="4"/>
        <v>22.75</v>
      </c>
      <c r="AD80" s="3">
        <f t="shared" si="8"/>
        <v>22.75</v>
      </c>
      <c r="AE80" s="3">
        <f t="shared" si="8"/>
        <v>22.75</v>
      </c>
      <c r="AF80" s="111">
        <f t="shared" si="5"/>
        <v>8.371311181031283E-3</v>
      </c>
      <c r="AG80" s="110">
        <f t="shared" si="9"/>
        <v>3893767.9268590468</v>
      </c>
      <c r="AH80" s="112">
        <f t="shared" si="6"/>
        <v>0.99840203252796067</v>
      </c>
      <c r="AI80" s="110">
        <f t="shared" si="7"/>
        <v>32648.113606022005</v>
      </c>
      <c r="AJ80" s="71"/>
      <c r="AK80" s="110"/>
      <c r="AL80" s="110">
        <f>AL81</f>
        <v>119924.06096471648</v>
      </c>
      <c r="AM80" s="135">
        <v>0</v>
      </c>
      <c r="AN80" s="3"/>
      <c r="AO80" s="71"/>
      <c r="AP80" s="71"/>
      <c r="AQ80" s="71"/>
      <c r="AR80" s="71"/>
      <c r="AS80" s="71"/>
      <c r="AT80" s="71"/>
      <c r="AU80" s="71"/>
      <c r="AV80" s="71"/>
      <c r="AW80" s="71"/>
      <c r="AX80" s="71"/>
      <c r="AY80" s="71"/>
      <c r="AZ80" s="71"/>
      <c r="BA80" s="71"/>
      <c r="BB80" s="71"/>
      <c r="BC80" s="71"/>
      <c r="BD80" s="71"/>
      <c r="BE80" s="71"/>
      <c r="BF80" s="71"/>
      <c r="BG80" s="71"/>
      <c r="BH80" s="71"/>
      <c r="BI80" s="71"/>
      <c r="BJ80" s="71"/>
      <c r="BK80" s="71"/>
      <c r="BL80" s="71"/>
      <c r="BM80" s="71"/>
      <c r="BN80" s="71"/>
      <c r="BO80" s="71"/>
      <c r="BP80" s="71"/>
      <c r="BQ80" s="71"/>
      <c r="BR80" s="71"/>
      <c r="BS80" s="71"/>
      <c r="BT80" s="71"/>
      <c r="BU80" s="71"/>
      <c r="BV80" s="71"/>
      <c r="BW80" s="71"/>
    </row>
    <row r="81" spans="1:75" s="75" customFormat="1">
      <c r="M81" s="108"/>
      <c r="N81" s="108"/>
      <c r="O81" s="108"/>
      <c r="P81" s="108"/>
      <c r="Q81" s="108"/>
      <c r="R81" s="108"/>
      <c r="S81" s="108"/>
      <c r="T81" s="108"/>
      <c r="U81" s="109"/>
      <c r="V81" s="71"/>
      <c r="Y81" s="3"/>
      <c r="AB81" s="110">
        <f t="shared" si="10"/>
        <v>33289.473684210527</v>
      </c>
      <c r="AC81" s="112">
        <f t="shared" si="4"/>
        <v>22.75</v>
      </c>
      <c r="AD81" s="3">
        <f t="shared" si="8"/>
        <v>22.75</v>
      </c>
      <c r="AE81" s="3">
        <f t="shared" si="8"/>
        <v>22.75</v>
      </c>
      <c r="AF81" s="111">
        <f t="shared" si="5"/>
        <v>8.5573584823382762E-3</v>
      </c>
      <c r="AG81" s="110">
        <f t="shared" si="9"/>
        <v>3890157.6640639068</v>
      </c>
      <c r="AH81" s="112">
        <f t="shared" si="6"/>
        <v>0.99747632411895049</v>
      </c>
      <c r="AI81" s="110">
        <f t="shared" si="7"/>
        <v>33373.698081119277</v>
      </c>
      <c r="AJ81" s="71"/>
      <c r="AK81" s="110"/>
      <c r="AL81" s="110">
        <f>X69</f>
        <v>119924.06096471648</v>
      </c>
      <c r="AM81" s="110">
        <f>((X69-AL75)/(AL76-AL75)*(AM76-AM75))+AM75</f>
        <v>44615.098702771727</v>
      </c>
      <c r="AN81" s="3"/>
      <c r="AO81" s="71"/>
      <c r="AP81" s="71"/>
      <c r="AQ81" s="71"/>
      <c r="AR81" s="71"/>
      <c r="AS81" s="71"/>
      <c r="AT81" s="71"/>
      <c r="AU81" s="71"/>
      <c r="AV81" s="71"/>
      <c r="AW81" s="71"/>
      <c r="AX81" s="71"/>
      <c r="AY81" s="71"/>
      <c r="AZ81" s="71"/>
      <c r="BA81" s="71"/>
      <c r="BB81" s="71"/>
      <c r="BC81" s="71"/>
      <c r="BD81" s="71"/>
      <c r="BE81" s="71"/>
      <c r="BF81" s="71"/>
      <c r="BG81" s="71"/>
      <c r="BH81" s="71"/>
      <c r="BI81" s="71"/>
      <c r="BJ81" s="71"/>
      <c r="BK81" s="71"/>
      <c r="BL81" s="71"/>
      <c r="BM81" s="71"/>
      <c r="BN81" s="71"/>
      <c r="BO81" s="71"/>
      <c r="BP81" s="71"/>
      <c r="BQ81" s="71"/>
      <c r="BR81" s="71"/>
      <c r="BS81" s="71"/>
      <c r="BT81" s="71"/>
      <c r="BU81" s="71"/>
      <c r="BV81" s="71"/>
      <c r="BW81" s="71"/>
    </row>
    <row r="82" spans="1:75" s="75" customFormat="1" ht="14.25" customHeight="1">
      <c r="A82" s="37"/>
      <c r="B82" s="30" t="s">
        <v>118</v>
      </c>
      <c r="C82" s="24"/>
      <c r="D82" s="37"/>
      <c r="E82" s="37"/>
      <c r="F82" s="37"/>
      <c r="G82" s="37"/>
      <c r="H82" s="37"/>
      <c r="I82" s="37"/>
      <c r="J82" s="37"/>
      <c r="K82" s="37"/>
      <c r="M82" s="108"/>
      <c r="N82" s="108"/>
      <c r="O82" s="108"/>
      <c r="P82" s="108"/>
      <c r="Q82" s="108"/>
      <c r="R82" s="108"/>
      <c r="S82" s="108"/>
      <c r="T82" s="108"/>
      <c r="U82" s="109"/>
      <c r="V82" s="71"/>
      <c r="Y82" s="3"/>
      <c r="AB82" s="110">
        <f t="shared" si="10"/>
        <v>33983.004385964916</v>
      </c>
      <c r="AC82" s="112">
        <f t="shared" si="4"/>
        <v>22.75</v>
      </c>
      <c r="AD82" s="3">
        <f t="shared" si="8"/>
        <v>22.75</v>
      </c>
      <c r="AE82" s="3">
        <f t="shared" si="8"/>
        <v>22.75</v>
      </c>
      <c r="AF82" s="111">
        <f t="shared" si="5"/>
        <v>8.7481128701829159E-3</v>
      </c>
      <c r="AG82" s="110">
        <f t="shared" si="9"/>
        <v>3884609.731293323</v>
      </c>
      <c r="AH82" s="112">
        <f t="shared" si="6"/>
        <v>0.99605377725469824</v>
      </c>
      <c r="AI82" s="110">
        <f t="shared" si="7"/>
        <v>34117.640193713371</v>
      </c>
      <c r="AK82" s="110"/>
      <c r="AL82" s="110">
        <v>0</v>
      </c>
      <c r="AM82" s="135">
        <f>AM81</f>
        <v>44615.098702771727</v>
      </c>
      <c r="AN82" s="3"/>
      <c r="AO82" s="71"/>
      <c r="AP82" s="71"/>
      <c r="AQ82" s="71"/>
      <c r="AR82" s="71"/>
      <c r="AS82" s="71"/>
      <c r="AT82" s="71"/>
      <c r="AU82" s="71"/>
      <c r="AV82" s="71"/>
      <c r="AW82" s="71"/>
      <c r="AX82" s="71"/>
      <c r="AY82" s="71"/>
      <c r="AZ82" s="71"/>
      <c r="BA82" s="71"/>
      <c r="BB82" s="71"/>
      <c r="BC82" s="71"/>
      <c r="BD82" s="71"/>
      <c r="BE82" s="71"/>
      <c r="BF82" s="71"/>
      <c r="BG82" s="71"/>
      <c r="BH82" s="71"/>
      <c r="BI82" s="71"/>
      <c r="BJ82" s="71"/>
      <c r="BK82" s="71"/>
      <c r="BL82" s="71"/>
      <c r="BM82" s="71"/>
      <c r="BN82" s="71"/>
      <c r="BO82" s="71"/>
      <c r="BP82" s="71"/>
      <c r="BQ82" s="71"/>
      <c r="BR82" s="71"/>
      <c r="BS82" s="71"/>
      <c r="BT82" s="71"/>
      <c r="BU82" s="71"/>
      <c r="BV82" s="71"/>
      <c r="BW82" s="71"/>
    </row>
    <row r="83" spans="1:75" s="75" customFormat="1">
      <c r="A83" s="115"/>
      <c r="B83" s="130"/>
      <c r="C83" s="130"/>
      <c r="D83" s="130"/>
      <c r="E83" s="130"/>
      <c r="F83" s="130"/>
      <c r="G83" s="130"/>
      <c r="H83" s="130"/>
      <c r="I83" s="130"/>
      <c r="J83" s="130"/>
      <c r="K83" s="115"/>
      <c r="M83" s="108"/>
      <c r="N83" s="108"/>
      <c r="O83" s="108"/>
      <c r="P83" s="108"/>
      <c r="Q83" s="108"/>
      <c r="R83" s="108"/>
      <c r="S83" s="108"/>
      <c r="T83" s="108"/>
      <c r="U83" s="109"/>
      <c r="V83" s="71"/>
      <c r="Y83" s="3"/>
      <c r="AB83" s="110">
        <f t="shared" si="10"/>
        <v>34676.535087719305</v>
      </c>
      <c r="AC83" s="112">
        <f t="shared" si="4"/>
        <v>22.75</v>
      </c>
      <c r="AD83" s="3">
        <f t="shared" si="8"/>
        <v>22.75</v>
      </c>
      <c r="AE83" s="3">
        <f t="shared" si="8"/>
        <v>22.75</v>
      </c>
      <c r="AF83" s="111">
        <f t="shared" si="5"/>
        <v>8.9460834223652978E-3</v>
      </c>
      <c r="AG83" s="110">
        <f t="shared" si="9"/>
        <v>3876169.4308626298</v>
      </c>
      <c r="AH83" s="112">
        <f t="shared" si="6"/>
        <v>0.99388959765708451</v>
      </c>
      <c r="AI83" s="110">
        <f t="shared" si="7"/>
        <v>34889.725347224667</v>
      </c>
      <c r="AK83" s="110"/>
      <c r="AL83" s="110"/>
      <c r="AM83" s="135"/>
      <c r="AN83" s="3"/>
      <c r="AO83" s="71"/>
      <c r="AP83" s="71"/>
      <c r="AQ83" s="71"/>
      <c r="AR83" s="71"/>
      <c r="AS83" s="71"/>
      <c r="AT83" s="71"/>
      <c r="AU83" s="71"/>
      <c r="AV83" s="71"/>
      <c r="AW83" s="71"/>
      <c r="AX83" s="71"/>
      <c r="AY83" s="71"/>
      <c r="AZ83" s="71"/>
      <c r="BA83" s="71"/>
      <c r="BB83" s="71"/>
      <c r="BC83" s="71"/>
      <c r="BD83" s="71"/>
      <c r="BE83" s="71"/>
      <c r="BF83" s="71"/>
      <c r="BG83" s="71"/>
      <c r="BH83" s="71"/>
      <c r="BI83" s="71"/>
      <c r="BJ83" s="71"/>
      <c r="BK83" s="71"/>
      <c r="BL83" s="71"/>
      <c r="BM83" s="71"/>
      <c r="BN83" s="71"/>
      <c r="BO83" s="71"/>
      <c r="BP83" s="71"/>
      <c r="BQ83" s="71"/>
      <c r="BR83" s="71"/>
      <c r="BS83" s="71"/>
      <c r="BT83" s="71"/>
      <c r="BU83" s="71"/>
      <c r="BV83" s="71"/>
      <c r="BW83" s="71"/>
    </row>
    <row r="84" spans="1:75" s="75" customFormat="1">
      <c r="A84" s="119"/>
      <c r="B84" s="130"/>
      <c r="C84" s="130"/>
      <c r="D84" s="130"/>
      <c r="E84" s="130"/>
      <c r="F84" s="130"/>
      <c r="G84" s="130"/>
      <c r="H84" s="130"/>
      <c r="I84" s="130"/>
      <c r="J84" s="130"/>
      <c r="K84" s="115"/>
      <c r="M84" s="108"/>
      <c r="N84" s="108"/>
      <c r="O84" s="108"/>
      <c r="P84" s="108"/>
      <c r="Q84" s="108"/>
      <c r="R84" s="108"/>
      <c r="S84" s="108"/>
      <c r="T84" s="108"/>
      <c r="U84" s="109"/>
      <c r="Y84" s="3"/>
      <c r="AB84" s="110">
        <f t="shared" si="10"/>
        <v>35370.065789473694</v>
      </c>
      <c r="AC84" s="112">
        <f t="shared" si="4"/>
        <v>22.75</v>
      </c>
      <c r="AD84" s="3">
        <f t="shared" si="8"/>
        <v>22.75</v>
      </c>
      <c r="AE84" s="3">
        <f t="shared" si="8"/>
        <v>22.75</v>
      </c>
      <c r="AF84" s="111">
        <f t="shared" si="5"/>
        <v>9.1550218348959017E-3</v>
      </c>
      <c r="AG84" s="110">
        <f t="shared" si="9"/>
        <v>3863460.5604821993</v>
      </c>
      <c r="AH84" s="112">
        <f t="shared" si="6"/>
        <v>0.99063091294415362</v>
      </c>
      <c r="AI84" s="110">
        <f t="shared" si="7"/>
        <v>35704.585156094021</v>
      </c>
      <c r="AK84" s="110"/>
      <c r="AL84" s="112"/>
      <c r="AM84" s="3"/>
      <c r="AN84" s="3"/>
      <c r="AO84" s="71"/>
      <c r="AP84" s="71"/>
      <c r="AQ84" s="71"/>
      <c r="AR84" s="71"/>
      <c r="AS84" s="71"/>
      <c r="AT84" s="71"/>
      <c r="AU84" s="71"/>
      <c r="AV84" s="71"/>
      <c r="AW84" s="71"/>
      <c r="AX84" s="71"/>
      <c r="AY84" s="71"/>
      <c r="AZ84" s="71"/>
      <c r="BA84" s="71"/>
      <c r="BB84" s="71"/>
      <c r="BC84" s="71"/>
      <c r="BD84" s="71"/>
      <c r="BE84" s="71"/>
      <c r="BF84" s="71"/>
      <c r="BG84" s="71"/>
      <c r="BH84" s="71"/>
      <c r="BI84" s="71"/>
      <c r="BJ84" s="71"/>
      <c r="BK84" s="71"/>
      <c r="BL84" s="71"/>
      <c r="BM84" s="71"/>
      <c r="BN84" s="71"/>
      <c r="BO84" s="71"/>
      <c r="BP84" s="71"/>
      <c r="BQ84" s="71"/>
      <c r="BR84" s="71"/>
      <c r="BS84" s="71"/>
      <c r="BT84" s="71"/>
      <c r="BU84" s="71"/>
      <c r="BV84" s="71"/>
      <c r="BW84" s="71"/>
    </row>
    <row r="85" spans="1:75" s="75" customFormat="1" ht="14.25" customHeight="1">
      <c r="A85" s="115"/>
      <c r="F85" s="115"/>
      <c r="G85" s="115"/>
      <c r="H85" s="115"/>
      <c r="I85" s="115"/>
      <c r="J85" s="115"/>
      <c r="K85" s="115"/>
      <c r="M85" s="108"/>
      <c r="N85" s="108"/>
      <c r="O85" s="108"/>
      <c r="P85" s="108"/>
      <c r="Q85" s="108"/>
      <c r="R85" s="108"/>
      <c r="S85" s="108"/>
      <c r="T85" s="108"/>
      <c r="U85" s="109"/>
      <c r="Y85" s="3"/>
      <c r="AB85" s="110">
        <f t="shared" si="10"/>
        <v>36063.596491228083</v>
      </c>
      <c r="AC85" s="112">
        <f t="shared" si="4"/>
        <v>22.75</v>
      </c>
      <c r="AD85" s="3">
        <f t="shared" si="8"/>
        <v>22.75</v>
      </c>
      <c r="AE85" s="3">
        <f t="shared" si="8"/>
        <v>22.75</v>
      </c>
      <c r="AF85" s="111">
        <f t="shared" si="5"/>
        <v>9.3804930385456391E-3</v>
      </c>
      <c r="AG85" s="110">
        <f t="shared" si="9"/>
        <v>3844531.0223074821</v>
      </c>
      <c r="AH85" s="112">
        <f t="shared" si="6"/>
        <v>0.98577718520704671</v>
      </c>
      <c r="AI85" s="110">
        <f t="shared" si="7"/>
        <v>36583.922850327988</v>
      </c>
      <c r="AK85" s="110"/>
      <c r="AL85" s="112"/>
      <c r="AM85" s="3"/>
      <c r="AN85" s="3"/>
      <c r="AO85" s="71"/>
      <c r="AP85" s="71"/>
      <c r="AQ85" s="71"/>
      <c r="AR85" s="71"/>
      <c r="AS85" s="71"/>
      <c r="AT85" s="71"/>
      <c r="AU85" s="71"/>
      <c r="AV85" s="71"/>
      <c r="AW85" s="71"/>
      <c r="AX85" s="71"/>
      <c r="AY85" s="71"/>
      <c r="AZ85" s="71"/>
      <c r="BA85" s="71"/>
      <c r="BB85" s="71"/>
      <c r="BC85" s="71"/>
      <c r="BD85" s="71"/>
      <c r="BE85" s="71"/>
      <c r="BF85" s="71"/>
      <c r="BG85" s="71"/>
      <c r="BH85" s="71"/>
      <c r="BI85" s="71"/>
      <c r="BJ85" s="71"/>
      <c r="BK85" s="71"/>
      <c r="BL85" s="71"/>
      <c r="BM85" s="71"/>
      <c r="BN85" s="71"/>
      <c r="BO85" s="71"/>
      <c r="BP85" s="71"/>
      <c r="BQ85" s="71"/>
      <c r="BR85" s="71"/>
      <c r="BS85" s="71"/>
      <c r="BT85" s="71"/>
      <c r="BU85" s="71"/>
      <c r="BV85" s="71"/>
      <c r="BW85" s="71"/>
    </row>
    <row r="86" spans="1:75" s="75" customFormat="1">
      <c r="A86" s="115"/>
      <c r="M86" s="108"/>
      <c r="N86" s="108"/>
      <c r="O86" s="108"/>
      <c r="P86" s="108"/>
      <c r="Q86" s="108"/>
      <c r="R86" s="108"/>
      <c r="S86" s="108"/>
      <c r="T86" s="108"/>
      <c r="U86" s="109"/>
      <c r="V86" s="71"/>
      <c r="Y86" s="3"/>
      <c r="AB86" s="110">
        <f t="shared" si="10"/>
        <v>36757.127192982472</v>
      </c>
      <c r="AC86" s="112">
        <f t="shared" si="4"/>
        <v>22.75</v>
      </c>
      <c r="AD86" s="3">
        <f t="shared" si="8"/>
        <v>22.75</v>
      </c>
      <c r="AE86" s="3">
        <f t="shared" si="8"/>
        <v>22.75</v>
      </c>
      <c r="AF86" s="111">
        <f t="shared" si="5"/>
        <v>9.6306882100435E-3</v>
      </c>
      <c r="AG86" s="110">
        <f t="shared" si="9"/>
        <v>3816666.72114354</v>
      </c>
      <c r="AH86" s="112">
        <f t="shared" si="6"/>
        <v>0.97863249260090768</v>
      </c>
      <c r="AI86" s="110">
        <f t="shared" si="7"/>
        <v>37559.684019169646</v>
      </c>
      <c r="AK86" s="110"/>
      <c r="AL86" s="112"/>
      <c r="AM86" s="3"/>
      <c r="AN86" s="3"/>
      <c r="AO86" s="71"/>
      <c r="AP86" s="71"/>
      <c r="AQ86" s="71"/>
      <c r="AR86" s="71"/>
      <c r="AS86" s="71"/>
      <c r="AT86" s="71"/>
      <c r="AU86" s="71"/>
      <c r="AV86" s="71"/>
      <c r="AW86" s="71"/>
      <c r="AX86" s="71"/>
      <c r="AY86" s="71"/>
      <c r="AZ86" s="71"/>
      <c r="BA86" s="71"/>
      <c r="BB86" s="71"/>
      <c r="BC86" s="71"/>
      <c r="BD86" s="71"/>
      <c r="BE86" s="71"/>
      <c r="BF86" s="71"/>
      <c r="BG86" s="71"/>
      <c r="BH86" s="71"/>
      <c r="BI86" s="71"/>
      <c r="BJ86" s="71"/>
      <c r="BK86" s="71"/>
      <c r="BL86" s="71"/>
      <c r="BM86" s="71"/>
      <c r="BN86" s="71"/>
      <c r="BO86" s="71"/>
      <c r="BP86" s="71"/>
      <c r="BQ86" s="71"/>
      <c r="BR86" s="71"/>
      <c r="BS86" s="71"/>
      <c r="BT86" s="71"/>
      <c r="BU86" s="71"/>
      <c r="BV86" s="71"/>
      <c r="BW86" s="71"/>
    </row>
    <row r="87" spans="1:75" s="75" customFormat="1">
      <c r="A87" s="115"/>
      <c r="M87" s="108"/>
      <c r="N87" s="108"/>
      <c r="O87" s="108"/>
      <c r="P87" s="108"/>
      <c r="Q87" s="108"/>
      <c r="R87" s="108"/>
      <c r="S87" s="108"/>
      <c r="T87" s="108"/>
      <c r="U87" s="109"/>
      <c r="Y87" s="3"/>
      <c r="AB87" s="110">
        <f t="shared" si="10"/>
        <v>37450.657894736862</v>
      </c>
      <c r="AC87" s="112">
        <f t="shared" si="4"/>
        <v>22.75</v>
      </c>
      <c r="AD87" s="3">
        <f t="shared" si="8"/>
        <v>22.75</v>
      </c>
      <c r="AE87" s="3">
        <f t="shared" si="8"/>
        <v>22.75</v>
      </c>
      <c r="AF87" s="111">
        <f t="shared" si="5"/>
        <v>9.9175751748431327E-3</v>
      </c>
      <c r="AG87" s="110">
        <f t="shared" si="9"/>
        <v>3776190.9775823024</v>
      </c>
      <c r="AH87" s="112">
        <f t="shared" si="6"/>
        <v>0.96825409681597496</v>
      </c>
      <c r="AI87" s="110">
        <f t="shared" si="7"/>
        <v>38678.543181888213</v>
      </c>
      <c r="AK87" s="110">
        <v>0</v>
      </c>
      <c r="AL87" s="112">
        <v>0</v>
      </c>
      <c r="AM87" s="3"/>
      <c r="AN87" s="3"/>
      <c r="AO87" s="71"/>
      <c r="AP87" s="71"/>
      <c r="AQ87" s="71"/>
      <c r="AR87" s="71"/>
      <c r="AS87" s="71"/>
      <c r="AT87" s="71"/>
      <c r="AU87" s="71"/>
      <c r="AV87" s="71"/>
      <c r="AW87" s="71"/>
      <c r="AX87" s="71"/>
      <c r="AY87" s="71"/>
      <c r="AZ87" s="71"/>
      <c r="BA87" s="71"/>
      <c r="BB87" s="71"/>
      <c r="BC87" s="71"/>
      <c r="BD87" s="71"/>
      <c r="BE87" s="71"/>
      <c r="BF87" s="71"/>
      <c r="BG87" s="71"/>
      <c r="BH87" s="71"/>
      <c r="BI87" s="71"/>
      <c r="BJ87" s="71"/>
      <c r="BK87" s="71"/>
      <c r="BL87" s="71"/>
      <c r="BM87" s="71"/>
      <c r="BN87" s="71"/>
      <c r="BO87" s="71"/>
      <c r="BP87" s="71"/>
      <c r="BQ87" s="71"/>
      <c r="BR87" s="71"/>
      <c r="BS87" s="71"/>
      <c r="BT87" s="71"/>
      <c r="BU87" s="71"/>
      <c r="BV87" s="71"/>
      <c r="BW87" s="71"/>
    </row>
    <row r="88" spans="1:75" s="75" customFormat="1">
      <c r="A88" s="115"/>
      <c r="I88" s="115"/>
      <c r="J88" s="97"/>
      <c r="K88" s="114"/>
      <c r="M88" s="108"/>
      <c r="N88" s="108"/>
      <c r="O88" s="108"/>
      <c r="P88" s="108"/>
      <c r="Q88" s="108"/>
      <c r="R88" s="108"/>
      <c r="S88" s="108"/>
      <c r="T88" s="108"/>
      <c r="U88" s="109"/>
      <c r="Y88" s="3"/>
      <c r="AB88" s="110">
        <f t="shared" si="10"/>
        <v>38144.188596491251</v>
      </c>
      <c r="AC88" s="112">
        <f t="shared" si="4"/>
        <v>22.75</v>
      </c>
      <c r="AD88" s="3">
        <f t="shared" si="8"/>
        <v>22.75</v>
      </c>
      <c r="AE88" s="3">
        <f t="shared" si="8"/>
        <v>22.75</v>
      </c>
      <c r="AF88" s="111">
        <f t="shared" si="5"/>
        <v>1.0258515440500004E-2</v>
      </c>
      <c r="AG88" s="110">
        <f t="shared" si="9"/>
        <v>3718295.1878105365</v>
      </c>
      <c r="AH88" s="112">
        <f t="shared" si="6"/>
        <v>0.95340902251552218</v>
      </c>
      <c r="AI88" s="110">
        <f t="shared" si="7"/>
        <v>40008.210217950014</v>
      </c>
      <c r="AK88" s="110">
        <f>AL88</f>
        <v>41611.84210526316</v>
      </c>
      <c r="AL88" s="112">
        <f>C80</f>
        <v>41611.84210526316</v>
      </c>
      <c r="AM88" s="3"/>
      <c r="AN88" s="3"/>
      <c r="AO88" s="71"/>
      <c r="AP88" s="71"/>
      <c r="AQ88" s="71"/>
      <c r="AR88" s="71"/>
      <c r="AS88" s="71"/>
      <c r="AT88" s="71"/>
      <c r="AU88" s="71"/>
      <c r="AV88" s="71"/>
      <c r="AW88" s="71"/>
      <c r="AX88" s="71"/>
      <c r="AY88" s="71"/>
      <c r="AZ88" s="71"/>
      <c r="BA88" s="71"/>
      <c r="BB88" s="71"/>
      <c r="BC88" s="71"/>
      <c r="BD88" s="71"/>
      <c r="BE88" s="71"/>
      <c r="BF88" s="71"/>
      <c r="BG88" s="71"/>
      <c r="BH88" s="71"/>
      <c r="BI88" s="71"/>
      <c r="BJ88" s="71"/>
      <c r="BK88" s="71"/>
      <c r="BL88" s="71"/>
      <c r="BM88" s="71"/>
      <c r="BN88" s="71"/>
      <c r="BO88" s="71"/>
      <c r="BP88" s="71"/>
      <c r="BQ88" s="71"/>
      <c r="BR88" s="71"/>
      <c r="BS88" s="71"/>
      <c r="BT88" s="71"/>
      <c r="BU88" s="71"/>
      <c r="BV88" s="71"/>
      <c r="BW88" s="71"/>
    </row>
    <row r="89" spans="1:75" s="75" customFormat="1">
      <c r="A89" s="115"/>
      <c r="I89" s="115"/>
      <c r="J89" s="97"/>
      <c r="K89" s="114"/>
      <c r="M89" s="108"/>
      <c r="N89" s="108"/>
      <c r="O89" s="108"/>
      <c r="P89" s="108"/>
      <c r="Q89" s="108"/>
      <c r="R89" s="108"/>
      <c r="S89" s="108"/>
      <c r="T89" s="108"/>
      <c r="U89" s="109"/>
      <c r="Y89" s="3"/>
      <c r="AB89" s="110">
        <f t="shared" si="10"/>
        <v>38837.71929824564</v>
      </c>
      <c r="AC89" s="112">
        <f t="shared" si="4"/>
        <v>22.75</v>
      </c>
      <c r="AD89" s="3">
        <f t="shared" si="8"/>
        <v>22.75</v>
      </c>
      <c r="AE89" s="3">
        <f t="shared" si="8"/>
        <v>22.820651814230004</v>
      </c>
      <c r="AF89" s="111">
        <f t="shared" si="5"/>
        <v>1.0678522653345561E-2</v>
      </c>
      <c r="AG89" s="110">
        <f t="shared" si="9"/>
        <v>3638186.7132087941</v>
      </c>
      <c r="AH89" s="112">
        <f t="shared" si="6"/>
        <v>0.93286838800225491</v>
      </c>
      <c r="AI89" s="110">
        <f t="shared" si="7"/>
        <v>41632.58161359388</v>
      </c>
      <c r="AK89" s="110">
        <v>200000</v>
      </c>
      <c r="AL89" s="112">
        <f>C80</f>
        <v>41611.84210526316</v>
      </c>
      <c r="AM89" s="3"/>
      <c r="AN89" s="3"/>
      <c r="AO89" s="71"/>
      <c r="AP89" s="71"/>
      <c r="AQ89" s="71"/>
      <c r="AR89" s="71"/>
      <c r="AS89" s="71"/>
      <c r="AT89" s="71"/>
      <c r="AU89" s="71"/>
      <c r="AV89" s="71"/>
      <c r="AW89" s="71"/>
      <c r="AX89" s="71"/>
      <c r="AY89" s="71"/>
      <c r="AZ89" s="71"/>
      <c r="BA89" s="71"/>
      <c r="BB89" s="71"/>
      <c r="BC89" s="71"/>
      <c r="BD89" s="71"/>
      <c r="BE89" s="71"/>
      <c r="BF89" s="71"/>
      <c r="BG89" s="71"/>
      <c r="BH89" s="71"/>
      <c r="BI89" s="71"/>
      <c r="BJ89" s="71"/>
      <c r="BK89" s="71"/>
      <c r="BL89" s="71"/>
      <c r="BM89" s="71"/>
      <c r="BN89" s="71"/>
      <c r="BO89" s="71"/>
      <c r="BP89" s="71"/>
      <c r="BQ89" s="71"/>
      <c r="BR89" s="71"/>
      <c r="BS89" s="71"/>
      <c r="BT89" s="71"/>
      <c r="BU89" s="71"/>
      <c r="BV89" s="71"/>
      <c r="BW89" s="71"/>
    </row>
    <row r="90" spans="1:75" s="75" customFormat="1">
      <c r="A90" s="115"/>
      <c r="I90" s="115"/>
      <c r="J90" s="97"/>
      <c r="K90" s="115"/>
      <c r="M90" s="108"/>
      <c r="N90" s="108"/>
      <c r="O90" s="108"/>
      <c r="P90" s="108"/>
      <c r="Q90" s="108"/>
      <c r="R90" s="108"/>
      <c r="S90" s="108"/>
      <c r="T90" s="108"/>
      <c r="U90" s="113"/>
      <c r="V90" s="109"/>
      <c r="Y90" s="3"/>
      <c r="AB90" s="110">
        <f t="shared" si="10"/>
        <v>39531.250000000029</v>
      </c>
      <c r="AC90" s="112">
        <f t="shared" si="4"/>
        <v>22.75</v>
      </c>
      <c r="AD90" s="3">
        <f t="shared" si="8"/>
        <v>22.75</v>
      </c>
      <c r="AE90" s="3">
        <f t="shared" si="8"/>
        <v>22.961955442690016</v>
      </c>
      <c r="AF90" s="111">
        <f t="shared" si="5"/>
        <v>1.1213397546525106E-2</v>
      </c>
      <c r="AG90" s="110">
        <f t="shared" si="9"/>
        <v>3529024.484207768</v>
      </c>
      <c r="AH90" s="112">
        <f t="shared" si="6"/>
        <v>0.90487807287378663</v>
      </c>
      <c r="AI90" s="110">
        <f t="shared" si="7"/>
        <v>43686.824982346421</v>
      </c>
      <c r="AK90" s="110"/>
      <c r="AL90" s="112"/>
      <c r="AM90" s="3"/>
      <c r="AN90" s="3"/>
      <c r="AO90" s="71"/>
      <c r="AP90" s="71"/>
      <c r="AQ90" s="71"/>
      <c r="AR90" s="71"/>
      <c r="AS90" s="71"/>
      <c r="AT90" s="71"/>
      <c r="AU90" s="71"/>
      <c r="AV90" s="71"/>
      <c r="AW90" s="71"/>
      <c r="AX90" s="71"/>
      <c r="AY90" s="71"/>
      <c r="AZ90" s="71"/>
      <c r="BA90" s="71"/>
      <c r="BB90" s="71"/>
      <c r="BC90" s="71"/>
      <c r="BD90" s="71"/>
      <c r="BE90" s="71"/>
      <c r="BF90" s="71"/>
      <c r="BG90" s="71"/>
      <c r="BH90" s="71"/>
      <c r="BI90" s="71"/>
      <c r="BJ90" s="71"/>
      <c r="BK90" s="71"/>
      <c r="BL90" s="71"/>
      <c r="BM90" s="71"/>
      <c r="BN90" s="71"/>
      <c r="BO90" s="71"/>
      <c r="BP90" s="71"/>
      <c r="BQ90" s="71"/>
      <c r="BR90" s="71"/>
      <c r="BS90" s="71"/>
      <c r="BT90" s="71"/>
      <c r="BU90" s="71"/>
      <c r="BV90" s="71"/>
      <c r="BW90" s="71"/>
    </row>
    <row r="91" spans="1:75" s="75" customFormat="1">
      <c r="A91" s="115"/>
      <c r="I91" s="115"/>
      <c r="J91" s="97"/>
      <c r="K91" s="115"/>
      <c r="M91" s="108"/>
      <c r="N91" s="108"/>
      <c r="O91" s="108"/>
      <c r="P91" s="108"/>
      <c r="Q91" s="108"/>
      <c r="R91" s="108"/>
      <c r="S91" s="108"/>
      <c r="T91" s="108"/>
      <c r="U91" s="109"/>
      <c r="Y91" s="3"/>
      <c r="AB91" s="110">
        <f t="shared" si="10"/>
        <v>40224.780701754418</v>
      </c>
      <c r="AC91" s="112">
        <f t="shared" si="4"/>
        <v>22.75</v>
      </c>
      <c r="AD91" s="3">
        <f t="shared" si="8"/>
        <v>23.103259071150024</v>
      </c>
      <c r="AE91" s="3">
        <f t="shared" si="8"/>
        <v>23.173910885380032</v>
      </c>
      <c r="AF91" s="111">
        <f t="shared" si="5"/>
        <v>1.1914053788524011E-2</v>
      </c>
      <c r="AG91" s="110">
        <f t="shared" si="9"/>
        <v>3382728.3235246157</v>
      </c>
      <c r="AH91" s="112">
        <f t="shared" si="6"/>
        <v>0.86736623680118352</v>
      </c>
      <c r="AI91" s="110">
        <f t="shared" si="7"/>
        <v>46375.774148302116</v>
      </c>
      <c r="AK91" s="110"/>
      <c r="AL91" s="112"/>
      <c r="AM91" s="3"/>
      <c r="AN91" s="3"/>
      <c r="AO91" s="71"/>
      <c r="AP91" s="71"/>
      <c r="AQ91" s="71"/>
      <c r="AR91" s="71"/>
      <c r="AS91" s="71"/>
      <c r="AT91" s="71"/>
      <c r="AU91" s="71"/>
      <c r="AV91" s="71"/>
      <c r="AW91" s="71"/>
      <c r="AX91" s="71"/>
      <c r="AY91" s="71"/>
      <c r="AZ91" s="71"/>
      <c r="BA91" s="71"/>
      <c r="BB91" s="71"/>
      <c r="BC91" s="71"/>
      <c r="BD91" s="71"/>
      <c r="BE91" s="71"/>
      <c r="BF91" s="71"/>
      <c r="BG91" s="71"/>
      <c r="BH91" s="71"/>
      <c r="BI91" s="71"/>
      <c r="BJ91" s="71"/>
      <c r="BK91" s="71"/>
      <c r="BL91" s="71"/>
      <c r="BM91" s="71"/>
      <c r="BN91" s="71"/>
      <c r="BO91" s="71"/>
      <c r="BP91" s="71"/>
      <c r="BQ91" s="71"/>
      <c r="BR91" s="71"/>
      <c r="BS91" s="71"/>
      <c r="BT91" s="71"/>
      <c r="BU91" s="71"/>
      <c r="BV91" s="71"/>
      <c r="BW91" s="71"/>
    </row>
    <row r="92" spans="1:75" s="75" customFormat="1">
      <c r="A92" s="115"/>
      <c r="I92" s="115"/>
      <c r="J92" s="97"/>
      <c r="K92" s="115"/>
      <c r="M92" s="108"/>
      <c r="N92" s="108"/>
      <c r="O92" s="108"/>
      <c r="P92" s="108"/>
      <c r="Q92" s="108"/>
      <c r="R92" s="108"/>
      <c r="S92" s="108"/>
      <c r="T92" s="108"/>
      <c r="U92" s="109"/>
      <c r="Y92" s="3"/>
      <c r="AB92" s="110">
        <f t="shared" si="10"/>
        <v>40918.311403508807</v>
      </c>
      <c r="AC92" s="112">
        <f t="shared" si="4"/>
        <v>22.75</v>
      </c>
      <c r="AD92" s="3">
        <f t="shared" si="8"/>
        <v>23.456518142300048</v>
      </c>
      <c r="AE92" s="3">
        <f t="shared" si="8"/>
        <v>23.456518142300048</v>
      </c>
      <c r="AF92" s="111">
        <f t="shared" si="5"/>
        <v>1.2852453056569409E-2</v>
      </c>
      <c r="AG92" s="110">
        <f t="shared" si="9"/>
        <v>3190614.0936379675</v>
      </c>
      <c r="AH92" s="112">
        <f t="shared" si="6"/>
        <v>0.81810617785588913</v>
      </c>
      <c r="AI92" s="110">
        <f t="shared" si="7"/>
        <v>50015.893426875751</v>
      </c>
      <c r="AK92" s="110"/>
      <c r="AL92" s="112"/>
      <c r="AM92" s="3"/>
      <c r="AN92" s="3"/>
      <c r="AO92" s="71"/>
      <c r="AP92" s="71"/>
      <c r="AQ92" s="71"/>
      <c r="AR92" s="71"/>
      <c r="AS92" s="71"/>
      <c r="AT92" s="71"/>
      <c r="AU92" s="71"/>
      <c r="AV92" s="71"/>
      <c r="AW92" s="71"/>
      <c r="AX92" s="71"/>
      <c r="AY92" s="71"/>
      <c r="AZ92" s="71"/>
      <c r="BA92" s="71"/>
      <c r="BB92" s="71"/>
      <c r="BC92" s="71"/>
      <c r="BD92" s="71"/>
      <c r="BE92" s="71"/>
      <c r="BF92" s="71"/>
      <c r="BG92" s="71"/>
      <c r="BH92" s="71"/>
      <c r="BI92" s="71"/>
      <c r="BJ92" s="71"/>
      <c r="BK92" s="71"/>
      <c r="BL92" s="71"/>
      <c r="BM92" s="71"/>
      <c r="BN92" s="71"/>
      <c r="BO92" s="71"/>
      <c r="BP92" s="71"/>
      <c r="BQ92" s="71"/>
      <c r="BR92" s="71"/>
      <c r="BS92" s="71"/>
      <c r="BT92" s="71"/>
      <c r="BU92" s="71"/>
      <c r="BV92" s="71"/>
      <c r="BW92" s="71"/>
    </row>
    <row r="93" spans="1:75" s="75" customFormat="1">
      <c r="A93" s="115"/>
      <c r="F93" s="97"/>
      <c r="G93" s="116"/>
      <c r="H93" s="117"/>
      <c r="I93" s="115"/>
      <c r="J93" s="97"/>
      <c r="K93" s="97"/>
      <c r="M93" s="108"/>
      <c r="N93" s="108"/>
      <c r="O93" s="108"/>
      <c r="P93" s="108"/>
      <c r="Q93" s="108"/>
      <c r="R93" s="108"/>
      <c r="S93" s="108"/>
      <c r="T93" s="108"/>
      <c r="U93" s="109"/>
      <c r="Y93" s="3"/>
      <c r="AA93" s="90"/>
      <c r="AB93" s="110">
        <f>C80</f>
        <v>41611.84210526316</v>
      </c>
      <c r="AC93" s="112">
        <f t="shared" si="4"/>
        <v>24.51629535575012</v>
      </c>
      <c r="AD93" s="3">
        <f t="shared" si="8"/>
        <v>23.809777213450069</v>
      </c>
      <c r="AE93" s="3">
        <f t="shared" si="8"/>
        <v>23.809777213450072</v>
      </c>
      <c r="AF93" s="111">
        <f t="shared" si="5"/>
        <v>1.412970310391363E-2</v>
      </c>
      <c r="AG93" s="110">
        <f t="shared" si="9"/>
        <v>2944990.5492874482</v>
      </c>
      <c r="AH93" s="112">
        <f t="shared" si="6"/>
        <v>0.75512578186857648</v>
      </c>
      <c r="AI93" s="110">
        <f t="shared" si="7"/>
        <v>55105.842105263153</v>
      </c>
      <c r="AJ93" s="90"/>
      <c r="AK93" s="110"/>
      <c r="AL93" s="112"/>
      <c r="AM93" s="3"/>
      <c r="AN93" s="3"/>
      <c r="AO93" s="71"/>
      <c r="AP93" s="71"/>
      <c r="AQ93" s="71"/>
      <c r="AR93" s="71"/>
      <c r="AS93" s="71"/>
      <c r="AT93" s="71"/>
      <c r="AU93" s="71"/>
      <c r="AV93" s="71"/>
      <c r="AW93" s="71"/>
      <c r="AX93" s="71"/>
      <c r="AY93" s="71"/>
      <c r="AZ93" s="71"/>
      <c r="BA93" s="71"/>
      <c r="BB93" s="71"/>
      <c r="BC93" s="71"/>
      <c r="BD93" s="71"/>
      <c r="BE93" s="71"/>
      <c r="BF93" s="71"/>
      <c r="BG93" s="71"/>
      <c r="BH93" s="71"/>
      <c r="BI93" s="71"/>
      <c r="BJ93" s="71"/>
      <c r="BK93" s="71"/>
      <c r="BL93" s="71"/>
      <c r="BM93" s="71"/>
      <c r="BN93" s="71"/>
      <c r="BO93" s="71"/>
      <c r="BP93" s="71"/>
      <c r="BQ93" s="71"/>
      <c r="BR93" s="71"/>
      <c r="BS93" s="71"/>
      <c r="BT93" s="71"/>
      <c r="BU93" s="71"/>
      <c r="BV93" s="71"/>
      <c r="BW93" s="71"/>
    </row>
    <row r="94" spans="1:75" s="75" customFormat="1">
      <c r="A94" s="115"/>
      <c r="I94" s="115"/>
      <c r="J94" s="97"/>
      <c r="K94" s="97"/>
      <c r="M94" s="108"/>
      <c r="N94" s="108"/>
      <c r="O94" s="108"/>
      <c r="P94" s="108"/>
      <c r="Q94" s="108"/>
      <c r="R94" s="108"/>
      <c r="S94" s="108"/>
      <c r="T94" s="108"/>
      <c r="U94" s="109"/>
      <c r="Y94" s="3"/>
      <c r="AA94" s="90"/>
      <c r="AB94" s="110">
        <f t="shared" ref="AB94:AB100" si="11">AB93+$Z$77</f>
        <v>42160.361842105267</v>
      </c>
      <c r="AC94" s="112">
        <f t="shared" si="4"/>
        <v>24.51629535575012</v>
      </c>
      <c r="AD94" s="3">
        <f t="shared" si="8"/>
        <v>24.163036284600093</v>
      </c>
      <c r="AE94" s="3">
        <f t="shared" si="8"/>
        <v>24.092384470370089</v>
      </c>
      <c r="AF94" s="111">
        <f t="shared" si="5"/>
        <v>1.5580254683826679E-2</v>
      </c>
      <c r="AG94" s="110">
        <f t="shared" si="9"/>
        <v>2710606.4600092662</v>
      </c>
      <c r="AH94" s="112">
        <f t="shared" si="6"/>
        <v>0.69502729743827341</v>
      </c>
      <c r="AI94" s="110">
        <f t="shared" si="7"/>
        <v>60660.008603258641</v>
      </c>
      <c r="AJ94" s="90"/>
      <c r="AK94" s="110"/>
      <c r="AL94" s="112"/>
      <c r="AM94" s="3"/>
      <c r="AN94" s="3"/>
      <c r="AO94" s="71"/>
      <c r="AP94" s="71"/>
      <c r="AQ94" s="71"/>
      <c r="AR94" s="71"/>
      <c r="AS94" s="71"/>
      <c r="AT94" s="71"/>
      <c r="AU94" s="71"/>
      <c r="AV94" s="71"/>
      <c r="AW94" s="71"/>
      <c r="AX94" s="71"/>
      <c r="AY94" s="71"/>
      <c r="AZ94" s="71"/>
      <c r="BA94" s="71"/>
      <c r="BB94" s="71"/>
      <c r="BC94" s="71"/>
      <c r="BD94" s="71"/>
      <c r="BE94" s="71"/>
      <c r="BF94" s="71"/>
      <c r="BG94" s="71"/>
      <c r="BH94" s="71"/>
      <c r="BI94" s="71"/>
      <c r="BJ94" s="71"/>
      <c r="BK94" s="71"/>
      <c r="BL94" s="71"/>
      <c r="BM94" s="71"/>
      <c r="BN94" s="71"/>
      <c r="BO94" s="71"/>
      <c r="BP94" s="71"/>
      <c r="BQ94" s="71"/>
      <c r="BR94" s="71"/>
      <c r="BS94" s="71"/>
      <c r="BT94" s="71"/>
      <c r="BU94" s="71"/>
      <c r="BV94" s="71"/>
      <c r="BW94" s="71"/>
    </row>
    <row r="95" spans="1:75" s="75" customFormat="1">
      <c r="A95" s="115"/>
      <c r="I95" s="130"/>
      <c r="J95" s="130"/>
      <c r="K95" s="130"/>
      <c r="M95" s="108"/>
      <c r="N95" s="108"/>
      <c r="O95" s="108"/>
      <c r="P95" s="108"/>
      <c r="Q95" s="108"/>
      <c r="R95" s="108"/>
      <c r="S95" s="108"/>
      <c r="T95" s="108"/>
      <c r="U95" s="113"/>
      <c r="V95" s="71"/>
      <c r="Y95" s="3"/>
      <c r="AA95" s="90"/>
      <c r="AB95" s="110">
        <f t="shared" si="11"/>
        <v>42708.881578947374</v>
      </c>
      <c r="AC95" s="112">
        <f t="shared" si="4"/>
        <v>24.51629535575012</v>
      </c>
      <c r="AD95" s="3">
        <f t="shared" si="8"/>
        <v>24.51629535575012</v>
      </c>
      <c r="AE95" s="3">
        <f t="shared" si="8"/>
        <v>24.304339913060101</v>
      </c>
      <c r="AF95" s="111">
        <f t="shared" si="5"/>
        <v>1.7499483451022223E-2</v>
      </c>
      <c r="AG95" s="110">
        <f t="shared" si="9"/>
        <v>2445613.3289324623</v>
      </c>
      <c r="AH95" s="112">
        <f t="shared" si="6"/>
        <v>0.62708034075191343</v>
      </c>
      <c r="AI95" s="110">
        <f t="shared" si="7"/>
        <v>68107.5115953028</v>
      </c>
      <c r="AJ95" s="90"/>
      <c r="AK95" s="110"/>
      <c r="AL95" s="112"/>
      <c r="AM95" s="3"/>
      <c r="AN95" s="3"/>
      <c r="AO95" s="71"/>
      <c r="AP95" s="71"/>
      <c r="AQ95" s="71"/>
      <c r="AR95" s="71"/>
      <c r="AS95" s="71"/>
      <c r="AT95" s="71"/>
      <c r="AU95" s="71"/>
      <c r="AV95" s="71"/>
      <c r="AW95" s="71"/>
      <c r="AX95" s="71"/>
      <c r="AY95" s="71"/>
      <c r="AZ95" s="71"/>
      <c r="BA95" s="71"/>
      <c r="BB95" s="71"/>
      <c r="BC95" s="71"/>
      <c r="BD95" s="71"/>
      <c r="BE95" s="71"/>
      <c r="BF95" s="71"/>
      <c r="BG95" s="71"/>
      <c r="BH95" s="71"/>
      <c r="BI95" s="71"/>
      <c r="BJ95" s="71"/>
      <c r="BK95" s="71"/>
      <c r="BL95" s="71"/>
      <c r="BM95" s="71"/>
      <c r="BN95" s="71"/>
      <c r="BO95" s="71"/>
      <c r="BP95" s="71"/>
      <c r="BQ95" s="71"/>
      <c r="BR95" s="71"/>
      <c r="BS95" s="71"/>
      <c r="BT95" s="71"/>
      <c r="BU95" s="71"/>
      <c r="BV95" s="71"/>
      <c r="BW95" s="71"/>
    </row>
    <row r="96" spans="1:75" s="90" customFormat="1">
      <c r="A96" s="115"/>
      <c r="B96" s="75"/>
      <c r="C96" s="75"/>
      <c r="D96" s="75"/>
      <c r="E96" s="75"/>
      <c r="F96" s="75"/>
      <c r="G96" s="75"/>
      <c r="H96" s="75"/>
      <c r="I96" s="130"/>
      <c r="J96" s="130"/>
      <c r="K96" s="130"/>
      <c r="L96" s="75"/>
      <c r="M96" s="108"/>
      <c r="N96" s="108"/>
      <c r="O96" s="108"/>
      <c r="P96" s="108"/>
      <c r="Q96" s="108"/>
      <c r="R96" s="108"/>
      <c r="S96" s="108"/>
      <c r="T96" s="108"/>
      <c r="U96" s="113"/>
      <c r="V96" s="120"/>
      <c r="Y96" s="3"/>
      <c r="Z96" s="75"/>
      <c r="AB96" s="110">
        <f t="shared" si="11"/>
        <v>43257.401315789481</v>
      </c>
      <c r="AC96" s="112">
        <f t="shared" si="4"/>
        <v>24.51629535575012</v>
      </c>
      <c r="AD96" s="3">
        <f t="shared" si="8"/>
        <v>24.51629535575012</v>
      </c>
      <c r="AE96" s="3">
        <f t="shared" si="8"/>
        <v>24.445643541520113</v>
      </c>
      <c r="AF96" s="111">
        <f t="shared" si="5"/>
        <v>2.004561728255029E-2</v>
      </c>
      <c r="AG96" s="110">
        <f t="shared" si="9"/>
        <v>2160588.9352371972</v>
      </c>
      <c r="AH96" s="112">
        <f t="shared" si="6"/>
        <v>0.55399716288133261</v>
      </c>
      <c r="AI96" s="110">
        <f t="shared" si="7"/>
        <v>78082.35170521136</v>
      </c>
      <c r="AK96" s="110"/>
      <c r="AL96" s="112"/>
      <c r="AM96" s="3"/>
      <c r="AN96" s="3"/>
      <c r="AO96" s="120"/>
      <c r="AP96" s="120"/>
      <c r="AQ96" s="120"/>
      <c r="AR96" s="120"/>
      <c r="AS96" s="120"/>
      <c r="AT96" s="120"/>
      <c r="AU96" s="120"/>
      <c r="AV96" s="120"/>
      <c r="AW96" s="120"/>
      <c r="AX96" s="120"/>
      <c r="AY96" s="120"/>
      <c r="AZ96" s="120"/>
      <c r="BA96" s="120"/>
      <c r="BB96" s="120"/>
      <c r="BC96" s="120"/>
      <c r="BD96" s="120"/>
      <c r="BE96" s="120"/>
      <c r="BF96" s="120"/>
      <c r="BG96" s="120"/>
      <c r="BH96" s="120"/>
      <c r="BI96" s="120"/>
      <c r="BJ96" s="120"/>
      <c r="BK96" s="120"/>
      <c r="BL96" s="120"/>
      <c r="BM96" s="120"/>
      <c r="BN96" s="120"/>
      <c r="BO96" s="120"/>
      <c r="BP96" s="120"/>
      <c r="BQ96" s="120"/>
      <c r="BR96" s="120"/>
      <c r="BS96" s="120"/>
      <c r="BT96" s="120"/>
      <c r="BU96" s="120"/>
      <c r="BV96" s="120"/>
      <c r="BW96" s="120"/>
    </row>
    <row r="97" spans="1:75" s="90" customFormat="1">
      <c r="A97" s="115"/>
      <c r="B97" s="75"/>
      <c r="C97" s="75"/>
      <c r="D97" s="75"/>
      <c r="E97" s="75"/>
      <c r="F97" s="75"/>
      <c r="G97" s="75"/>
      <c r="H97" s="75"/>
      <c r="I97" s="125"/>
      <c r="J97" s="125"/>
      <c r="K97" s="125"/>
      <c r="L97" s="75"/>
      <c r="M97" s="108"/>
      <c r="N97" s="108"/>
      <c r="O97" s="108"/>
      <c r="P97" s="108"/>
      <c r="Q97" s="108"/>
      <c r="R97" s="108"/>
      <c r="S97" s="108"/>
      <c r="T97" s="108"/>
      <c r="U97" s="113"/>
      <c r="V97" s="120"/>
      <c r="Y97" s="3"/>
      <c r="Z97" s="75"/>
      <c r="AB97" s="110">
        <f t="shared" si="11"/>
        <v>43805.921052631587</v>
      </c>
      <c r="AC97" s="112">
        <f t="shared" si="4"/>
        <v>24.51629535575012</v>
      </c>
      <c r="AD97" s="3">
        <f t="shared" si="8"/>
        <v>24.51629535575012</v>
      </c>
      <c r="AE97" s="3">
        <f t="shared" si="8"/>
        <v>24.51629535575012</v>
      </c>
      <c r="AF97" s="111">
        <f t="shared" si="5"/>
        <v>2.3427199221310837E-2</v>
      </c>
      <c r="AG97" s="110">
        <f t="shared" si="9"/>
        <v>1869874.4411915445</v>
      </c>
      <c r="AH97" s="112">
        <f t="shared" si="6"/>
        <v>0.47945498492090888</v>
      </c>
      <c r="AI97" s="110">
        <f t="shared" si="7"/>
        <v>91366.076963112253</v>
      </c>
      <c r="AK97" s="110"/>
      <c r="AL97" s="112"/>
      <c r="AM97" s="3"/>
      <c r="AN97" s="3"/>
      <c r="AO97" s="120"/>
      <c r="AP97" s="120"/>
      <c r="AQ97" s="120"/>
      <c r="AR97" s="120"/>
      <c r="AS97" s="120"/>
      <c r="AT97" s="120"/>
      <c r="AU97" s="120"/>
      <c r="AV97" s="120"/>
      <c r="AW97" s="120"/>
      <c r="AX97" s="120"/>
      <c r="AY97" s="120"/>
      <c r="AZ97" s="120"/>
      <c r="BA97" s="120"/>
      <c r="BB97" s="120"/>
      <c r="BC97" s="120"/>
      <c r="BD97" s="120"/>
      <c r="BE97" s="120"/>
      <c r="BF97" s="120"/>
      <c r="BG97" s="120"/>
      <c r="BH97" s="120"/>
      <c r="BI97" s="120"/>
      <c r="BJ97" s="120"/>
      <c r="BK97" s="120"/>
      <c r="BL97" s="120"/>
      <c r="BM97" s="120"/>
      <c r="BN97" s="120"/>
      <c r="BO97" s="120"/>
      <c r="BP97" s="120"/>
      <c r="BQ97" s="120"/>
      <c r="BR97" s="120"/>
      <c r="BS97" s="120"/>
      <c r="BT97" s="120"/>
      <c r="BU97" s="120"/>
      <c r="BV97" s="120"/>
      <c r="BW97" s="120"/>
    </row>
    <row r="98" spans="1:75" s="90" customFormat="1">
      <c r="A98" s="115"/>
      <c r="B98" s="116"/>
      <c r="C98" s="133"/>
      <c r="D98" s="132"/>
      <c r="E98" s="115"/>
      <c r="F98" s="115"/>
      <c r="G98" s="115"/>
      <c r="H98" s="125"/>
      <c r="I98" s="125"/>
      <c r="J98" s="125"/>
      <c r="K98" s="125"/>
      <c r="L98" s="75"/>
      <c r="M98" s="108"/>
      <c r="N98" s="108"/>
      <c r="O98" s="108"/>
      <c r="P98" s="108"/>
      <c r="Q98" s="108"/>
      <c r="R98" s="108"/>
      <c r="S98" s="108"/>
      <c r="T98" s="108"/>
      <c r="U98" s="113"/>
      <c r="V98" s="120"/>
      <c r="Y98" s="3"/>
      <c r="Z98" s="75"/>
      <c r="AB98" s="110">
        <f t="shared" si="11"/>
        <v>44354.440789473694</v>
      </c>
      <c r="AC98" s="112">
        <f t="shared" si="4"/>
        <v>24.51629535575012</v>
      </c>
      <c r="AD98" s="3">
        <f t="shared" si="8"/>
        <v>24.51629535575012</v>
      </c>
      <c r="AE98" s="3">
        <f t="shared" si="8"/>
        <v>24.51629535575012</v>
      </c>
      <c r="AF98" s="111">
        <f t="shared" si="5"/>
        <v>2.7918128204087511E-2</v>
      </c>
      <c r="AG98" s="110">
        <f t="shared" si="9"/>
        <v>1588732.613634883</v>
      </c>
      <c r="AH98" s="112">
        <f t="shared" si="6"/>
        <v>0.40736733682945719</v>
      </c>
      <c r="AI98" s="110">
        <f t="shared" si="7"/>
        <v>108880.69999594129</v>
      </c>
      <c r="AK98" s="110"/>
      <c r="AL98" s="112"/>
      <c r="AM98" s="3"/>
      <c r="AN98" s="3"/>
      <c r="AO98" s="120"/>
      <c r="AP98" s="120"/>
      <c r="AQ98" s="120"/>
      <c r="AR98" s="120"/>
      <c r="AS98" s="120"/>
      <c r="AT98" s="120"/>
      <c r="AU98" s="120"/>
      <c r="AV98" s="120"/>
      <c r="AW98" s="120"/>
      <c r="AX98" s="120"/>
      <c r="AY98" s="120"/>
      <c r="AZ98" s="120"/>
      <c r="BA98" s="120"/>
      <c r="BB98" s="120"/>
      <c r="BC98" s="120"/>
      <c r="BD98" s="120"/>
      <c r="BE98" s="120"/>
      <c r="BF98" s="120"/>
      <c r="BG98" s="120"/>
      <c r="BH98" s="120"/>
      <c r="BI98" s="120"/>
      <c r="BJ98" s="120"/>
      <c r="BK98" s="120"/>
      <c r="BL98" s="120"/>
      <c r="BM98" s="120"/>
      <c r="BN98" s="120"/>
      <c r="BO98" s="120"/>
      <c r="BP98" s="120"/>
      <c r="BQ98" s="120"/>
      <c r="BR98" s="120"/>
      <c r="BS98" s="120"/>
      <c r="BT98" s="120"/>
      <c r="BU98" s="120"/>
      <c r="BV98" s="120"/>
      <c r="BW98" s="120"/>
    </row>
    <row r="99" spans="1:75" s="90" customFormat="1">
      <c r="A99" s="115"/>
      <c r="B99" s="115"/>
      <c r="C99" s="133"/>
      <c r="D99" s="132"/>
      <c r="E99" s="115"/>
      <c r="F99" s="115"/>
      <c r="G99" s="75"/>
      <c r="H99" s="75"/>
      <c r="I99" s="75"/>
      <c r="J99" s="130"/>
      <c r="K99" s="130"/>
      <c r="L99" s="75"/>
      <c r="M99" s="108"/>
      <c r="N99" s="108"/>
      <c r="O99" s="108"/>
      <c r="P99" s="108"/>
      <c r="Q99" s="108"/>
      <c r="R99" s="108"/>
      <c r="S99" s="108"/>
      <c r="T99" s="108"/>
      <c r="U99" s="113"/>
      <c r="V99" s="120"/>
      <c r="Y99" s="3"/>
      <c r="Z99" s="75"/>
      <c r="AB99" s="110">
        <f t="shared" si="11"/>
        <v>44902.960526315801</v>
      </c>
      <c r="AC99" s="112">
        <f t="shared" si="4"/>
        <v>24.51629535575012</v>
      </c>
      <c r="AD99" s="3">
        <f t="shared" si="8"/>
        <v>24.51629535575012</v>
      </c>
      <c r="AE99" s="3">
        <f t="shared" si="8"/>
        <v>24.51629535575012</v>
      </c>
      <c r="AF99" s="111">
        <f t="shared" si="5"/>
        <v>3.3876917181466452E-2</v>
      </c>
      <c r="AG99" s="110">
        <f t="shared" si="9"/>
        <v>1325473.6340318928</v>
      </c>
      <c r="AH99" s="112">
        <f t="shared" si="6"/>
        <v>0.33986503436715199</v>
      </c>
      <c r="AI99" s="110">
        <f t="shared" si="7"/>
        <v>132119.97700771916</v>
      </c>
      <c r="AK99" s="110"/>
      <c r="AL99" s="112"/>
      <c r="AM99" s="3"/>
      <c r="AN99" s="3"/>
      <c r="AO99" s="120"/>
      <c r="AP99" s="120"/>
      <c r="AQ99" s="120"/>
      <c r="AR99" s="120"/>
      <c r="AS99" s="120"/>
      <c r="AT99" s="120"/>
      <c r="AU99" s="120"/>
      <c r="AV99" s="120"/>
      <c r="AW99" s="120"/>
      <c r="AX99" s="120"/>
      <c r="AY99" s="120"/>
      <c r="AZ99" s="120"/>
      <c r="BA99" s="120"/>
      <c r="BB99" s="120"/>
      <c r="BC99" s="120"/>
      <c r="BD99" s="120"/>
      <c r="BE99" s="120"/>
      <c r="BF99" s="120"/>
      <c r="BG99" s="120"/>
      <c r="BH99" s="120"/>
      <c r="BI99" s="120"/>
      <c r="BJ99" s="120"/>
      <c r="BK99" s="120"/>
      <c r="BL99" s="120"/>
      <c r="BM99" s="120"/>
      <c r="BN99" s="120"/>
      <c r="BO99" s="120"/>
      <c r="BP99" s="120"/>
      <c r="BQ99" s="120"/>
      <c r="BR99" s="120"/>
      <c r="BS99" s="120"/>
      <c r="BT99" s="120"/>
      <c r="BU99" s="120"/>
      <c r="BV99" s="120"/>
      <c r="BW99" s="120"/>
    </row>
    <row r="100" spans="1:75" s="90" customFormat="1">
      <c r="A100" s="115"/>
      <c r="B100" s="75"/>
      <c r="C100" s="75"/>
      <c r="D100" s="75"/>
      <c r="E100" s="115"/>
      <c r="F100" s="115"/>
      <c r="G100" s="97"/>
      <c r="H100" s="97"/>
      <c r="I100" s="125"/>
      <c r="J100" s="125"/>
      <c r="K100" s="125"/>
      <c r="L100" s="75"/>
      <c r="M100" s="108"/>
      <c r="N100" s="108"/>
      <c r="O100" s="108"/>
      <c r="P100" s="108"/>
      <c r="Q100" s="108"/>
      <c r="R100" s="108"/>
      <c r="S100" s="108"/>
      <c r="T100" s="108"/>
      <c r="U100" s="113"/>
      <c r="V100" s="120"/>
      <c r="Y100" s="3"/>
      <c r="Z100" s="75"/>
      <c r="AB100" s="110">
        <f t="shared" si="11"/>
        <v>45451.480263157908</v>
      </c>
      <c r="AC100" s="112">
        <f t="shared" si="4"/>
        <v>24.51629535575012</v>
      </c>
      <c r="AD100" s="3">
        <f t="shared" si="8"/>
        <v>24.51629535575012</v>
      </c>
      <c r="AE100" s="3">
        <f t="shared" si="8"/>
        <v>24.51629535575012</v>
      </c>
      <c r="AF100" s="111">
        <f t="shared" si="5"/>
        <v>4.1771275162630635E-2</v>
      </c>
      <c r="AG100" s="110">
        <f t="shared" si="9"/>
        <v>1088103.7288471302</v>
      </c>
      <c r="AH100" s="112">
        <f t="shared" si="6"/>
        <v>0.27900095611464876</v>
      </c>
      <c r="AI100" s="110">
        <f t="shared" si="7"/>
        <v>162907.97313425949</v>
      </c>
      <c r="AM100" s="3"/>
      <c r="AN100" s="3"/>
      <c r="AO100" s="120"/>
      <c r="AP100" s="120"/>
      <c r="AQ100" s="120"/>
      <c r="AR100" s="120"/>
      <c r="AS100" s="120"/>
      <c r="AT100" s="120"/>
      <c r="AU100" s="120"/>
      <c r="AV100" s="120"/>
      <c r="AW100" s="120"/>
      <c r="AX100" s="120"/>
      <c r="AY100" s="120"/>
      <c r="AZ100" s="120"/>
      <c r="BA100" s="120"/>
      <c r="BB100" s="120"/>
      <c r="BC100" s="120"/>
      <c r="BD100" s="120"/>
      <c r="BE100" s="120"/>
      <c r="BF100" s="120"/>
      <c r="BG100" s="120"/>
      <c r="BH100" s="120"/>
      <c r="BI100" s="120"/>
      <c r="BJ100" s="120"/>
      <c r="BK100" s="120"/>
      <c r="BL100" s="120"/>
      <c r="BM100" s="120"/>
      <c r="BN100" s="120"/>
      <c r="BO100" s="120"/>
      <c r="BP100" s="120"/>
      <c r="BQ100" s="120"/>
      <c r="BR100" s="120"/>
      <c r="BS100" s="120"/>
      <c r="BT100" s="120"/>
      <c r="BU100" s="120"/>
      <c r="BV100" s="120"/>
      <c r="BW100" s="120"/>
    </row>
    <row r="101" spans="1:75" s="90" customFormat="1">
      <c r="A101" s="115"/>
      <c r="B101" s="116"/>
      <c r="C101" s="115"/>
      <c r="D101" s="132"/>
      <c r="E101" s="115"/>
      <c r="F101" s="115"/>
      <c r="G101" s="75"/>
      <c r="H101" s="75"/>
      <c r="I101" s="75"/>
      <c r="J101" s="125"/>
      <c r="K101" s="125"/>
      <c r="L101" s="75"/>
      <c r="M101" s="108"/>
      <c r="N101" s="108"/>
      <c r="O101" s="108"/>
      <c r="P101" s="108"/>
      <c r="Q101" s="108"/>
      <c r="R101" s="108"/>
      <c r="S101" s="108"/>
      <c r="T101" s="108"/>
      <c r="U101" s="113"/>
      <c r="V101" s="120"/>
      <c r="Y101" s="3"/>
      <c r="Z101" s="75"/>
      <c r="AB101" s="110">
        <f>D75</f>
        <v>46000</v>
      </c>
      <c r="AC101" s="112">
        <f t="shared" si="4"/>
        <v>24.51629535575012</v>
      </c>
      <c r="AD101" s="3">
        <f t="shared" si="8"/>
        <v>24.51629535575012</v>
      </c>
      <c r="AE101" s="3">
        <f t="shared" si="8"/>
        <v>24.51629535575012</v>
      </c>
      <c r="AF101" s="111">
        <f t="shared" si="5"/>
        <v>5.22093906381456E-2</v>
      </c>
      <c r="AG101" s="110">
        <f t="shared" si="9"/>
        <v>881067.55198156147</v>
      </c>
      <c r="AH101" s="112">
        <f t="shared" si="6"/>
        <v>0.22591475691834909</v>
      </c>
      <c r="AI101" s="110">
        <f t="shared" si="7"/>
        <v>203616.62348876786</v>
      </c>
      <c r="AM101" s="3"/>
      <c r="AN101" s="3"/>
      <c r="AO101" s="120"/>
      <c r="AP101" s="120"/>
      <c r="AQ101" s="120"/>
      <c r="AR101" s="120"/>
      <c r="AS101" s="120"/>
      <c r="AT101" s="120"/>
      <c r="AU101" s="120"/>
      <c r="AV101" s="120"/>
      <c r="AW101" s="120"/>
      <c r="AX101" s="120"/>
      <c r="AY101" s="120"/>
      <c r="AZ101" s="120"/>
      <c r="BA101" s="120"/>
      <c r="BB101" s="120"/>
      <c r="BC101" s="120"/>
      <c r="BD101" s="120"/>
      <c r="BE101" s="120"/>
      <c r="BF101" s="120"/>
      <c r="BG101" s="120"/>
      <c r="BH101" s="120"/>
      <c r="BI101" s="120"/>
      <c r="BJ101" s="120"/>
      <c r="BK101" s="120"/>
      <c r="BL101" s="120"/>
      <c r="BM101" s="120"/>
      <c r="BN101" s="120"/>
      <c r="BO101" s="120"/>
      <c r="BP101" s="120"/>
      <c r="BQ101" s="120"/>
      <c r="BR101" s="120"/>
      <c r="BS101" s="120"/>
      <c r="BT101" s="120"/>
      <c r="BU101" s="120"/>
      <c r="BV101" s="120"/>
      <c r="BW101" s="120"/>
    </row>
    <row r="102" spans="1:75" s="90" customFormat="1">
      <c r="A102" s="115"/>
      <c r="B102" s="114" t="s">
        <v>105</v>
      </c>
      <c r="C102" s="115"/>
      <c r="D102" s="132"/>
      <c r="E102" s="115"/>
      <c r="F102" s="115"/>
      <c r="G102" s="75"/>
      <c r="H102" s="75"/>
      <c r="I102" s="75"/>
      <c r="J102" s="115"/>
      <c r="K102" s="115"/>
      <c r="L102" s="75"/>
      <c r="M102" s="108"/>
      <c r="N102" s="108"/>
      <c r="O102" s="108"/>
      <c r="P102" s="108"/>
      <c r="Q102" s="108"/>
      <c r="R102" s="108"/>
      <c r="S102" s="108"/>
      <c r="T102" s="108"/>
      <c r="U102" s="76"/>
      <c r="Y102" s="3"/>
      <c r="Z102" s="75"/>
      <c r="AB102" s="97"/>
      <c r="AC102" s="76"/>
      <c r="AK102" s="3"/>
      <c r="AL102" s="3"/>
      <c r="AM102" s="3"/>
      <c r="AN102" s="3"/>
    </row>
    <row r="103" spans="1:75" s="90" customFormat="1" ht="15">
      <c r="A103" s="115"/>
      <c r="B103" s="116"/>
      <c r="C103" s="17" t="s">
        <v>104</v>
      </c>
      <c r="D103" s="136">
        <f>AM82</f>
        <v>44615.098702771727</v>
      </c>
      <c r="E103" s="115"/>
      <c r="F103" s="115"/>
      <c r="G103" s="75"/>
      <c r="H103" s="75"/>
      <c r="I103" s="75"/>
      <c r="J103" s="115"/>
      <c r="K103" s="115"/>
      <c r="L103" s="75"/>
      <c r="M103" s="108"/>
      <c r="N103" s="108"/>
      <c r="O103" s="108"/>
      <c r="P103" s="108"/>
      <c r="Q103" s="108"/>
      <c r="R103" s="108"/>
      <c r="S103" s="108"/>
      <c r="T103" s="108"/>
      <c r="U103" s="76"/>
      <c r="Y103" s="3"/>
      <c r="Z103" s="3"/>
      <c r="AA103" s="3"/>
      <c r="AB103" s="3"/>
      <c r="AC103" s="3"/>
      <c r="AD103" s="3"/>
      <c r="AE103" s="3"/>
      <c r="AF103" s="3"/>
      <c r="AG103" s="3"/>
      <c r="AH103" s="3"/>
      <c r="AI103" s="3"/>
      <c r="AJ103" s="3"/>
      <c r="AK103" s="3"/>
      <c r="AL103" s="3"/>
      <c r="AM103" s="3"/>
      <c r="AN103" s="3"/>
    </row>
    <row r="104" spans="1:75" s="90" customFormat="1">
      <c r="A104" s="115"/>
      <c r="B104" s="116"/>
      <c r="C104" s="75"/>
      <c r="D104" s="75"/>
      <c r="E104" s="75"/>
      <c r="F104" s="115"/>
      <c r="G104" s="75"/>
      <c r="H104" s="75"/>
      <c r="I104" s="1"/>
      <c r="J104" s="43" t="str">
        <f>"M.S. = "&amp;[1]!xln(K104)&amp;" ="</f>
        <v>M.S. = 44615 / 25000 - 1 =</v>
      </c>
      <c r="K104" s="31">
        <f>D103/G18-1</f>
        <v>0.78460394811086909</v>
      </c>
      <c r="L104" s="75"/>
      <c r="M104" s="108"/>
      <c r="N104" s="108"/>
      <c r="O104" s="108"/>
      <c r="P104" s="108"/>
      <c r="Q104" s="108"/>
      <c r="R104" s="108"/>
      <c r="S104" s="108"/>
      <c r="T104" s="108"/>
      <c r="U104" s="76"/>
      <c r="W104" s="86"/>
      <c r="X104" s="86"/>
      <c r="Y104" s="3"/>
      <c r="Z104" s="3"/>
      <c r="AA104" s="3"/>
      <c r="AB104" s="3"/>
      <c r="AC104" s="3"/>
      <c r="AD104" s="3"/>
      <c r="AE104" s="3"/>
      <c r="AF104" s="3"/>
      <c r="AG104" s="3"/>
      <c r="AH104" s="3"/>
      <c r="AI104" s="3"/>
      <c r="AJ104" s="3"/>
      <c r="AK104" s="3"/>
      <c r="AL104" s="3"/>
      <c r="AM104" s="3"/>
      <c r="AN104" s="3"/>
    </row>
    <row r="105" spans="1:75">
      <c r="V105" s="35"/>
      <c r="W105" s="34"/>
      <c r="X105" s="39"/>
    </row>
    <row r="106" spans="1:75">
      <c r="W106" s="40"/>
    </row>
    <row r="107" spans="1:75">
      <c r="A107" s="37"/>
      <c r="B107" s="37"/>
      <c r="C107" s="37"/>
      <c r="D107" s="37"/>
      <c r="E107" s="37"/>
      <c r="F107" s="37"/>
      <c r="G107" s="37"/>
      <c r="H107" s="37"/>
      <c r="I107" s="37"/>
      <c r="J107" s="37"/>
      <c r="K107" s="37"/>
      <c r="W107" s="40"/>
    </row>
    <row r="108" spans="1:75">
      <c r="A108" s="37"/>
      <c r="B108" s="37"/>
      <c r="C108" s="37"/>
      <c r="D108" s="37"/>
      <c r="E108" s="37"/>
      <c r="F108" s="37"/>
      <c r="G108" s="37"/>
      <c r="H108" s="37"/>
      <c r="I108" s="37"/>
      <c r="J108" s="37"/>
      <c r="K108" s="37"/>
      <c r="W108" s="40"/>
    </row>
    <row r="109" spans="1:75">
      <c r="A109" s="37"/>
      <c r="B109" s="37"/>
      <c r="C109" s="37"/>
      <c r="D109" s="37"/>
      <c r="E109" s="37"/>
      <c r="F109" s="37"/>
      <c r="G109" s="37"/>
      <c r="H109" s="37"/>
      <c r="I109" s="37"/>
      <c r="J109" s="37"/>
      <c r="K109" s="37"/>
      <c r="V109" s="2"/>
    </row>
    <row r="110" spans="1:75">
      <c r="A110" s="37"/>
      <c r="B110" s="34"/>
      <c r="C110" s="69"/>
      <c r="D110" s="37"/>
      <c r="E110" s="37"/>
      <c r="F110" s="37"/>
      <c r="G110" s="69"/>
      <c r="H110" s="37"/>
      <c r="I110" s="37"/>
      <c r="J110" s="37"/>
      <c r="K110" s="37"/>
      <c r="W110" s="40"/>
    </row>
    <row r="111" spans="1:75">
      <c r="A111" s="37"/>
      <c r="B111" s="5"/>
      <c r="C111" s="69"/>
      <c r="D111" s="38"/>
      <c r="E111" s="38"/>
      <c r="F111" s="70" t="s">
        <v>48</v>
      </c>
      <c r="G111" s="69"/>
      <c r="H111" s="38"/>
      <c r="I111" s="38"/>
      <c r="J111" s="38"/>
      <c r="K111" s="37"/>
      <c r="W111" s="40"/>
    </row>
    <row r="112" spans="1:75" s="6" customFormat="1">
      <c r="A112" s="37"/>
      <c r="B112" s="38"/>
      <c r="C112" s="38"/>
      <c r="D112" s="38"/>
      <c r="E112" s="38"/>
      <c r="F112" s="101" t="s">
        <v>119</v>
      </c>
      <c r="G112" s="38"/>
      <c r="H112" s="38"/>
      <c r="I112" s="38"/>
      <c r="J112" s="38"/>
      <c r="K112" s="37"/>
      <c r="Q112" s="14"/>
      <c r="R112" s="14"/>
      <c r="S112" s="14"/>
      <c r="T112" s="14"/>
    </row>
  </sheetData>
  <mergeCells count="2">
    <mergeCell ref="I48:K49"/>
    <mergeCell ref="I15:K16"/>
  </mergeCells>
  <phoneticPr fontId="2" type="noConversion"/>
  <dataValidations count="1">
    <dataValidation type="list" allowBlank="1" showInputMessage="1" showErrorMessage="1" sqref="I22:I23">
      <formula1>"Single,Double"</formula1>
    </dataValidation>
  </dataValidations>
  <hyperlinks>
    <hyperlink ref="F59" r:id="rId1"/>
    <hyperlink ref="F112" r:id="rId2"/>
    <hyperlink ref="B13" r:id="rId3"/>
    <hyperlink ref="B14" r:id="rId4"/>
  </hyperlinks>
  <pageMargins left="0.47244094488188981" right="0.23622047244094491" top="0.31496062992125984" bottom="0.98425196850393704" header="0.43307086614173229" footer="0.59055118110236227"/>
  <pageSetup orientation="portrait" r:id="rId5"/>
  <headerFooter alignWithMargins="0"/>
  <rowBreaks count="1" manualBreakCount="1">
    <brk id="59" max="10" man="1"/>
  </rowBreaks>
  <drawing r:id="rId6"/>
  <legacyDrawing r:id="rId7"/>
  <oleObjects>
    <mc:AlternateContent xmlns:mc="http://schemas.openxmlformats.org/markup-compatibility/2006">
      <mc:Choice Requires="x14">
        <oleObject progId="Equation.3" shapeId="152928" r:id="rId8">
          <objectPr defaultSize="0" autoPict="0" r:id="rId9">
            <anchor moveWithCells="1">
              <from>
                <xdr:col>5</xdr:col>
                <xdr:colOff>76200</xdr:colOff>
                <xdr:row>112</xdr:row>
                <xdr:rowOff>0</xdr:rowOff>
              </from>
              <to>
                <xdr:col>5</xdr:col>
                <xdr:colOff>99060</xdr:colOff>
                <xdr:row>112</xdr:row>
                <xdr:rowOff>0</xdr:rowOff>
              </to>
            </anchor>
          </objectPr>
        </oleObject>
      </mc:Choice>
      <mc:Fallback>
        <oleObject progId="Equation.3" shapeId="152928" r:id="rId8"/>
      </mc:Fallback>
    </mc:AlternateContent>
    <mc:AlternateContent xmlns:mc="http://schemas.openxmlformats.org/markup-compatibility/2006">
      <mc:Choice Requires="x14">
        <oleObject progId="Equation.3" shapeId="152929" r:id="rId10">
          <objectPr defaultSize="0" r:id="rId9">
            <anchor moveWithCells="1">
              <from>
                <xdr:col>5</xdr:col>
                <xdr:colOff>76200</xdr:colOff>
                <xdr:row>78</xdr:row>
                <xdr:rowOff>152400</xdr:rowOff>
              </from>
              <to>
                <xdr:col>5</xdr:col>
                <xdr:colOff>99060</xdr:colOff>
                <xdr:row>78</xdr:row>
                <xdr:rowOff>152400</xdr:rowOff>
              </to>
            </anchor>
          </objectPr>
        </oleObject>
      </mc:Choice>
      <mc:Fallback>
        <oleObject progId="Equation.3" shapeId="152929" r:id="rId10"/>
      </mc:Fallback>
    </mc:AlternateContent>
    <mc:AlternateContent xmlns:mc="http://schemas.openxmlformats.org/markup-compatibility/2006">
      <mc:Choice Requires="x14">
        <oleObject progId="Equation.3" shapeId="153046" r:id="rId11">
          <objectPr defaultSize="0" r:id="rId9">
            <anchor moveWithCells="1">
              <from>
                <xdr:col>5</xdr:col>
                <xdr:colOff>76200</xdr:colOff>
                <xdr:row>30</xdr:row>
                <xdr:rowOff>152400</xdr:rowOff>
              </from>
              <to>
                <xdr:col>5</xdr:col>
                <xdr:colOff>99060</xdr:colOff>
                <xdr:row>30</xdr:row>
                <xdr:rowOff>152400</xdr:rowOff>
              </to>
            </anchor>
          </objectPr>
        </oleObject>
      </mc:Choice>
      <mc:Fallback>
        <oleObject progId="Equation.3" shapeId="153046" r:id="rId11"/>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Flat Plates</vt:lpstr>
      <vt:lpstr>'Flat Plates'!Print_Area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2009-04-23T11:09:15Z</cp:lastPrinted>
  <dcterms:created xsi:type="dcterms:W3CDTF">2005-06-02T14:51:17Z</dcterms:created>
  <dcterms:modified xsi:type="dcterms:W3CDTF">2016-06-13T03:08:24Z</dcterms:modified>
  <cp:category>Engineering Spreadsheets;Analysis;AA-SM</cp:category>
  <cp:contentStatus>Released</cp:contentStatus>
</cp:coreProperties>
</file>