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600" yWindow="-288" windowWidth="19428" windowHeight="11856" activeTab="2"/>
  </bookViews>
  <sheets>
    <sheet name="READ ME" sheetId="14" r:id="rId1"/>
    <sheet name="DV-IDENTITY-0" sheetId="7" state="veryHidden" r:id="rId2"/>
    <sheet name="Main - US" sheetId="11" r:id="rId3"/>
  </sheets>
  <externalReferences>
    <externalReference r:id="rId4"/>
  </externalReferences>
  <definedNames>
    <definedName name="_xlnm.Print_Area" localSheetId="2">'Main - US'!$A$8:$K$1090</definedName>
    <definedName name="_xlnm.Print_Area" localSheetId="0">'READ ME'!$A$8:$K$62</definedName>
    <definedName name="sencount" hidden="1">1</definedName>
  </definedNames>
  <calcPr calcId="171027" iterate="1" iterateCount="10"/>
</workbook>
</file>

<file path=xl/calcChain.xml><?xml version="1.0" encoding="utf-8"?>
<calcChain xmlns="http://schemas.openxmlformats.org/spreadsheetml/2006/main">
  <c r="C12" i="14" l="1"/>
  <c r="H570" i="11" l="1"/>
  <c r="C570" i="11"/>
  <c r="F565" i="11"/>
  <c r="C565" i="11"/>
  <c r="F560" i="11"/>
  <c r="C560" i="11"/>
  <c r="C555" i="11"/>
  <c r="B541" i="11"/>
  <c r="F540" i="11"/>
  <c r="L539" i="11"/>
  <c r="F539" i="11"/>
  <c r="J538" i="11"/>
  <c r="F538" i="11"/>
  <c r="J537" i="11"/>
  <c r="F537" i="11"/>
  <c r="H517" i="11"/>
  <c r="C517" i="11"/>
  <c r="F512" i="11"/>
  <c r="C512" i="11"/>
  <c r="F507" i="11"/>
  <c r="C507" i="11"/>
  <c r="C502" i="11"/>
  <c r="C516" i="11"/>
  <c r="H515" i="11"/>
  <c r="H568" i="11"/>
  <c r="F563" i="11"/>
  <c r="F510" i="11"/>
  <c r="C558" i="11"/>
  <c r="C559" i="11"/>
  <c r="C554" i="11"/>
  <c r="C569" i="11"/>
  <c r="H516" i="11"/>
  <c r="C515" i="11"/>
  <c r="F558" i="11"/>
  <c r="C568" i="11"/>
  <c r="F564" i="11"/>
  <c r="C564" i="11"/>
  <c r="H569" i="11"/>
  <c r="C553" i="11"/>
  <c r="F511" i="11"/>
  <c r="F559" i="11"/>
  <c r="C563" i="11"/>
  <c r="J499" i="11" l="1"/>
  <c r="I512" i="11"/>
  <c r="J548" i="11"/>
  <c r="J552" i="11"/>
  <c r="I565" i="11"/>
  <c r="B488" i="11"/>
  <c r="F487" i="11"/>
  <c r="L486" i="11"/>
  <c r="F486" i="11"/>
  <c r="J485" i="11"/>
  <c r="F485" i="11"/>
  <c r="J484" i="11"/>
  <c r="F484" i="11"/>
  <c r="C506" i="11"/>
  <c r="I564" i="11"/>
  <c r="C501" i="11"/>
  <c r="J551" i="11"/>
  <c r="I563" i="11"/>
  <c r="C505" i="11"/>
  <c r="F505" i="11"/>
  <c r="J550" i="11"/>
  <c r="J546" i="11"/>
  <c r="C500" i="11"/>
  <c r="F506" i="11"/>
  <c r="J547" i="11"/>
  <c r="C458" i="11" l="1"/>
  <c r="C454" i="11"/>
  <c r="C449" i="11"/>
  <c r="B435" i="11"/>
  <c r="F434" i="11"/>
  <c r="L433" i="11"/>
  <c r="F433" i="11"/>
  <c r="J432" i="11"/>
  <c r="F432" i="11"/>
  <c r="J431" i="11"/>
  <c r="F431" i="11"/>
  <c r="C423" i="11"/>
  <c r="H417" i="11"/>
  <c r="C424" i="11" s="1"/>
  <c r="C417" i="11"/>
  <c r="C389" i="11"/>
  <c r="C411" i="11" s="1"/>
  <c r="I402" i="11"/>
  <c r="C402" i="11"/>
  <c r="C399" i="11"/>
  <c r="C396" i="11"/>
  <c r="B382" i="11"/>
  <c r="F381" i="11"/>
  <c r="L380" i="11"/>
  <c r="F380" i="11"/>
  <c r="J379" i="11"/>
  <c r="F379" i="11"/>
  <c r="J378" i="11"/>
  <c r="F378" i="11"/>
  <c r="C388" i="11"/>
  <c r="J497" i="11"/>
  <c r="C456" i="11"/>
  <c r="C400" i="11"/>
  <c r="H416" i="11"/>
  <c r="C416" i="11"/>
  <c r="C410" i="11"/>
  <c r="C452" i="11"/>
  <c r="C510" i="11"/>
  <c r="I401" i="11"/>
  <c r="C447" i="11"/>
  <c r="H415" i="11"/>
  <c r="C448" i="11"/>
  <c r="C409" i="11"/>
  <c r="C395" i="11"/>
  <c r="C394" i="11"/>
  <c r="I400" i="11"/>
  <c r="C511" i="11"/>
  <c r="C457" i="11"/>
  <c r="C453" i="11"/>
  <c r="J498" i="11"/>
  <c r="C415" i="11"/>
  <c r="C401" i="11"/>
  <c r="C407" i="11" l="1"/>
  <c r="H411" i="11" s="1"/>
  <c r="C421" i="11"/>
  <c r="H421" i="11"/>
  <c r="J495" i="11"/>
  <c r="C467" i="11"/>
  <c r="J446" i="11" s="1"/>
  <c r="C463" i="11"/>
  <c r="J389" i="11"/>
  <c r="J393" i="11"/>
  <c r="H363" i="11"/>
  <c r="C363" i="11"/>
  <c r="C358" i="11"/>
  <c r="C354" i="11"/>
  <c r="C349" i="11"/>
  <c r="C343" i="11"/>
  <c r="C346" i="11"/>
  <c r="B329" i="11"/>
  <c r="F328" i="11"/>
  <c r="L327" i="11"/>
  <c r="F327" i="11"/>
  <c r="J326" i="11"/>
  <c r="F326" i="11"/>
  <c r="J325" i="11"/>
  <c r="F325" i="11"/>
  <c r="H318" i="11"/>
  <c r="C311" i="11"/>
  <c r="C317" i="11"/>
  <c r="C315" i="11"/>
  <c r="C305" i="11"/>
  <c r="C296" i="11"/>
  <c r="C290" i="11"/>
  <c r="C301" i="11" s="1"/>
  <c r="C293" i="11"/>
  <c r="B276" i="11"/>
  <c r="F275" i="11"/>
  <c r="L274" i="11"/>
  <c r="F274" i="11"/>
  <c r="J273" i="11"/>
  <c r="F273" i="11"/>
  <c r="J272" i="11"/>
  <c r="F272" i="11"/>
  <c r="C262" i="11"/>
  <c r="C264" i="11" s="1"/>
  <c r="C258" i="11"/>
  <c r="I265" i="11"/>
  <c r="C252" i="11"/>
  <c r="C243" i="11"/>
  <c r="C240" i="11"/>
  <c r="C237" i="11"/>
  <c r="B223" i="11"/>
  <c r="F222" i="11"/>
  <c r="L221" i="11"/>
  <c r="F221" i="11"/>
  <c r="J220" i="11"/>
  <c r="F220" i="11"/>
  <c r="J219" i="11"/>
  <c r="F219" i="11"/>
  <c r="G193" i="11"/>
  <c r="C193" i="11"/>
  <c r="F138" i="11"/>
  <c r="C138" i="11"/>
  <c r="I129" i="11"/>
  <c r="I125" i="11"/>
  <c r="C129" i="11"/>
  <c r="C133" i="11"/>
  <c r="C132" i="11"/>
  <c r="F85" i="11"/>
  <c r="C85" i="11"/>
  <c r="I76" i="11"/>
  <c r="I72" i="11"/>
  <c r="C79" i="11"/>
  <c r="C80" i="11" s="1"/>
  <c r="C76" i="11"/>
  <c r="B64" i="11"/>
  <c r="F63" i="11"/>
  <c r="F62" i="11"/>
  <c r="J61" i="11"/>
  <c r="F61" i="11"/>
  <c r="J60" i="11"/>
  <c r="F60" i="11"/>
  <c r="F83" i="11"/>
  <c r="C295" i="11"/>
  <c r="C235" i="11"/>
  <c r="F136" i="11"/>
  <c r="I124" i="11"/>
  <c r="C357" i="11"/>
  <c r="J444" i="11"/>
  <c r="C342" i="11"/>
  <c r="C419" i="11"/>
  <c r="H409" i="11"/>
  <c r="C289" i="11"/>
  <c r="C299" i="11"/>
  <c r="J494" i="11"/>
  <c r="I70" i="11"/>
  <c r="C405" i="11"/>
  <c r="C341" i="11"/>
  <c r="F84" i="11"/>
  <c r="C362" i="11"/>
  <c r="C309" i="11"/>
  <c r="I71" i="11"/>
  <c r="I510" i="11"/>
  <c r="C191" i="11"/>
  <c r="C303" i="11"/>
  <c r="C361" i="11"/>
  <c r="C304" i="11"/>
  <c r="C242" i="11"/>
  <c r="I123" i="11"/>
  <c r="J387" i="11"/>
  <c r="C74" i="11"/>
  <c r="C356" i="11"/>
  <c r="C128" i="11"/>
  <c r="C348" i="11"/>
  <c r="C294" i="11"/>
  <c r="C251" i="11"/>
  <c r="C310" i="11"/>
  <c r="H317" i="11"/>
  <c r="C83" i="11"/>
  <c r="C192" i="11"/>
  <c r="G191" i="11"/>
  <c r="H419" i="11"/>
  <c r="C256" i="11"/>
  <c r="I128" i="11"/>
  <c r="C313" i="11"/>
  <c r="C461" i="11"/>
  <c r="C136" i="11"/>
  <c r="C462" i="11"/>
  <c r="H361" i="11"/>
  <c r="C250" i="11"/>
  <c r="C257" i="11"/>
  <c r="C127" i="11"/>
  <c r="J445" i="11"/>
  <c r="C406" i="11"/>
  <c r="C84" i="11"/>
  <c r="I511" i="11"/>
  <c r="I263" i="11"/>
  <c r="F137" i="11"/>
  <c r="I75" i="11"/>
  <c r="C75" i="11"/>
  <c r="I127" i="11"/>
  <c r="H420" i="11"/>
  <c r="J493" i="11"/>
  <c r="C241" i="11"/>
  <c r="C466" i="11"/>
  <c r="C314" i="11"/>
  <c r="C465" i="11"/>
  <c r="C420" i="11"/>
  <c r="H410" i="11"/>
  <c r="C137" i="11"/>
  <c r="C300" i="11"/>
  <c r="H362" i="11"/>
  <c r="C236" i="11"/>
  <c r="I264" i="11"/>
  <c r="J388" i="11"/>
  <c r="I74" i="11"/>
  <c r="G192" i="11"/>
  <c r="J391" i="11"/>
  <c r="J392" i="11"/>
  <c r="C288" i="11"/>
  <c r="H316" i="11"/>
  <c r="C347" i="11"/>
  <c r="H367" i="11" l="1"/>
  <c r="C425" i="11"/>
  <c r="F76" i="11"/>
  <c r="C367" i="11"/>
  <c r="J442" i="11"/>
  <c r="C471" i="11"/>
  <c r="J340" i="11"/>
  <c r="H358" i="11"/>
  <c r="C321" i="11"/>
  <c r="I283" i="11"/>
  <c r="I287" i="11"/>
  <c r="H321" i="11"/>
  <c r="H305" i="11"/>
  <c r="C248" i="11"/>
  <c r="C268" i="11" s="1"/>
  <c r="I268" i="11"/>
  <c r="I234" i="11"/>
  <c r="F80" i="11"/>
  <c r="F129" i="11"/>
  <c r="F133" i="11"/>
  <c r="I133" i="11"/>
  <c r="I80" i="11"/>
  <c r="H303" i="11"/>
  <c r="C365" i="11"/>
  <c r="C247" i="11"/>
  <c r="F78" i="11"/>
  <c r="F128" i="11"/>
  <c r="H356" i="11"/>
  <c r="C267" i="11"/>
  <c r="I285" i="11"/>
  <c r="I131" i="11"/>
  <c r="H366" i="11"/>
  <c r="I266" i="11"/>
  <c r="I232" i="11"/>
  <c r="F74" i="11"/>
  <c r="J339" i="11"/>
  <c r="H320" i="11"/>
  <c r="H357" i="11"/>
  <c r="J440" i="11"/>
  <c r="F75" i="11"/>
  <c r="H319" i="11"/>
  <c r="I267" i="11"/>
  <c r="C353" i="11"/>
  <c r="C320" i="11"/>
  <c r="H304" i="11"/>
  <c r="C319" i="11"/>
  <c r="C246" i="11"/>
  <c r="I282" i="11"/>
  <c r="C469" i="11"/>
  <c r="C352" i="11"/>
  <c r="I233" i="11"/>
  <c r="F132" i="11"/>
  <c r="C366" i="11"/>
  <c r="F131" i="11"/>
  <c r="C470" i="11"/>
  <c r="I78" i="11"/>
  <c r="F79" i="11"/>
  <c r="C260" i="11"/>
  <c r="I79" i="11"/>
  <c r="I281" i="11"/>
  <c r="J338" i="11"/>
  <c r="C266" i="11"/>
  <c r="H365" i="11"/>
  <c r="I286" i="11"/>
  <c r="F127" i="11"/>
  <c r="J441" i="11"/>
  <c r="C261" i="11"/>
  <c r="I132" i="11"/>
  <c r="J336" i="11" l="1"/>
  <c r="H252" i="11"/>
  <c r="I230" i="11"/>
  <c r="L62" i="11"/>
  <c r="B1042" i="11"/>
  <c r="F1041" i="11"/>
  <c r="L1040" i="11"/>
  <c r="F1040" i="11"/>
  <c r="J1039" i="11"/>
  <c r="F1039" i="11"/>
  <c r="J1038" i="11"/>
  <c r="F1038" i="11"/>
  <c r="B986" i="11"/>
  <c r="F985" i="11"/>
  <c r="L984" i="11"/>
  <c r="F984" i="11"/>
  <c r="J983" i="11"/>
  <c r="F983" i="11"/>
  <c r="J982" i="11"/>
  <c r="F982" i="11"/>
  <c r="B930" i="11"/>
  <c r="F929" i="11"/>
  <c r="L928" i="11"/>
  <c r="F928" i="11"/>
  <c r="J927" i="11"/>
  <c r="F927" i="11"/>
  <c r="J926" i="11"/>
  <c r="F926" i="11"/>
  <c r="B874" i="11"/>
  <c r="F873" i="11"/>
  <c r="L872" i="11"/>
  <c r="F872" i="11"/>
  <c r="J871" i="11"/>
  <c r="F871" i="11"/>
  <c r="J870" i="11"/>
  <c r="F870" i="11"/>
  <c r="B818" i="11"/>
  <c r="F817" i="11"/>
  <c r="L816" i="11"/>
  <c r="F816" i="11"/>
  <c r="J815" i="11"/>
  <c r="F815" i="11"/>
  <c r="J814" i="11"/>
  <c r="F814" i="11"/>
  <c r="B762" i="11"/>
  <c r="F761" i="11"/>
  <c r="L760" i="11"/>
  <c r="F760" i="11"/>
  <c r="J759" i="11"/>
  <c r="F759" i="11"/>
  <c r="J758" i="11"/>
  <c r="F758" i="11"/>
  <c r="B706" i="11"/>
  <c r="F705" i="11"/>
  <c r="L704" i="11"/>
  <c r="F704" i="11"/>
  <c r="J703" i="11"/>
  <c r="F703" i="11"/>
  <c r="J702" i="11"/>
  <c r="F702" i="11"/>
  <c r="B170" i="11"/>
  <c r="F169" i="11"/>
  <c r="L168" i="11"/>
  <c r="F168" i="11"/>
  <c r="J167" i="11"/>
  <c r="F167" i="11"/>
  <c r="J166" i="11"/>
  <c r="F166" i="11"/>
  <c r="B650" i="11"/>
  <c r="F649" i="11"/>
  <c r="L648" i="11"/>
  <c r="F648" i="11"/>
  <c r="J647" i="11"/>
  <c r="F647" i="11"/>
  <c r="J646" i="11"/>
  <c r="F646" i="11"/>
  <c r="B594" i="11"/>
  <c r="F593" i="11"/>
  <c r="L592" i="11"/>
  <c r="F592" i="11"/>
  <c r="J591" i="11"/>
  <c r="F591" i="11"/>
  <c r="J590" i="11"/>
  <c r="F590" i="11"/>
  <c r="B117" i="11"/>
  <c r="F116" i="11"/>
  <c r="L115" i="11"/>
  <c r="F115" i="11"/>
  <c r="J114" i="11"/>
  <c r="F114" i="11"/>
  <c r="J113" i="11"/>
  <c r="F113" i="11"/>
  <c r="B12" i="11"/>
  <c r="F11" i="11"/>
  <c r="L10" i="11"/>
  <c r="F10" i="11"/>
  <c r="J9" i="11"/>
  <c r="F9" i="11"/>
  <c r="J8" i="11"/>
  <c r="F8" i="11"/>
  <c r="X7" i="11"/>
  <c r="X6" i="11"/>
  <c r="X5" i="11"/>
  <c r="X4" i="11"/>
  <c r="X3" i="11"/>
  <c r="X2" i="11"/>
  <c r="X1" i="11"/>
  <c r="G1" i="11" s="1"/>
  <c r="J539" i="11" s="1"/>
  <c r="I228" i="11"/>
  <c r="J334" i="11"/>
  <c r="H250" i="11"/>
  <c r="I229" i="11"/>
  <c r="J335" i="11"/>
  <c r="H251" i="11"/>
  <c r="J433" i="11" l="1"/>
  <c r="J486" i="11"/>
  <c r="J327" i="11"/>
  <c r="J380" i="11"/>
  <c r="J221" i="11"/>
  <c r="J274" i="11"/>
  <c r="J62" i="11"/>
  <c r="J10" i="11"/>
  <c r="J1040" i="11"/>
  <c r="J984" i="11"/>
  <c r="J928" i="11"/>
  <c r="J872" i="11"/>
  <c r="J816" i="11"/>
  <c r="J760" i="11"/>
  <c r="J704" i="11"/>
  <c r="J168" i="11"/>
  <c r="J648" i="11"/>
  <c r="J592" i="11"/>
  <c r="J115" i="11"/>
  <c r="C714" i="11" l="1"/>
  <c r="H713" i="11"/>
  <c r="C712" i="11"/>
  <c r="C724" i="11" l="1"/>
  <c r="C742" i="11"/>
  <c r="C728" i="11"/>
  <c r="C720" i="11"/>
  <c r="C740" i="11"/>
  <c r="C727" i="11"/>
  <c r="C741" i="11"/>
  <c r="C718" i="11"/>
  <c r="C719" i="11"/>
  <c r="C723" i="11"/>
  <c r="C726" i="11"/>
  <c r="C722" i="11"/>
  <c r="C734" i="11" l="1"/>
  <c r="C738" i="11"/>
  <c r="C732" i="11"/>
  <c r="C737" i="11"/>
  <c r="C736" i="11"/>
  <c r="C733" i="11"/>
  <c r="C746" i="11" l="1"/>
  <c r="C744" i="11"/>
  <c r="C745" i="11"/>
  <c r="C1086" i="11" l="1"/>
  <c r="C1083" i="11"/>
  <c r="C1080" i="11"/>
  <c r="C1073" i="11"/>
  <c r="C1070" i="11"/>
  <c r="C1067" i="11"/>
  <c r="C1060" i="11"/>
  <c r="C1059" i="11"/>
  <c r="C1058" i="11"/>
  <c r="C1055" i="11"/>
  <c r="C1013" i="11"/>
  <c r="C1011" i="11"/>
  <c r="C1072" i="11"/>
  <c r="C1069" i="11"/>
  <c r="C1054" i="11"/>
  <c r="C1068" i="11"/>
  <c r="C1066" i="11"/>
  <c r="C1079" i="11"/>
  <c r="C1012" i="11"/>
  <c r="C1084" i="11"/>
  <c r="C1081" i="11"/>
  <c r="C1071" i="11"/>
  <c r="C1065" i="11"/>
  <c r="C1082" i="11"/>
  <c r="C1085" i="11"/>
  <c r="C1078" i="11"/>
  <c r="G1073" i="11" l="1"/>
  <c r="C1056" i="11"/>
  <c r="G1086" i="11"/>
  <c r="G1070" i="11"/>
  <c r="G1080" i="11"/>
  <c r="G1067" i="11"/>
  <c r="G1083" i="11"/>
  <c r="C1009" i="11"/>
  <c r="C1003" i="11"/>
  <c r="C1001" i="11"/>
  <c r="C999" i="11"/>
  <c r="G1072" i="11"/>
  <c r="G1081" i="11"/>
  <c r="G1078" i="11"/>
  <c r="G1082" i="11"/>
  <c r="C998" i="11"/>
  <c r="G1065" i="11"/>
  <c r="G1066" i="11"/>
  <c r="C1007" i="11"/>
  <c r="G1079" i="11"/>
  <c r="G1069" i="11"/>
  <c r="G1085" i="11"/>
  <c r="C997" i="11"/>
  <c r="G1068" i="11"/>
  <c r="G1071" i="11"/>
  <c r="C1008" i="11"/>
  <c r="G1084" i="11"/>
  <c r="C1017" i="11" l="1"/>
  <c r="H999" i="11"/>
  <c r="H1013" i="11"/>
  <c r="H1009" i="11"/>
  <c r="H1003" i="11"/>
  <c r="E992" i="11"/>
  <c r="C957" i="11"/>
  <c r="H1002" i="11"/>
  <c r="C1016" i="11"/>
  <c r="H1012" i="11"/>
  <c r="H998" i="11"/>
  <c r="H1008" i="11"/>
  <c r="C1015" i="11"/>
  <c r="H997" i="11"/>
  <c r="C955" i="11"/>
  <c r="H1001" i="11"/>
  <c r="C956" i="11"/>
  <c r="H1007" i="11"/>
  <c r="H1011" i="11"/>
  <c r="H1017" i="11" l="1"/>
  <c r="C953" i="11"/>
  <c r="C947" i="11"/>
  <c r="C945" i="11"/>
  <c r="C943" i="11"/>
  <c r="H1015" i="11"/>
  <c r="C942" i="11"/>
  <c r="C941" i="11"/>
  <c r="C951" i="11"/>
  <c r="C952" i="11"/>
  <c r="H1016" i="11"/>
  <c r="C961" i="11" l="1"/>
  <c r="H943" i="11"/>
  <c r="H957" i="11"/>
  <c r="H953" i="11"/>
  <c r="H947" i="11"/>
  <c r="H936" i="11"/>
  <c r="H935" i="11"/>
  <c r="C902" i="11"/>
  <c r="C900" i="11"/>
  <c r="H956" i="11"/>
  <c r="H945" i="11"/>
  <c r="H941" i="11"/>
  <c r="H955" i="11"/>
  <c r="C901" i="11"/>
  <c r="C960" i="11"/>
  <c r="C959" i="11"/>
  <c r="H942" i="11"/>
  <c r="H952" i="11"/>
  <c r="H946" i="11"/>
  <c r="H951" i="11"/>
  <c r="H961" i="11" l="1"/>
  <c r="C898" i="11"/>
  <c r="C891" i="11"/>
  <c r="C889" i="11"/>
  <c r="C887" i="11"/>
  <c r="C886" i="11"/>
  <c r="C897" i="11"/>
  <c r="C896" i="11"/>
  <c r="H959" i="11"/>
  <c r="C885" i="11"/>
  <c r="H960" i="11"/>
  <c r="C906" i="11" l="1"/>
  <c r="H887" i="11"/>
  <c r="H902" i="11"/>
  <c r="H898" i="11"/>
  <c r="H891" i="11"/>
  <c r="C847" i="11"/>
  <c r="C837" i="11"/>
  <c r="C833" i="11"/>
  <c r="C830" i="11"/>
  <c r="H886" i="11"/>
  <c r="C836" i="11"/>
  <c r="H889" i="11"/>
  <c r="C832" i="11"/>
  <c r="C829" i="11"/>
  <c r="H890" i="11"/>
  <c r="H897" i="11"/>
  <c r="C835" i="11"/>
  <c r="H901" i="11"/>
  <c r="H900" i="11"/>
  <c r="C845" i="11"/>
  <c r="H896" i="11"/>
  <c r="C846" i="11"/>
  <c r="H885" i="11"/>
  <c r="C905" i="11"/>
  <c r="C904" i="11"/>
  <c r="C843" i="11" l="1"/>
  <c r="H906" i="11"/>
  <c r="H847" i="11"/>
  <c r="H835" i="11"/>
  <c r="C792" i="11"/>
  <c r="H834" i="11"/>
  <c r="C842" i="11"/>
  <c r="H904" i="11"/>
  <c r="H846" i="11"/>
  <c r="C841" i="11"/>
  <c r="H845" i="11"/>
  <c r="H905" i="11"/>
  <c r="H833" i="11"/>
  <c r="C790" i="11"/>
  <c r="C791" i="11"/>
  <c r="C851" i="11" l="1"/>
  <c r="H831" i="11"/>
  <c r="H843" i="11"/>
  <c r="C788" i="11"/>
  <c r="C782" i="11"/>
  <c r="C778" i="11"/>
  <c r="C775" i="11"/>
  <c r="C787" i="11"/>
  <c r="C786" i="11"/>
  <c r="C780" i="11"/>
  <c r="H830" i="11"/>
  <c r="H841" i="11"/>
  <c r="H842" i="11"/>
  <c r="H829" i="11"/>
  <c r="C777" i="11"/>
  <c r="C781" i="11"/>
  <c r="C850" i="11"/>
  <c r="C773" i="11"/>
  <c r="C774" i="11"/>
  <c r="C849" i="11"/>
  <c r="H851" i="11" l="1"/>
  <c r="C796" i="11"/>
  <c r="H775" i="11"/>
  <c r="H792" i="11"/>
  <c r="H788" i="11"/>
  <c r="H779" i="11"/>
  <c r="I184" i="11"/>
  <c r="G197" i="11" s="1"/>
  <c r="G196" i="11"/>
  <c r="H778" i="11"/>
  <c r="H787" i="11"/>
  <c r="H791" i="11"/>
  <c r="C794" i="11"/>
  <c r="C795" i="11"/>
  <c r="I182" i="11"/>
  <c r="H850" i="11"/>
  <c r="G195" i="11"/>
  <c r="H849" i="11"/>
  <c r="H790" i="11"/>
  <c r="H786" i="11"/>
  <c r="H777" i="11"/>
  <c r="I183" i="11"/>
  <c r="H774" i="11"/>
  <c r="H773" i="11"/>
  <c r="H796" i="11" l="1"/>
  <c r="I180" i="11"/>
  <c r="C197" i="11" s="1"/>
  <c r="C188" i="11"/>
  <c r="C187" i="11"/>
  <c r="C184" i="11"/>
  <c r="H795" i="11"/>
  <c r="C183" i="11"/>
  <c r="H794" i="11"/>
  <c r="C182" i="11"/>
  <c r="I179" i="11"/>
  <c r="I178" i="11"/>
  <c r="I188" i="11" l="1"/>
  <c r="F184" i="11"/>
  <c r="F188" i="11"/>
  <c r="C677" i="11"/>
  <c r="I186" i="11"/>
  <c r="C195" i="11"/>
  <c r="F182" i="11"/>
  <c r="F183" i="11"/>
  <c r="C676" i="11"/>
  <c r="C196" i="11"/>
  <c r="F187" i="11"/>
  <c r="I187" i="11"/>
  <c r="F186" i="11"/>
  <c r="C675" i="11"/>
  <c r="C673" i="11" l="1"/>
  <c r="C667" i="11"/>
  <c r="C665" i="11"/>
  <c r="C663" i="11"/>
  <c r="C672" i="11"/>
  <c r="C671" i="11"/>
  <c r="C661" i="11"/>
  <c r="C662" i="11"/>
  <c r="C681" i="11" l="1"/>
  <c r="H663" i="11"/>
  <c r="H677" i="11"/>
  <c r="H673" i="11"/>
  <c r="H667" i="11"/>
  <c r="C621" i="11"/>
  <c r="C617" i="11"/>
  <c r="C611" i="11"/>
  <c r="C609" i="11"/>
  <c r="C607" i="11"/>
  <c r="C620" i="11"/>
  <c r="C679" i="11"/>
  <c r="C605" i="11"/>
  <c r="H662" i="11"/>
  <c r="H671" i="11"/>
  <c r="H661" i="11"/>
  <c r="H676" i="11"/>
  <c r="C606" i="11"/>
  <c r="C615" i="11"/>
  <c r="H672" i="11"/>
  <c r="H666" i="11"/>
  <c r="H675" i="11"/>
  <c r="C680" i="11"/>
  <c r="C616" i="11"/>
  <c r="C619" i="11"/>
  <c r="H665" i="11"/>
  <c r="C625" i="11" l="1"/>
  <c r="H681" i="11"/>
  <c r="H607" i="11"/>
  <c r="H621" i="11"/>
  <c r="H617" i="11"/>
  <c r="H611" i="11"/>
  <c r="H609" i="11"/>
  <c r="H620" i="11"/>
  <c r="C624" i="11"/>
  <c r="C623" i="11"/>
  <c r="H610" i="11"/>
  <c r="H679" i="11"/>
  <c r="H606" i="11"/>
  <c r="H680" i="11"/>
  <c r="H615" i="11"/>
  <c r="H619" i="11"/>
  <c r="H605" i="11"/>
  <c r="H616" i="11"/>
  <c r="H625" i="11" l="1"/>
  <c r="H624" i="11"/>
  <c r="H623" i="1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<sst xmlns="http://schemas.openxmlformats.org/spreadsheetml/2006/main" count="1317" uniqueCount="166">
  <si>
    <t>Revision:</t>
  </si>
  <si>
    <t>Date:</t>
  </si>
  <si>
    <t>r =</t>
  </si>
  <si>
    <t>R. Abbott</t>
  </si>
  <si>
    <t>in</t>
  </si>
  <si>
    <t>Author:</t>
  </si>
  <si>
    <t>Check:</t>
  </si>
  <si>
    <t xml:space="preserve"> </t>
  </si>
  <si>
    <t>Report:</t>
  </si>
  <si>
    <t>Section:</t>
  </si>
  <si>
    <t>Document Number:</t>
  </si>
  <si>
    <t>Revision Level :</t>
  </si>
  <si>
    <t>Page:</t>
  </si>
  <si>
    <t>AA-SM-001-000</t>
  </si>
  <si>
    <t>=</t>
  </si>
  <si>
    <t>AAAAAH98rX4=</t>
  </si>
  <si>
    <t>AAAAAH98rX8=</t>
  </si>
  <si>
    <t>Hollow Circle</t>
  </si>
  <si>
    <t xml:space="preserve">Page </t>
  </si>
  <si>
    <t>Title</t>
  </si>
  <si>
    <t>Sub</t>
  </si>
  <si>
    <t>Fig</t>
  </si>
  <si>
    <t>Table</t>
  </si>
  <si>
    <t>No</t>
  </si>
  <si>
    <t>Rectangle</t>
  </si>
  <si>
    <t>ẋ =</t>
  </si>
  <si>
    <t>R =</t>
  </si>
  <si>
    <t>ẏ =</t>
  </si>
  <si>
    <t>W =</t>
  </si>
  <si>
    <t>General Properties</t>
  </si>
  <si>
    <t>Area Moment of Intertia</t>
  </si>
  <si>
    <t>Weight Moment of Inertia</t>
  </si>
  <si>
    <t>A =</t>
  </si>
  <si>
    <t>B =</t>
  </si>
  <si>
    <t>H =</t>
  </si>
  <si>
    <t>Volume =</t>
  </si>
  <si>
    <t>ż =</t>
  </si>
  <si>
    <t>About own center</t>
  </si>
  <si>
    <t>About Coord System</t>
  </si>
  <si>
    <t>Center of Volume:</t>
  </si>
  <si>
    <t>x =</t>
  </si>
  <si>
    <t>y =</t>
  </si>
  <si>
    <t>z =</t>
  </si>
  <si>
    <t>Radius Of Gyration</t>
  </si>
  <si>
    <t>in³</t>
  </si>
  <si>
    <t>lb</t>
  </si>
  <si>
    <t>lbin²</t>
  </si>
  <si>
    <t>Rectangular prism</t>
  </si>
  <si>
    <t>Density =</t>
  </si>
  <si>
    <t>lb/in³</t>
  </si>
  <si>
    <t>Radius of Gyration</t>
  </si>
  <si>
    <t>b =</t>
  </si>
  <si>
    <t>h =</t>
  </si>
  <si>
    <t>The following fundamental gemoetric relationships and assumptions are used in this spreadsheet</t>
  </si>
  <si>
    <t>Mass Moment of Intertia:</t>
  </si>
  <si>
    <t>Constant/uniform density is assumed</t>
  </si>
  <si>
    <t>For 2D/plane geomtric properties</t>
  </si>
  <si>
    <t>√( I / A )</t>
  </si>
  <si>
    <t>Polar Area Moment of Intertia and Polar Mass Moment of Intertia</t>
  </si>
  <si>
    <t>Semi Circle</t>
  </si>
  <si>
    <t>Hollow Semi Circle</t>
  </si>
  <si>
    <t>Ellipse</t>
  </si>
  <si>
    <t>Hollow Ellipse</t>
  </si>
  <si>
    <t>C =</t>
  </si>
  <si>
    <t>D =</t>
  </si>
  <si>
    <t>Oblique Triangle</t>
  </si>
  <si>
    <t>About arbitrary coordinate system</t>
  </si>
  <si>
    <t>Weight Moment of inertia</t>
  </si>
  <si>
    <t>in²</t>
  </si>
  <si>
    <t>in⁴</t>
  </si>
  <si>
    <t>in2</t>
  </si>
  <si>
    <t>in4</t>
  </si>
  <si>
    <t>Iₓ =</t>
  </si>
  <si>
    <t>Iᵧ =</t>
  </si>
  <si>
    <t>ρₓ =</t>
  </si>
  <si>
    <t>ρᵧ =</t>
  </si>
  <si>
    <t>ρₓₐ =</t>
  </si>
  <si>
    <t>ρᵧₐ =</t>
  </si>
  <si>
    <t>Iₓₐ =</t>
  </si>
  <si>
    <t>Iᵧₐ =</t>
  </si>
  <si>
    <t>L-Section Angle</t>
  </si>
  <si>
    <t>a =</t>
  </si>
  <si>
    <t>e =</t>
  </si>
  <si>
    <t>t =</t>
  </si>
  <si>
    <t>Iₓᵧ =</t>
  </si>
  <si>
    <r>
      <t>I</t>
    </r>
    <r>
      <rPr>
        <vertAlign val="subscript"/>
        <sz val="10"/>
        <rFont val="Calibri"/>
        <family val="2"/>
        <scheme val="minor"/>
      </rPr>
      <t>mass</t>
    </r>
    <r>
      <rPr>
        <sz val="10"/>
        <rFont val="Calibri"/>
        <family val="2"/>
        <scheme val="minor"/>
      </rPr>
      <t xml:space="preserve"> =</t>
    </r>
  </si>
  <si>
    <r>
      <t>Density x I</t>
    </r>
    <r>
      <rPr>
        <vertAlign val="subscript"/>
        <sz val="10"/>
        <rFont val="Calibri"/>
        <family val="2"/>
        <scheme val="minor"/>
      </rPr>
      <t>area</t>
    </r>
  </si>
  <si>
    <t>J =</t>
  </si>
  <si>
    <r>
      <t>I</t>
    </r>
    <r>
      <rPr>
        <vertAlign val="subscript"/>
        <sz val="10"/>
        <rFont val="Calibri"/>
        <family val="2"/>
        <scheme val="minor"/>
      </rPr>
      <t>x</t>
    </r>
    <r>
      <rPr>
        <sz val="10"/>
        <rFont val="Calibri"/>
        <family val="2"/>
        <scheme val="minor"/>
      </rPr>
      <t xml:space="preserve"> + I</t>
    </r>
    <r>
      <rPr>
        <vertAlign val="subscript"/>
        <sz val="10"/>
        <rFont val="Calibri"/>
        <family val="2"/>
        <scheme val="minor"/>
      </rPr>
      <t>y</t>
    </r>
  </si>
  <si>
    <t>ρ =</t>
  </si>
  <si>
    <r>
      <t>I</t>
    </r>
    <r>
      <rPr>
        <vertAlign val="subscript"/>
        <sz val="10"/>
        <rFont val="Calibri"/>
        <family val="2"/>
        <scheme val="minor"/>
      </rPr>
      <t>z</t>
    </r>
    <r>
      <rPr>
        <sz val="10"/>
        <rFont val="Calibri"/>
        <family val="2"/>
        <scheme val="minor"/>
      </rPr>
      <t xml:space="preserve"> =</t>
    </r>
  </si>
  <si>
    <r>
      <t>I</t>
    </r>
    <r>
      <rPr>
        <vertAlign val="subscript"/>
        <sz val="10"/>
        <rFont val="Calibri"/>
        <family val="2"/>
        <scheme val="minor"/>
      </rPr>
      <t>zc</t>
    </r>
    <r>
      <rPr>
        <sz val="10"/>
        <rFont val="Calibri"/>
        <family val="2"/>
        <scheme val="minor"/>
      </rPr>
      <t xml:space="preserve"> =</t>
    </r>
  </si>
  <si>
    <r>
      <t xml:space="preserve"> ρ</t>
    </r>
    <r>
      <rPr>
        <vertAlign val="subscript"/>
        <sz val="10"/>
        <rFont val="Calibri"/>
        <family val="2"/>
        <scheme val="minor"/>
      </rPr>
      <t>z</t>
    </r>
    <r>
      <rPr>
        <sz val="10"/>
        <rFont val="Calibri"/>
        <family val="2"/>
        <scheme val="minor"/>
      </rPr>
      <t xml:space="preserve">  =</t>
    </r>
  </si>
  <si>
    <r>
      <t xml:space="preserve"> ρ</t>
    </r>
    <r>
      <rPr>
        <vertAlign val="subscript"/>
        <sz val="10"/>
        <rFont val="Calibri"/>
        <family val="2"/>
        <scheme val="minor"/>
      </rPr>
      <t>zc</t>
    </r>
    <r>
      <rPr>
        <sz val="10"/>
        <rFont val="Calibri"/>
        <family val="2"/>
        <scheme val="minor"/>
      </rPr>
      <t xml:space="preserve">  =</t>
    </r>
  </si>
  <si>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</si>
  <si>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</si>
  <si>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</si>
  <si>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</si>
  <si>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</si>
  <si>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</si>
  <si>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</si>
  <si>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</si>
  <si>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</si>
  <si>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</si>
  <si>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</si>
  <si>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</si>
  <si>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</si>
  <si>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</si>
  <si>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</si>
  <si>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</si>
  <si>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SECTION PROPERTIES</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</si>
  <si>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</si>
  <si>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</si>
  <si>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</si>
  <si>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A</t>
  </si>
  <si>
    <r>
      <t>y</t>
    </r>
    <r>
      <rPr>
        <vertAlign val="subscript"/>
        <sz val="10"/>
        <rFont val="Calibri"/>
        <family val="2"/>
        <scheme val="minor"/>
      </rPr>
      <t>c</t>
    </r>
    <r>
      <rPr>
        <sz val="10"/>
        <rFont val="Calibri"/>
        <family val="2"/>
        <scheme val="minor"/>
      </rPr>
      <t xml:space="preserve"> =</t>
    </r>
  </si>
  <si>
    <t>Plastic Section Moduli, Shape Factors and Locations of Plastic Neutral Axes</t>
  </si>
  <si>
    <t>Zₓ =</t>
  </si>
  <si>
    <t>Zᵧ =</t>
  </si>
  <si>
    <t>SF =</t>
  </si>
  <si>
    <t>Centroids</t>
  </si>
  <si>
    <r>
      <t>x</t>
    </r>
    <r>
      <rPr>
        <vertAlign val="subscript"/>
        <sz val="10"/>
        <rFont val="Calibri"/>
        <family val="2"/>
        <scheme val="minor"/>
      </rPr>
      <t>c</t>
    </r>
    <r>
      <rPr>
        <sz val="10"/>
        <rFont val="Calibri"/>
        <family val="2"/>
        <scheme val="minor"/>
      </rPr>
      <t xml:space="preserve"> =</t>
    </r>
  </si>
  <si>
    <t>d =</t>
  </si>
  <si>
    <t>RECTANGLE</t>
  </si>
  <si>
    <t>SQUARE</t>
  </si>
  <si>
    <t>ᵢ</t>
  </si>
  <si>
    <t>bᵢ =</t>
  </si>
  <si>
    <t>dᵢ =</t>
  </si>
  <si>
    <t>HOLLOW RECTANGLE</t>
  </si>
  <si>
    <t>SFₓ =</t>
  </si>
  <si>
    <t>TEE SECTION</t>
  </si>
  <si>
    <t>tw =</t>
  </si>
  <si>
    <t>SFᵧ =</t>
  </si>
  <si>
    <t>If twd ≥ bt, then</t>
  </si>
  <si>
    <t>If twd ≤ bt, then</t>
  </si>
  <si>
    <t>CHANNEL SECTION</t>
  </si>
  <si>
    <t>If 2twd ≥ bt, then</t>
  </si>
  <si>
    <t>If 2twd ≤ bt, then</t>
  </si>
  <si>
    <t>WIDE-FLANGE BEAM WITH EQUAL FLANGES</t>
  </si>
  <si>
    <t>EQUAL LEGGED ANGLE</t>
  </si>
  <si>
    <t>ẏ₂ =</t>
  </si>
  <si>
    <t>ẏ₁ =</t>
  </si>
  <si>
    <t>yp =</t>
  </si>
  <si>
    <t>if t/a ≥ 0.4 then</t>
  </si>
  <si>
    <t>if t/a ≤ 0.4 then</t>
  </si>
  <si>
    <t>t/a =</t>
  </si>
  <si>
    <t>and</t>
  </si>
  <si>
    <t>UNEQUAL LEGGED ANGLE</t>
  </si>
  <si>
    <t>EQUILATERAL TRIANGLE</t>
  </si>
  <si>
    <t xml:space="preserve"> Iᵧ =</t>
  </si>
  <si>
    <t>ISOSCELES TRIANGLE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</si>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</sst>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8"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sz val="10"/>
      <color rgb="FF0000FF"/>
      <name val="Calibri"/>
      <family val="2"/>
      <scheme val="minor"/>
    </font>
    <font>
      <sz val="10"/>
      <color rgb="FFFF000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1" fillId="0" borderId="0"/>
    <xf numFmtId="0" fontId="1" fillId="0" borderId="0"/>
    <xf numFmtId="0" fontId="1" fillId="0" borderId="0"/>
    <xf numFmtId="0" fontId="14" fillId="0" borderId="0" applyNumberFormat="0" applyFill="0" applyBorder="0" applyAlignment="0" applyProtection="0">
      <alignment vertical="top"/>
      <protection locked="0"/>
    </xf>
    <xf numFmtId="0" fontId="5" fillId="0" borderId="0" applyProtection="0"/>
    <xf numFmtId="0" fontId="5" fillId="0" borderId="0"/>
    <xf numFmtId="0" fontId="14" fillId="0" borderId="0" applyNumberFormat="0" applyFill="0" applyBorder="0" applyAlignment="0" applyProtection="0">
      <alignment vertical="top"/>
      <protection locked="0"/>
    </xf>
  </cellStyleXfs>
  <cellXfs count="11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applyNumberFormat="1" applyFont="1" applyAlignment="1" applyProtection="1">
      <alignment horizontal="left" vertical="center"/>
      <protection locked="0"/>
    </xf>
    <xf numFmtId="1" fontId="5" fillId="0" borderId="0" xfId="0" quotePrefix="1" applyNumberFormat="1" applyFont="1" applyAlignment="1" applyProtection="1">
      <alignment vertical="center"/>
      <protection locked="0"/>
    </xf>
    <xf numFmtId="0" fontId="5" fillId="0" borderId="0" xfId="0" applyFont="1" applyAlignment="1" applyProtection="1">
      <alignment horizontal="center"/>
      <protection locked="0"/>
    </xf>
    <xf numFmtId="165" fontId="5" fillId="0" borderId="0" xfId="0" applyNumberFormat="1" applyFont="1" applyAlignment="1" applyProtection="1">
      <alignment horizontal="right" vertical="center"/>
      <protection locked="0"/>
    </xf>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165" fontId="5" fillId="0" borderId="0" xfId="0" applyNumberFormat="1" applyFont="1" applyAlignment="1" applyProtection="1">
      <alignment horizontal="center"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2" fontId="5" fillId="0" borderId="1" xfId="0" applyNumberFormat="1" applyFont="1" applyBorder="1" applyAlignment="1">
      <alignment horizontal="center"/>
    </xf>
    <xf numFmtId="0" fontId="6" fillId="0" borderId="0" xfId="0" applyFont="1" applyAlignment="1">
      <alignment horizontal="right"/>
    </xf>
    <xf numFmtId="0" fontId="6" fillId="0" borderId="0" xfId="0" applyFont="1"/>
    <xf numFmtId="0" fontId="5" fillId="0" borderId="0" xfId="0" applyFont="1" applyAlignment="1">
      <alignment horizontal="right"/>
    </xf>
    <xf numFmtId="164" fontId="9" fillId="0" borderId="0" xfId="0" applyNumberFormat="1" applyFont="1"/>
    <xf numFmtId="0" fontId="6" fillId="0" borderId="0" xfId="0" applyFont="1" applyAlignment="1" applyProtection="1">
      <alignment horizontal="left" vertical="center"/>
      <protection locked="0"/>
    </xf>
    <xf numFmtId="164" fontId="5" fillId="0" borderId="0" xfId="0" applyNumberFormat="1" applyFont="1" applyAlignment="1" applyProtection="1">
      <alignment horizontal="right" vertical="center"/>
      <protection locked="0"/>
    </xf>
    <xf numFmtId="164" fontId="5" fillId="0" borderId="1" xfId="0" applyNumberFormat="1" applyFont="1" applyBorder="1" applyAlignment="1">
      <alignment horizontal="center"/>
    </xf>
    <xf numFmtId="1" fontId="7" fillId="0" borderId="0" xfId="0" applyNumberFormat="1" applyFont="1" applyAlignment="1">
      <alignment horizontal="center"/>
    </xf>
    <xf numFmtId="1" fontId="5" fillId="0" borderId="0" xfId="0" applyNumberFormat="1" applyFont="1"/>
    <xf numFmtId="1" fontId="7" fillId="0" borderId="0" xfId="0" applyNumberFormat="1" applyFont="1" applyFill="1" applyBorder="1" applyAlignment="1">
      <alignment horizontal="center"/>
    </xf>
    <xf numFmtId="2" fontId="5" fillId="0" borderId="0" xfId="0" applyNumberFormat="1" applyFont="1" applyAlignment="1">
      <alignment horizontal="center"/>
    </xf>
    <xf numFmtId="0" fontId="10" fillId="0" borderId="0" xfId="0" applyFont="1"/>
    <xf numFmtId="164" fontId="5" fillId="0" borderId="0" xfId="0" applyNumberFormat="1" applyFont="1" applyAlignment="1">
      <alignment horizontal="center"/>
    </xf>
    <xf numFmtId="165" fontId="5" fillId="0" borderId="0" xfId="0" applyNumberFormat="1" applyFont="1"/>
    <xf numFmtId="0" fontId="9" fillId="0" borderId="0" xfId="0" applyFont="1"/>
    <xf numFmtId="1" fontId="5" fillId="0" borderId="0" xfId="0" applyNumberFormat="1"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11" fillId="0" borderId="0" xfId="3" applyFont="1" applyProtection="1">
      <protection locked="0"/>
    </xf>
    <xf numFmtId="0" fontId="11"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11"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2"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3" fillId="0" borderId="0" xfId="3" applyFont="1"/>
    <xf numFmtId="0" fontId="5" fillId="0" borderId="0" xfId="3" applyFont="1" applyBorder="1" applyAlignment="1"/>
    <xf numFmtId="0" fontId="13" fillId="0" borderId="0" xfId="3" applyFont="1" applyBorder="1" applyAlignment="1"/>
    <xf numFmtId="166" fontId="9" fillId="0" borderId="0" xfId="0" applyNumberFormat="1" applyFo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0" fontId="6" fillId="0" borderId="0" xfId="3" applyFont="1" applyProtection="1">
      <protection locked="0"/>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5"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2" fontId="5" fillId="0" borderId="0" xfId="0" applyNumberFormat="1" applyFont="1"/>
    <xf numFmtId="2" fontId="9" fillId="0" borderId="0" xfId="0" applyNumberFormat="1" applyFont="1"/>
    <xf numFmtId="2" fontId="5" fillId="0" borderId="0" xfId="0" applyNumberFormat="1" applyFont="1" applyAlignment="1">
      <alignment horizontal="right"/>
    </xf>
    <xf numFmtId="164" fontId="5" fillId="0" borderId="0" xfId="0" applyNumberFormat="1" applyFont="1" applyAlignment="1" applyProtection="1">
      <alignment vertical="center"/>
      <protection locked="0"/>
    </xf>
    <xf numFmtId="164" fontId="5" fillId="0" borderId="0" xfId="0" applyNumberFormat="1" applyFont="1" applyAlignment="1">
      <alignment horizontal="right"/>
    </xf>
    <xf numFmtId="0" fontId="16" fillId="0" borderId="0" xfId="5" applyFont="1" applyBorder="1" applyAlignment="1" applyProtection="1">
      <alignment horizontal="center"/>
      <protection locked="0"/>
    </xf>
    <xf numFmtId="0" fontId="5" fillId="0" borderId="0" xfId="3" applyFont="1" applyBorder="1" applyAlignment="1">
      <alignment horizontal="left" vertical="top" wrapText="1"/>
    </xf>
    <xf numFmtId="0" fontId="14" fillId="0" borderId="0" xfId="5" applyBorder="1" applyAlignment="1" applyProtection="1">
      <alignment horizontal="center"/>
    </xf>
    <xf numFmtId="0" fontId="14" fillId="0" borderId="0" xfId="8" applyBorder="1" applyAlignment="1" applyProtection="1">
      <alignment horizontal="center"/>
    </xf>
    <xf numFmtId="0" fontId="17" fillId="0" borderId="0" xfId="5" applyFont="1" applyBorder="1" applyAlignment="1" applyProtection="1">
      <alignment horizontal="center"/>
    </xf>
    <xf numFmtId="0" fontId="14" fillId="0" borderId="0" xfId="8"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4" fillId="0" borderId="0" xfId="8" applyBorder="1" applyAlignment="1" applyProtection="1">
      <alignment horizontal="center"/>
    </xf>
  </cellXfs>
  <cellStyles count="9">
    <cellStyle name="BODY TEXT" xfId="6"/>
    <cellStyle name="Hyperlink" xfId="5" builtinId="8"/>
    <cellStyle name="Hyperlink 2" xfId="8"/>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111673</xdr:colOff>
      <xdr:row>651</xdr:row>
      <xdr:rowOff>151087</xdr:rowOff>
    </xdr:from>
    <xdr:to>
      <xdr:col>5</xdr:col>
      <xdr:colOff>486104</xdr:colOff>
      <xdr:row>653</xdr:row>
      <xdr:rowOff>6569</xdr:rowOff>
    </xdr:to>
    <xdr:sp macro="" textlink="">
      <xdr:nvSpPr>
        <xdr:cNvPr id="7" name="Rectangle 6"/>
        <xdr:cNvSpPr/>
      </xdr:nvSpPr>
      <xdr:spPr>
        <a:xfrm>
          <a:off x="3112048" y="29640487"/>
          <a:ext cx="374431" cy="17933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CA"/>
        </a:p>
      </xdr:txBody>
    </xdr:sp>
    <xdr:clientData/>
  </xdr:twoCellAnchor>
  <xdr:twoCellAnchor>
    <xdr:from>
      <xdr:col>5</xdr:col>
      <xdr:colOff>195507</xdr:colOff>
      <xdr:row>653</xdr:row>
      <xdr:rowOff>2480</xdr:rowOff>
    </xdr:from>
    <xdr:to>
      <xdr:col>5</xdr:col>
      <xdr:colOff>569938</xdr:colOff>
      <xdr:row>654</xdr:row>
      <xdr:rowOff>7764</xdr:rowOff>
    </xdr:to>
    <xdr:sp macro="" textlink="">
      <xdr:nvSpPr>
        <xdr:cNvPr id="10" name="Rectangle 9"/>
        <xdr:cNvSpPr/>
      </xdr:nvSpPr>
      <xdr:spPr>
        <a:xfrm>
          <a:off x="3195882" y="29815730"/>
          <a:ext cx="374431" cy="1672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CA"/>
        </a:p>
      </xdr:txBody>
    </xdr:sp>
    <xdr:clientData/>
  </xdr:twoCellAnchor>
  <xdr:twoCellAnchor>
    <xdr:from>
      <xdr:col>4</xdr:col>
      <xdr:colOff>255894</xdr:colOff>
      <xdr:row>596</xdr:row>
      <xdr:rowOff>76208</xdr:rowOff>
    </xdr:from>
    <xdr:to>
      <xdr:col>6</xdr:col>
      <xdr:colOff>229937</xdr:colOff>
      <xdr:row>602</xdr:row>
      <xdr:rowOff>35076</xdr:rowOff>
    </xdr:to>
    <xdr:grpSp>
      <xdr:nvGrpSpPr>
        <xdr:cNvPr id="22" name="Group 21"/>
        <xdr:cNvGrpSpPr/>
      </xdr:nvGrpSpPr>
      <xdr:grpSpPr>
        <a:xfrm>
          <a:off x="2724774" y="104896928"/>
          <a:ext cx="1208483" cy="1010428"/>
          <a:chOff x="3908458" y="15169207"/>
          <a:chExt cx="1163535" cy="962390"/>
        </a:xfrm>
      </xdr:grpSpPr>
      <xdr:sp macro="" textlink="">
        <xdr:nvSpPr>
          <xdr:cNvPr id="23" name="Oval 22"/>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24" name="TextBox 23"/>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sp macro="" textlink="">
        <xdr:nvSpPr>
          <xdr:cNvPr id="25" name="Oval 24"/>
          <xdr:cNvSpPr/>
        </xdr:nvSpPr>
        <xdr:spPr>
          <a:xfrm>
            <a:off x="4179982" y="15497349"/>
            <a:ext cx="455507" cy="457338"/>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26" name="Group 45"/>
          <xdr:cNvGrpSpPr/>
        </xdr:nvGrpSpPr>
        <xdr:grpSpPr>
          <a:xfrm>
            <a:off x="3908458" y="15169207"/>
            <a:ext cx="1163535" cy="962390"/>
            <a:chOff x="4679159" y="11264777"/>
            <a:chExt cx="1392930" cy="1147486"/>
          </a:xfrm>
        </xdr:grpSpPr>
        <xdr:grpSp>
          <xdr:nvGrpSpPr>
            <xdr:cNvPr id="30" name="Group 49"/>
            <xdr:cNvGrpSpPr/>
          </xdr:nvGrpSpPr>
          <xdr:grpSpPr>
            <a:xfrm>
              <a:off x="4679159" y="11447857"/>
              <a:ext cx="1202531" cy="964406"/>
              <a:chOff x="4679159" y="11447857"/>
              <a:chExt cx="1202531" cy="964406"/>
            </a:xfrm>
          </xdr:grpSpPr>
          <xdr:cxnSp macro="">
            <xdr:nvCxnSpPr>
              <xdr:cNvPr id="33" name="Straight Connector 32"/>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Rectangle 34"/>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1" name="TextBox 30"/>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2" name="TextBox 31"/>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27" name="Straight Arrow Connector 26"/>
          <xdr:cNvCxnSpPr>
            <a:endCxn id="23"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a:endCxn id="25" idx="1"/>
          </xdr:cNvCxnSpPr>
        </xdr:nvCxnSpPr>
        <xdr:spPr>
          <a:xfrm flipH="1" flipV="1">
            <a:off x="4245690" y="15562845"/>
            <a:ext cx="162911" cy="1665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4129111" y="15559071"/>
            <a:ext cx="215116"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114300</xdr:colOff>
      <xdr:row>652</xdr:row>
      <xdr:rowOff>23585</xdr:rowOff>
    </xdr:from>
    <xdr:to>
      <xdr:col>6</xdr:col>
      <xdr:colOff>237615</xdr:colOff>
      <xdr:row>659</xdr:row>
      <xdr:rowOff>101475</xdr:rowOff>
    </xdr:to>
    <xdr:grpSp>
      <xdr:nvGrpSpPr>
        <xdr:cNvPr id="36" name="Group 35"/>
        <xdr:cNvGrpSpPr/>
      </xdr:nvGrpSpPr>
      <xdr:grpSpPr>
        <a:xfrm>
          <a:off x="2583180" y="114681725"/>
          <a:ext cx="1357755" cy="1304710"/>
          <a:chOff x="4025400" y="20590329"/>
          <a:chExt cx="1308620" cy="1263320"/>
        </a:xfrm>
      </xdr:grpSpPr>
      <xdr:sp macro="" textlink="">
        <xdr:nvSpPr>
          <xdr:cNvPr id="37" name="TextBox 36"/>
          <xdr:cNvSpPr txBox="1"/>
        </xdr:nvSpPr>
        <xdr:spPr>
          <a:xfrm>
            <a:off x="4025400" y="21049199"/>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H</a:t>
            </a:r>
          </a:p>
        </xdr:txBody>
      </xdr:sp>
      <xdr:grpSp>
        <xdr:nvGrpSpPr>
          <xdr:cNvPr id="38" name="Group 45"/>
          <xdr:cNvGrpSpPr/>
        </xdr:nvGrpSpPr>
        <xdr:grpSpPr>
          <a:xfrm>
            <a:off x="4327071" y="20590329"/>
            <a:ext cx="1006949" cy="974951"/>
            <a:chOff x="4862263" y="11264777"/>
            <a:chExt cx="1209826" cy="1147486"/>
          </a:xfrm>
        </xdr:grpSpPr>
        <xdr:grpSp>
          <xdr:nvGrpSpPr>
            <xdr:cNvPr id="47" name="Group 46"/>
            <xdr:cNvGrpSpPr/>
          </xdr:nvGrpSpPr>
          <xdr:grpSpPr>
            <a:xfrm>
              <a:off x="4862263" y="11447857"/>
              <a:ext cx="1019427" cy="964406"/>
              <a:chOff x="4862263" y="11447857"/>
              <a:chExt cx="1019427" cy="964406"/>
            </a:xfrm>
          </xdr:grpSpPr>
          <xdr:cxnSp macro="">
            <xdr:nvCxnSpPr>
              <xdr:cNvPr id="50" name="Straight Connector 49"/>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Rectangle 51"/>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8" name="TextBox 47"/>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49" name="TextBox 48"/>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39" name="Rectangle 38"/>
          <xdr:cNvSpPr/>
        </xdr:nvSpPr>
        <xdr:spPr>
          <a:xfrm>
            <a:off x="4408712" y="20802600"/>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40" name="Straight Connector 39"/>
          <xdr:cNvCxnSpPr/>
        </xdr:nvCxnSpPr>
        <xdr:spPr>
          <a:xfrm flipH="1">
            <a:off x="4136571" y="20802600"/>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4136571" y="215156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a:off x="4229100" y="20797157"/>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rot="5400000" flipH="1">
            <a:off x="4827814"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5400000" flipH="1">
            <a:off x="4288971"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xdr:cNvCxnSpPr/>
        </xdr:nvCxnSpPr>
        <xdr:spPr>
          <a:xfrm>
            <a:off x="4403271" y="21689786"/>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6" name="TextBox 45"/>
          <xdr:cNvSpPr txBox="1"/>
        </xdr:nvSpPr>
        <xdr:spPr>
          <a:xfrm>
            <a:off x="4553357" y="21675127"/>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clientData/>
  </xdr:twoCellAnchor>
  <xdr:twoCellAnchor>
    <xdr:from>
      <xdr:col>4</xdr:col>
      <xdr:colOff>41485</xdr:colOff>
      <xdr:row>171</xdr:row>
      <xdr:rowOff>52505</xdr:rowOff>
    </xdr:from>
    <xdr:to>
      <xdr:col>6</xdr:col>
      <xdr:colOff>344418</xdr:colOff>
      <xdr:row>179</xdr:row>
      <xdr:rowOff>75353</xdr:rowOff>
    </xdr:to>
    <xdr:grpSp>
      <xdr:nvGrpSpPr>
        <xdr:cNvPr id="53" name="Group 52"/>
        <xdr:cNvGrpSpPr/>
      </xdr:nvGrpSpPr>
      <xdr:grpSpPr>
        <a:xfrm>
          <a:off x="2510365" y="30204845"/>
          <a:ext cx="1537373" cy="1424928"/>
          <a:chOff x="4767938" y="24465643"/>
          <a:chExt cx="1488239" cy="1377623"/>
        </a:xfrm>
      </xdr:grpSpPr>
      <xdr:sp macro="" textlink="">
        <xdr:nvSpPr>
          <xdr:cNvPr id="54" name="TextBox 53"/>
          <xdr:cNvSpPr txBox="1"/>
        </xdr:nvSpPr>
        <xdr:spPr>
          <a:xfrm>
            <a:off x="4767938" y="24924513"/>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sp macro="" textlink="">
        <xdr:nvSpPr>
          <xdr:cNvPr id="55" name="Rectangle 54"/>
          <xdr:cNvSpPr/>
        </xdr:nvSpPr>
        <xdr:spPr>
          <a:xfrm>
            <a:off x="5330869" y="24677914"/>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56" name="Straight Connector 55"/>
          <xdr:cNvCxnSpPr/>
        </xdr:nvCxnSpPr>
        <xdr:spPr>
          <a:xfrm flipH="1">
            <a:off x="4920343" y="24677914"/>
            <a:ext cx="3724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flipH="1">
            <a:off x="4953000" y="25390928"/>
            <a:ext cx="33977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Arrow Connector 57"/>
          <xdr:cNvCxnSpPr/>
        </xdr:nvCxnSpPr>
        <xdr:spPr>
          <a:xfrm>
            <a:off x="4971638" y="24672471"/>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xdr:cNvCxnSpPr/>
        </xdr:nvCxnSpPr>
        <xdr:spPr>
          <a:xfrm flipV="1">
            <a:off x="5866993" y="25426307"/>
            <a:ext cx="0" cy="3075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328150" y="25426307"/>
            <a:ext cx="0" cy="302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xdr:cNvCxnSpPr/>
        </xdr:nvCxnSpPr>
        <xdr:spPr>
          <a:xfrm>
            <a:off x="5325428" y="25690289"/>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2" name="TextBox 61"/>
          <xdr:cNvSpPr txBox="1"/>
        </xdr:nvSpPr>
        <xdr:spPr>
          <a:xfrm>
            <a:off x="5459185" y="25664744"/>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sp macro="" textlink="">
        <xdr:nvSpPr>
          <xdr:cNvPr id="63" name="Rectangle 62"/>
          <xdr:cNvSpPr/>
        </xdr:nvSpPr>
        <xdr:spPr>
          <a:xfrm>
            <a:off x="5414823" y="24790139"/>
            <a:ext cx="365492" cy="48856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64" name="Group 45"/>
          <xdr:cNvGrpSpPr/>
        </xdr:nvGrpSpPr>
        <xdr:grpSpPr>
          <a:xfrm>
            <a:off x="5249228" y="24465643"/>
            <a:ext cx="1006949" cy="974951"/>
            <a:chOff x="4862263" y="11264777"/>
            <a:chExt cx="1209826" cy="1147486"/>
          </a:xfrm>
        </xdr:grpSpPr>
        <xdr:grpSp>
          <xdr:nvGrpSpPr>
            <xdr:cNvPr id="73" name="Group 49"/>
            <xdr:cNvGrpSpPr/>
          </xdr:nvGrpSpPr>
          <xdr:grpSpPr>
            <a:xfrm>
              <a:off x="4862263" y="11447857"/>
              <a:ext cx="1019427" cy="964406"/>
              <a:chOff x="4862263" y="11447857"/>
              <a:chExt cx="1019427" cy="964406"/>
            </a:xfrm>
          </xdr:grpSpPr>
          <xdr:cxnSp macro="">
            <xdr:nvCxnSpPr>
              <xdr:cNvPr id="76" name="Straight Connector 7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 name="Straight Connector 76"/>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Rectangle 7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74" name="TextBox 73"/>
            <xdr:cNvSpPr txBox="1"/>
          </xdr:nvSpPr>
          <xdr:spPr>
            <a:xfrm>
              <a:off x="5138600" y="11264777"/>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75" name="TextBox 74"/>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65" name="Straight Connector 64"/>
          <xdr:cNvCxnSpPr/>
        </xdr:nvCxnSpPr>
        <xdr:spPr>
          <a:xfrm flipH="1">
            <a:off x="5083629" y="24797657"/>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flipH="1">
            <a:off x="5083629" y="25265743"/>
            <a:ext cx="3016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xdr:nvCxnSpPr>
        <xdr:spPr>
          <a:xfrm>
            <a:off x="5162138" y="24797657"/>
            <a:ext cx="0" cy="46808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8" name="TextBox 67"/>
          <xdr:cNvSpPr txBox="1"/>
        </xdr:nvSpPr>
        <xdr:spPr>
          <a:xfrm>
            <a:off x="4985653" y="24919070"/>
            <a:ext cx="276055" cy="243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dᵢ</a:t>
            </a:r>
          </a:p>
        </xdr:txBody>
      </xdr:sp>
      <xdr:cxnSp macro="">
        <xdr:nvCxnSpPr>
          <xdr:cNvPr id="69" name="Straight Connector 68"/>
          <xdr:cNvCxnSpPr/>
        </xdr:nvCxnSpPr>
        <xdr:spPr>
          <a:xfrm flipV="1">
            <a:off x="5415236"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flipV="1">
            <a:off x="5779907" y="25301122"/>
            <a:ext cx="0" cy="2422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Arrow Connector 70"/>
          <xdr:cNvCxnSpPr/>
        </xdr:nvCxnSpPr>
        <xdr:spPr>
          <a:xfrm>
            <a:off x="5415643" y="25516117"/>
            <a:ext cx="37011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TextBox 71"/>
          <xdr:cNvSpPr txBox="1"/>
        </xdr:nvSpPr>
        <xdr:spPr>
          <a:xfrm>
            <a:off x="5459185" y="25474244"/>
            <a:ext cx="233111" cy="1898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bᵢ</a:t>
            </a:r>
          </a:p>
        </xdr:txBody>
      </xdr:sp>
    </xdr:grpSp>
    <xdr:clientData/>
  </xdr:twoCellAnchor>
  <xdr:twoCellAnchor>
    <xdr:from>
      <xdr:col>4</xdr:col>
      <xdr:colOff>192661</xdr:colOff>
      <xdr:row>764</xdr:row>
      <xdr:rowOff>57093</xdr:rowOff>
    </xdr:from>
    <xdr:to>
      <xdr:col>6</xdr:col>
      <xdr:colOff>269807</xdr:colOff>
      <xdr:row>771</xdr:row>
      <xdr:rowOff>24937</xdr:rowOff>
    </xdr:to>
    <xdr:grpSp>
      <xdr:nvGrpSpPr>
        <xdr:cNvPr id="79" name="Group 78"/>
        <xdr:cNvGrpSpPr/>
      </xdr:nvGrpSpPr>
      <xdr:grpSpPr>
        <a:xfrm>
          <a:off x="2661541" y="134390073"/>
          <a:ext cx="1311586" cy="1194664"/>
          <a:chOff x="5006915" y="29434560"/>
          <a:chExt cx="1265533" cy="1142490"/>
        </a:xfrm>
      </xdr:grpSpPr>
      <xdr:grpSp>
        <xdr:nvGrpSpPr>
          <xdr:cNvPr id="80" name="Group 31"/>
          <xdr:cNvGrpSpPr/>
        </xdr:nvGrpSpPr>
        <xdr:grpSpPr>
          <a:xfrm>
            <a:off x="5006915" y="29434560"/>
            <a:ext cx="1265533" cy="964354"/>
            <a:chOff x="4702877" y="11264771"/>
            <a:chExt cx="1514732" cy="1147492"/>
          </a:xfrm>
        </xdr:grpSpPr>
        <xdr:grpSp>
          <xdr:nvGrpSpPr>
            <xdr:cNvPr id="93" name="Group 26"/>
            <xdr:cNvGrpSpPr/>
          </xdr:nvGrpSpPr>
          <xdr:grpSpPr>
            <a:xfrm>
              <a:off x="4702877" y="11447857"/>
              <a:ext cx="1277714" cy="964406"/>
              <a:chOff x="4702877" y="11447857"/>
              <a:chExt cx="1277714" cy="964406"/>
            </a:xfrm>
          </xdr:grpSpPr>
          <xdr:cxnSp macro="">
            <xdr:nvCxnSpPr>
              <xdr:cNvPr id="96" name="Straight Connector 9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Rectangle 9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94" name="TextBox 9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95" name="TextBox 94"/>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81" name="Straight Arrow Connector 80"/>
          <xdr:cNvCxnSpPr/>
        </xdr:nvCxnSpPr>
        <xdr:spPr>
          <a:xfrm flipV="1">
            <a:off x="5485846" y="29879745"/>
            <a:ext cx="236343" cy="31521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2" name="TextBox 81"/>
          <xdr:cNvSpPr txBox="1"/>
        </xdr:nvSpPr>
        <xdr:spPr>
          <a:xfrm>
            <a:off x="5666575" y="29732397"/>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nvGrpSpPr>
          <xdr:cNvPr id="83" name="Group 157"/>
          <xdr:cNvGrpSpPr/>
        </xdr:nvGrpSpPr>
        <xdr:grpSpPr>
          <a:xfrm>
            <a:off x="5102934" y="29806340"/>
            <a:ext cx="777408" cy="770710"/>
            <a:chOff x="5270124" y="30772065"/>
            <a:chExt cx="917480" cy="909574"/>
          </a:xfrm>
        </xdr:grpSpPr>
        <xdr:sp macro="" textlink="">
          <xdr:nvSpPr>
            <xdr:cNvPr id="91" name="Arc 90"/>
            <xdr:cNvSpPr/>
          </xdr:nvSpPr>
          <xdr:spPr>
            <a:xfrm>
              <a:off x="5270124" y="30772065"/>
              <a:ext cx="917480" cy="909574"/>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92" name="Straight Connector 91"/>
            <xdr:cNvCxnSpPr>
              <a:stCxn id="91" idx="2"/>
              <a:endCxn id="9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4" name="Straight Connector 83"/>
          <xdr:cNvCxnSpPr/>
        </xdr:nvCxnSpPr>
        <xdr:spPr>
          <a:xfrm flipV="1">
            <a:off x="5103961" y="29635330"/>
            <a:ext cx="0" cy="4456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 name="Straight Arrow Connector 84"/>
          <xdr:cNvCxnSpPr/>
        </xdr:nvCxnSpPr>
        <xdr:spPr>
          <a:xfrm>
            <a:off x="5103962" y="29703623"/>
            <a:ext cx="38818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6" name="TextBox 85"/>
          <xdr:cNvSpPr txBox="1"/>
        </xdr:nvSpPr>
        <xdr:spPr>
          <a:xfrm>
            <a:off x="5192122" y="2954189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87" name="Straight Connector 86"/>
          <xdr:cNvCxnSpPr/>
        </xdr:nvCxnSpPr>
        <xdr:spPr>
          <a:xfrm>
            <a:off x="5909094" y="30188858"/>
            <a:ext cx="16534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xdr:cNvCxnSpPr/>
        </xdr:nvCxnSpPr>
        <xdr:spPr>
          <a:xfrm>
            <a:off x="6006142" y="29746755"/>
            <a:ext cx="0" cy="2480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xdr:cNvCxnSpPr/>
        </xdr:nvCxnSpPr>
        <xdr:spPr>
          <a:xfrm flipV="1">
            <a:off x="6002547" y="30188858"/>
            <a:ext cx="0" cy="21925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0" name="TextBox 89"/>
          <xdr:cNvSpPr txBox="1"/>
        </xdr:nvSpPr>
        <xdr:spPr>
          <a:xfrm>
            <a:off x="5889424" y="29980409"/>
            <a:ext cx="216160" cy="176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clientData/>
  </xdr:twoCellAnchor>
  <xdr:twoCellAnchor>
    <xdr:from>
      <xdr:col>4</xdr:col>
      <xdr:colOff>318465</xdr:colOff>
      <xdr:row>820</xdr:row>
      <xdr:rowOff>3902</xdr:rowOff>
    </xdr:from>
    <xdr:to>
      <xdr:col>6</xdr:col>
      <xdr:colOff>395610</xdr:colOff>
      <xdr:row>826</xdr:row>
      <xdr:rowOff>133671</xdr:rowOff>
    </xdr:to>
    <xdr:grpSp>
      <xdr:nvGrpSpPr>
        <xdr:cNvPr id="99" name="Group 98"/>
        <xdr:cNvGrpSpPr/>
      </xdr:nvGrpSpPr>
      <xdr:grpSpPr>
        <a:xfrm>
          <a:off x="2787345" y="144174302"/>
          <a:ext cx="1311585" cy="1181329"/>
          <a:chOff x="4826378" y="33421402"/>
          <a:chExt cx="1265531" cy="1142490"/>
        </a:xfrm>
      </xdr:grpSpPr>
      <xdr:sp macro="" textlink="">
        <xdr:nvSpPr>
          <xdr:cNvPr id="100" name="Arc 99"/>
          <xdr:cNvSpPr/>
        </xdr:nvSpPr>
        <xdr:spPr>
          <a:xfrm>
            <a:off x="4922659" y="33791677"/>
            <a:ext cx="777801" cy="772215"/>
          </a:xfrm>
          <a:prstGeom prst="arc">
            <a:avLst>
              <a:gd name="adj1" fmla="val 10812625"/>
              <a:gd name="adj2" fmla="val 0"/>
            </a:avLst>
          </a:prstGeom>
          <a:solidFill>
            <a:schemeClr val="bg1">
              <a:lumMod val="75000"/>
              <a:alpha val="3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101" name="TextBox 100"/>
          <xdr:cNvSpPr txBox="1"/>
        </xdr:nvSpPr>
        <xdr:spPr>
          <a:xfrm>
            <a:off x="5486110" y="33718874"/>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cxnSp macro="">
        <xdr:nvCxnSpPr>
          <xdr:cNvPr id="102" name="Straight Connector 101"/>
          <xdr:cNvCxnSpPr>
            <a:stCxn id="100" idx="2"/>
            <a:endCxn id="100" idx="0"/>
          </xdr:cNvCxnSpPr>
        </xdr:nvCxnSpPr>
        <xdr:spPr>
          <a:xfrm flipH="1" flipV="1">
            <a:off x="4922662" y="34176346"/>
            <a:ext cx="777798" cy="1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Straight Connector 102"/>
          <xdr:cNvCxnSpPr/>
        </xdr:nvCxnSpPr>
        <xdr:spPr>
          <a:xfrm flipV="1">
            <a:off x="4923688" y="33622652"/>
            <a:ext cx="0" cy="445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Straight Arrow Connector 103"/>
          <xdr:cNvCxnSpPr/>
        </xdr:nvCxnSpPr>
        <xdr:spPr>
          <a:xfrm>
            <a:off x="4923689" y="33689733"/>
            <a:ext cx="38924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5" name="TextBox 104"/>
          <xdr:cNvSpPr txBox="1"/>
        </xdr:nvSpPr>
        <xdr:spPr>
          <a:xfrm>
            <a:off x="5012090" y="33528028"/>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106" name="Straight Connector 105"/>
          <xdr:cNvCxnSpPr/>
        </xdr:nvCxnSpPr>
        <xdr:spPr>
          <a:xfrm>
            <a:off x="5729290" y="34174912"/>
            <a:ext cx="1657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Straight Arrow Connector 106"/>
          <xdr:cNvCxnSpPr/>
        </xdr:nvCxnSpPr>
        <xdr:spPr>
          <a:xfrm>
            <a:off x="5826602" y="33733416"/>
            <a:ext cx="0" cy="24700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08" name="Straight Arrow Connector 107"/>
          <xdr:cNvCxnSpPr/>
        </xdr:nvCxnSpPr>
        <xdr:spPr>
          <a:xfrm flipV="1">
            <a:off x="5822997" y="34174912"/>
            <a:ext cx="0" cy="2199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9" name="TextBox 108"/>
          <xdr:cNvSpPr txBox="1"/>
        </xdr:nvSpPr>
        <xdr:spPr>
          <a:xfrm>
            <a:off x="5709566" y="33965884"/>
            <a:ext cx="216749" cy="176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110" name="Group 195"/>
          <xdr:cNvGrpSpPr/>
        </xdr:nvGrpSpPr>
        <xdr:grpSpPr>
          <a:xfrm>
            <a:off x="5016921" y="33889878"/>
            <a:ext cx="581658" cy="575813"/>
            <a:chOff x="5270124" y="30772065"/>
            <a:chExt cx="917480" cy="909574"/>
          </a:xfrm>
        </xdr:grpSpPr>
        <xdr:sp macro="" textlink="">
          <xdr:nvSpPr>
            <xdr:cNvPr id="121" name="Arc 120"/>
            <xdr:cNvSpPr/>
          </xdr:nvSpPr>
          <xdr:spPr>
            <a:xfrm>
              <a:off x="5270124" y="30772065"/>
              <a:ext cx="917480" cy="909574"/>
            </a:xfrm>
            <a:prstGeom prst="arc">
              <a:avLst>
                <a:gd name="adj1" fmla="val 10812625"/>
                <a:gd name="adj2" fmla="val 0"/>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122" name="Straight Connector 121"/>
            <xdr:cNvCxnSpPr>
              <a:stCxn id="121" idx="2"/>
              <a:endCxn id="121" idx="0"/>
            </xdr:cNvCxnSpPr>
          </xdr:nvCxnSpPr>
          <xdr:spPr>
            <a:xfrm flipH="1" flipV="1">
              <a:off x="5270127" y="31225167"/>
              <a:ext cx="917477" cy="16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 name="Straight Arrow Connector 110"/>
          <xdr:cNvCxnSpPr/>
        </xdr:nvCxnSpPr>
        <xdr:spPr>
          <a:xfrm flipV="1">
            <a:off x="5306614" y="33866019"/>
            <a:ext cx="235261" cy="3150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12" name="Group 31"/>
          <xdr:cNvGrpSpPr/>
        </xdr:nvGrpSpPr>
        <xdr:grpSpPr>
          <a:xfrm>
            <a:off x="4826378" y="33421402"/>
            <a:ext cx="1265531" cy="964164"/>
            <a:chOff x="4702877" y="11264771"/>
            <a:chExt cx="1514732" cy="1147492"/>
          </a:xfrm>
        </xdr:grpSpPr>
        <xdr:grpSp>
          <xdr:nvGrpSpPr>
            <xdr:cNvPr id="115" name="Group 26"/>
            <xdr:cNvGrpSpPr/>
          </xdr:nvGrpSpPr>
          <xdr:grpSpPr>
            <a:xfrm>
              <a:off x="4702877" y="11447857"/>
              <a:ext cx="1277714" cy="964406"/>
              <a:chOff x="4702877" y="11447857"/>
              <a:chExt cx="1277714" cy="964406"/>
            </a:xfrm>
          </xdr:grpSpPr>
          <xdr:cxnSp macro="">
            <xdr:nvCxnSpPr>
              <xdr:cNvPr id="118" name="Straight Connector 117"/>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4702877" y="11930060"/>
                <a:ext cx="12777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 name="Rectangle 11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16" name="TextBox 115"/>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17" name="TextBox 116"/>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13" name="Straight Arrow Connector 112"/>
          <xdr:cNvCxnSpPr>
            <a:stCxn id="121" idx="1"/>
          </xdr:cNvCxnSpPr>
        </xdr:nvCxnSpPr>
        <xdr:spPr>
          <a:xfrm flipH="1" flipV="1">
            <a:off x="5078571" y="34012540"/>
            <a:ext cx="228629" cy="16524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4" name="TextBox 113"/>
          <xdr:cNvSpPr txBox="1"/>
        </xdr:nvSpPr>
        <xdr:spPr>
          <a:xfrm>
            <a:off x="4968809" y="34002422"/>
            <a:ext cx="216749" cy="176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r</a:t>
            </a:r>
          </a:p>
        </xdr:txBody>
      </xdr:sp>
    </xdr:grpSp>
    <xdr:clientData/>
  </xdr:twoCellAnchor>
  <xdr:twoCellAnchor>
    <xdr:from>
      <xdr:col>4</xdr:col>
      <xdr:colOff>213947</xdr:colOff>
      <xdr:row>876</xdr:row>
      <xdr:rowOff>25461</xdr:rowOff>
    </xdr:from>
    <xdr:to>
      <xdr:col>6</xdr:col>
      <xdr:colOff>291489</xdr:colOff>
      <xdr:row>882</xdr:row>
      <xdr:rowOff>30910</xdr:rowOff>
    </xdr:to>
    <xdr:grpSp>
      <xdr:nvGrpSpPr>
        <xdr:cNvPr id="123" name="Group 122"/>
        <xdr:cNvGrpSpPr/>
      </xdr:nvGrpSpPr>
      <xdr:grpSpPr>
        <a:xfrm>
          <a:off x="2682827" y="154033281"/>
          <a:ext cx="1311982" cy="1057009"/>
          <a:chOff x="4677065" y="38648268"/>
          <a:chExt cx="1264175" cy="1017549"/>
        </a:xfrm>
      </xdr:grpSpPr>
      <xdr:grpSp>
        <xdr:nvGrpSpPr>
          <xdr:cNvPr id="124" name="Group 31"/>
          <xdr:cNvGrpSpPr/>
        </xdr:nvGrpSpPr>
        <xdr:grpSpPr>
          <a:xfrm>
            <a:off x="4795024" y="38648268"/>
            <a:ext cx="1146216" cy="974005"/>
            <a:chOff x="4679159" y="11264771"/>
            <a:chExt cx="1379274" cy="1147492"/>
          </a:xfrm>
        </xdr:grpSpPr>
        <xdr:grpSp>
          <xdr:nvGrpSpPr>
            <xdr:cNvPr id="133" name="Group 26"/>
            <xdr:cNvGrpSpPr/>
          </xdr:nvGrpSpPr>
          <xdr:grpSpPr>
            <a:xfrm>
              <a:off x="4679159" y="11447857"/>
              <a:ext cx="1202531" cy="964406"/>
              <a:chOff x="4679159" y="11447857"/>
              <a:chExt cx="1202531" cy="964406"/>
            </a:xfrm>
          </xdr:grpSpPr>
          <xdr:cxnSp macro="">
            <xdr:nvCxnSpPr>
              <xdr:cNvPr id="136" name="Straight Connector 135"/>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Rectangle 13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34" name="TextBox 133"/>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35" name="TextBox 134"/>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125" name="Oval 124"/>
          <xdr:cNvSpPr/>
        </xdr:nvSpPr>
        <xdr:spPr>
          <a:xfrm>
            <a:off x="4923824" y="39021240"/>
            <a:ext cx="748795" cy="38891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26" name="TextBox 125"/>
          <xdr:cNvSpPr txBox="1"/>
        </xdr:nvSpPr>
        <xdr:spPr>
          <a:xfrm>
            <a:off x="4974431" y="38792411"/>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27" name="Straight Connector 126"/>
          <xdr:cNvCxnSpPr>
            <a:stCxn id="125" idx="2"/>
          </xdr:cNvCxnSpPr>
        </xdr:nvCxnSpPr>
        <xdr:spPr>
          <a:xfrm flipH="1" flipV="1">
            <a:off x="4920476" y="38881844"/>
            <a:ext cx="3348" cy="333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 name="Straight Arrow Connector 127"/>
          <xdr:cNvCxnSpPr/>
        </xdr:nvCxnSpPr>
        <xdr:spPr>
          <a:xfrm>
            <a:off x="4925122" y="38959573"/>
            <a:ext cx="36706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9" name="Straight Connector 128"/>
          <xdr:cNvCxnSpPr>
            <a:stCxn id="125" idx="4"/>
          </xdr:cNvCxnSpPr>
        </xdr:nvCxnSpPr>
        <xdr:spPr>
          <a:xfrm flipH="1">
            <a:off x="4799671" y="39410153"/>
            <a:ext cx="49855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 name="Straight Arrow Connector 129"/>
          <xdr:cNvCxnSpPr/>
        </xdr:nvCxnSpPr>
        <xdr:spPr>
          <a:xfrm>
            <a:off x="4822902" y="39001390"/>
            <a:ext cx="0" cy="2137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31" name="Straight Arrow Connector 130"/>
          <xdr:cNvCxnSpPr/>
        </xdr:nvCxnSpPr>
        <xdr:spPr>
          <a:xfrm flipV="1">
            <a:off x="4827549" y="39414915"/>
            <a:ext cx="0" cy="2509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2" name="TextBox 131"/>
          <xdr:cNvSpPr txBox="1"/>
        </xdr:nvSpPr>
        <xdr:spPr>
          <a:xfrm>
            <a:off x="4677065" y="39219874"/>
            <a:ext cx="215008" cy="17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clientData/>
  </xdr:twoCellAnchor>
  <xdr:twoCellAnchor>
    <xdr:from>
      <xdr:col>7</xdr:col>
      <xdr:colOff>360282</xdr:colOff>
      <xdr:row>931</xdr:row>
      <xdr:rowOff>127579</xdr:rowOff>
    </xdr:from>
    <xdr:to>
      <xdr:col>9</xdr:col>
      <xdr:colOff>437821</xdr:colOff>
      <xdr:row>937</xdr:row>
      <xdr:rowOff>133028</xdr:rowOff>
    </xdr:to>
    <xdr:grpSp>
      <xdr:nvGrpSpPr>
        <xdr:cNvPr id="139" name="Group 138"/>
        <xdr:cNvGrpSpPr/>
      </xdr:nvGrpSpPr>
      <xdr:grpSpPr>
        <a:xfrm>
          <a:off x="4680822" y="163797559"/>
          <a:ext cx="1311979" cy="1057009"/>
          <a:chOff x="4049833" y="42706968"/>
          <a:chExt cx="1262846" cy="1021532"/>
        </a:xfrm>
      </xdr:grpSpPr>
      <xdr:sp macro="" textlink="">
        <xdr:nvSpPr>
          <xdr:cNvPr id="140" name="Oval 139"/>
          <xdr:cNvSpPr/>
        </xdr:nvSpPr>
        <xdr:spPr>
          <a:xfrm>
            <a:off x="4296333" y="43081401"/>
            <a:ext cx="748008" cy="390435"/>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41" name="TextBox 140"/>
          <xdr:cNvSpPr txBox="1"/>
        </xdr:nvSpPr>
        <xdr:spPr>
          <a:xfrm>
            <a:off x="4346886" y="42851676"/>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42" name="Straight Connector 141"/>
          <xdr:cNvCxnSpPr>
            <a:stCxn id="140" idx="2"/>
          </xdr:cNvCxnSpPr>
        </xdr:nvCxnSpPr>
        <xdr:spPr>
          <a:xfrm flipH="1" flipV="1">
            <a:off x="4292989" y="42941461"/>
            <a:ext cx="3344" cy="3351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 name="Straight Arrow Connector 142"/>
          <xdr:cNvCxnSpPr/>
        </xdr:nvCxnSpPr>
        <xdr:spPr>
          <a:xfrm>
            <a:off x="4297629" y="43019492"/>
            <a:ext cx="366675"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44" name="Straight Connector 143"/>
          <xdr:cNvCxnSpPr>
            <a:stCxn id="140" idx="4"/>
          </xdr:cNvCxnSpPr>
        </xdr:nvCxnSpPr>
        <xdr:spPr>
          <a:xfrm flipH="1">
            <a:off x="4172311" y="43471836"/>
            <a:ext cx="49802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 name="Straight Arrow Connector 144"/>
          <xdr:cNvCxnSpPr/>
        </xdr:nvCxnSpPr>
        <xdr:spPr>
          <a:xfrm>
            <a:off x="4195517" y="43061473"/>
            <a:ext cx="0" cy="21456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6" name="Straight Arrow Connector 145"/>
          <xdr:cNvCxnSpPr/>
        </xdr:nvCxnSpPr>
        <xdr:spPr>
          <a:xfrm flipV="1">
            <a:off x="4200159" y="43476616"/>
            <a:ext cx="0" cy="251884"/>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47" name="TextBox 146"/>
          <xdr:cNvSpPr txBox="1"/>
        </xdr:nvSpPr>
        <xdr:spPr>
          <a:xfrm>
            <a:off x="4049833" y="43280812"/>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sp macro="" textlink="">
        <xdr:nvSpPr>
          <xdr:cNvPr id="148" name="Oval 147"/>
          <xdr:cNvSpPr/>
        </xdr:nvSpPr>
        <xdr:spPr>
          <a:xfrm>
            <a:off x="4394478" y="43132628"/>
            <a:ext cx="551718" cy="287979"/>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nvGrpSpPr>
          <xdr:cNvPr id="149" name="Group 31"/>
          <xdr:cNvGrpSpPr/>
        </xdr:nvGrpSpPr>
        <xdr:grpSpPr>
          <a:xfrm>
            <a:off x="4167668" y="42706968"/>
            <a:ext cx="1145011" cy="977818"/>
            <a:chOff x="4679159" y="11264771"/>
            <a:chExt cx="1379274" cy="1147492"/>
          </a:xfrm>
        </xdr:grpSpPr>
        <xdr:grpSp>
          <xdr:nvGrpSpPr>
            <xdr:cNvPr id="157" name="Group 26"/>
            <xdr:cNvGrpSpPr/>
          </xdr:nvGrpSpPr>
          <xdr:grpSpPr>
            <a:xfrm>
              <a:off x="4679159" y="11447857"/>
              <a:ext cx="1202531" cy="964406"/>
              <a:chOff x="4679159" y="11447857"/>
              <a:chExt cx="1202531" cy="964406"/>
            </a:xfrm>
          </xdr:grpSpPr>
          <xdr:cxnSp macro="">
            <xdr:nvCxnSpPr>
              <xdr:cNvPr id="160" name="Straight Connector 159"/>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2" name="Rectangle 161"/>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58" name="TextBox 157"/>
            <xdr:cNvSpPr txBox="1"/>
          </xdr:nvSpPr>
          <xdr:spPr>
            <a:xfrm>
              <a:off x="5138600" y="11264771"/>
              <a:ext cx="253083" cy="210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59" name="TextBox 158"/>
            <xdr:cNvSpPr txBox="1"/>
          </xdr:nvSpPr>
          <xdr:spPr>
            <a:xfrm>
              <a:off x="5805350"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150" name="Straight Connector 149"/>
          <xdr:cNvCxnSpPr>
            <a:stCxn id="148" idx="2"/>
          </xdr:cNvCxnSpPr>
        </xdr:nvCxnSpPr>
        <xdr:spPr>
          <a:xfrm>
            <a:off x="4394478" y="43276618"/>
            <a:ext cx="629" cy="3363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1" name="TextBox 150"/>
          <xdr:cNvSpPr txBox="1"/>
        </xdr:nvSpPr>
        <xdr:spPr>
          <a:xfrm>
            <a:off x="4408117" y="43525229"/>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C</a:t>
            </a:r>
          </a:p>
        </xdr:txBody>
      </xdr:sp>
      <xdr:cxnSp macro="">
        <xdr:nvCxnSpPr>
          <xdr:cNvPr id="152" name="Straight Arrow Connector 151"/>
          <xdr:cNvCxnSpPr/>
        </xdr:nvCxnSpPr>
        <xdr:spPr>
          <a:xfrm>
            <a:off x="4395107" y="43551702"/>
            <a:ext cx="275545"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53" name="Straight Connector 152"/>
          <xdr:cNvCxnSpPr>
            <a:stCxn id="148" idx="0"/>
          </xdr:cNvCxnSpPr>
        </xdr:nvCxnSpPr>
        <xdr:spPr>
          <a:xfrm>
            <a:off x="4670337" y="43132628"/>
            <a:ext cx="490172" cy="6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 name="Straight Arrow Connector 153"/>
          <xdr:cNvCxnSpPr/>
        </xdr:nvCxnSpPr>
        <xdr:spPr>
          <a:xfrm>
            <a:off x="5107195" y="42922000"/>
            <a:ext cx="0" cy="214567"/>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55" name="Straight Arrow Connector 154"/>
          <xdr:cNvCxnSpPr/>
        </xdr:nvCxnSpPr>
        <xdr:spPr>
          <a:xfrm flipV="1">
            <a:off x="5108436" y="43269106"/>
            <a:ext cx="0" cy="221364"/>
          </a:xfrm>
          <a:prstGeom prst="straightConnector1">
            <a:avLst/>
          </a:prstGeom>
          <a:ln>
            <a:solidFill>
              <a:schemeClr val="tx1"/>
            </a:solidFill>
            <a:headEnd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56" name="TextBox 155"/>
          <xdr:cNvSpPr txBox="1"/>
        </xdr:nvSpPr>
        <xdr:spPr>
          <a:xfrm>
            <a:off x="4989821" y="43100005"/>
            <a:ext cx="214782" cy="179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grpSp>
    <xdr:clientData/>
  </xdr:twoCellAnchor>
  <xdr:twoCellAnchor>
    <xdr:from>
      <xdr:col>7</xdr:col>
      <xdr:colOff>113808</xdr:colOff>
      <xdr:row>986</xdr:row>
      <xdr:rowOff>113337</xdr:rowOff>
    </xdr:from>
    <xdr:to>
      <xdr:col>10</xdr:col>
      <xdr:colOff>250603</xdr:colOff>
      <xdr:row>994</xdr:row>
      <xdr:rowOff>14313</xdr:rowOff>
    </xdr:to>
    <xdr:grpSp>
      <xdr:nvGrpSpPr>
        <xdr:cNvPr id="163" name="Group 162"/>
        <xdr:cNvGrpSpPr/>
      </xdr:nvGrpSpPr>
      <xdr:grpSpPr>
        <a:xfrm>
          <a:off x="4434348" y="173445477"/>
          <a:ext cx="1988455" cy="1303056"/>
          <a:chOff x="3952866" y="47101131"/>
          <a:chExt cx="1922408" cy="1263159"/>
        </a:xfrm>
      </xdr:grpSpPr>
      <xdr:sp macro="" textlink="">
        <xdr:nvSpPr>
          <xdr:cNvPr id="164" name="TextBox 163"/>
          <xdr:cNvSpPr txBox="1"/>
        </xdr:nvSpPr>
        <xdr:spPr>
          <a:xfrm>
            <a:off x="5203022" y="47474146"/>
            <a:ext cx="217095" cy="175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C</a:t>
            </a:r>
          </a:p>
        </xdr:txBody>
      </xdr:sp>
      <xdr:cxnSp macro="">
        <xdr:nvCxnSpPr>
          <xdr:cNvPr id="165" name="Straight Connector 164"/>
          <xdr:cNvCxnSpPr/>
        </xdr:nvCxnSpPr>
        <xdr:spPr>
          <a:xfrm flipV="1">
            <a:off x="5490997" y="47303531"/>
            <a:ext cx="0" cy="9941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6" name="Straight Arrow Connector 165"/>
          <xdr:cNvCxnSpPr/>
        </xdr:nvCxnSpPr>
        <xdr:spPr>
          <a:xfrm>
            <a:off x="5086187" y="47349938"/>
            <a:ext cx="40854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7" name="TextBox 166"/>
          <xdr:cNvSpPr txBox="1"/>
        </xdr:nvSpPr>
        <xdr:spPr>
          <a:xfrm>
            <a:off x="5186635" y="47177329"/>
            <a:ext cx="217095" cy="175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168" name="Straight Connector 167"/>
          <xdr:cNvCxnSpPr/>
        </xdr:nvCxnSpPr>
        <xdr:spPr>
          <a:xfrm>
            <a:off x="5512075" y="48082138"/>
            <a:ext cx="16605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9" name="Straight Arrow Connector 168"/>
          <xdr:cNvCxnSpPr/>
        </xdr:nvCxnSpPr>
        <xdr:spPr>
          <a:xfrm>
            <a:off x="5609542" y="47619565"/>
            <a:ext cx="0" cy="24547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0" name="Straight Arrow Connector 169"/>
          <xdr:cNvCxnSpPr/>
        </xdr:nvCxnSpPr>
        <xdr:spPr>
          <a:xfrm flipV="1">
            <a:off x="5605931" y="48082138"/>
            <a:ext cx="0" cy="21860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1" name="TextBox 170"/>
          <xdr:cNvSpPr txBox="1"/>
        </xdr:nvSpPr>
        <xdr:spPr>
          <a:xfrm>
            <a:off x="5492319" y="47850593"/>
            <a:ext cx="234587" cy="214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172" name="Group 31"/>
          <xdr:cNvGrpSpPr/>
        </xdr:nvGrpSpPr>
        <xdr:grpSpPr>
          <a:xfrm>
            <a:off x="4238626" y="47101131"/>
            <a:ext cx="1636648" cy="1047748"/>
            <a:chOff x="4261807" y="11015253"/>
            <a:chExt cx="1955802" cy="1254741"/>
          </a:xfrm>
        </xdr:grpSpPr>
        <xdr:grpSp>
          <xdr:nvGrpSpPr>
            <xdr:cNvPr id="183" name="Group 26"/>
            <xdr:cNvGrpSpPr/>
          </xdr:nvGrpSpPr>
          <xdr:grpSpPr>
            <a:xfrm>
              <a:off x="4261807" y="11264772"/>
              <a:ext cx="1718784" cy="1005222"/>
              <a:chOff x="4261807" y="11264772"/>
              <a:chExt cx="1718784" cy="1005222"/>
            </a:xfrm>
          </xdr:grpSpPr>
          <xdr:cxnSp macro="">
            <xdr:nvCxnSpPr>
              <xdr:cNvPr id="186" name="Straight Connector 185"/>
              <xdr:cNvCxnSpPr/>
            </xdr:nvCxnSpPr>
            <xdr:spPr>
              <a:xfrm>
                <a:off x="5280423" y="11264772"/>
                <a:ext cx="0" cy="10052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7" name="Straight Connector 186"/>
              <xdr:cNvCxnSpPr/>
            </xdr:nvCxnSpPr>
            <xdr:spPr>
              <a:xfrm>
                <a:off x="4261807" y="11930061"/>
                <a:ext cx="17187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88" name="Rectangle 187"/>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184" name="TextBox 183"/>
            <xdr:cNvSpPr txBox="1"/>
          </xdr:nvSpPr>
          <xdr:spPr>
            <a:xfrm>
              <a:off x="5138599" y="11015253"/>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185" name="TextBox 184"/>
            <xdr:cNvSpPr txBox="1"/>
          </xdr:nvSpPr>
          <xdr:spPr>
            <a:xfrm>
              <a:off x="5964526" y="11809494"/>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173" name="Isosceles Triangle 172"/>
          <xdr:cNvSpPr/>
        </xdr:nvSpPr>
        <xdr:spPr>
          <a:xfrm>
            <a:off x="4327925" y="47547609"/>
            <a:ext cx="1154906" cy="535781"/>
          </a:xfrm>
          <a:prstGeom prst="triangle">
            <a:avLst>
              <a:gd name="adj" fmla="val 71649"/>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74" name="Straight Connector 173"/>
          <xdr:cNvCxnSpPr/>
        </xdr:nvCxnSpPr>
        <xdr:spPr>
          <a:xfrm>
            <a:off x="4316016" y="48107203"/>
            <a:ext cx="0" cy="196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5" name="Straight Arrow Connector 174"/>
          <xdr:cNvCxnSpPr/>
        </xdr:nvCxnSpPr>
        <xdr:spPr>
          <a:xfrm>
            <a:off x="4316016" y="48220313"/>
            <a:ext cx="117276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6" name="TextBox 175"/>
          <xdr:cNvSpPr txBox="1"/>
        </xdr:nvSpPr>
        <xdr:spPr>
          <a:xfrm>
            <a:off x="4774396" y="48188520"/>
            <a:ext cx="217095" cy="175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177" name="Straight Connector 176"/>
          <xdr:cNvCxnSpPr/>
        </xdr:nvCxnSpPr>
        <xdr:spPr>
          <a:xfrm flipH="1">
            <a:off x="4071938" y="48083391"/>
            <a:ext cx="2024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 name="Straight Connector 177"/>
          <xdr:cNvCxnSpPr/>
        </xdr:nvCxnSpPr>
        <xdr:spPr>
          <a:xfrm flipH="1">
            <a:off x="4089797" y="47547609"/>
            <a:ext cx="103584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 name="Straight Arrow Connector 178"/>
          <xdr:cNvCxnSpPr/>
        </xdr:nvCxnSpPr>
        <xdr:spPr>
          <a:xfrm flipV="1">
            <a:off x="4161233" y="47553563"/>
            <a:ext cx="0" cy="5238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0" name="TextBox 179"/>
          <xdr:cNvSpPr txBox="1"/>
        </xdr:nvSpPr>
        <xdr:spPr>
          <a:xfrm>
            <a:off x="3952866" y="47724176"/>
            <a:ext cx="217095" cy="175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H</a:t>
            </a:r>
          </a:p>
        </xdr:txBody>
      </xdr:sp>
      <xdr:cxnSp macro="">
        <xdr:nvCxnSpPr>
          <xdr:cNvPr id="181" name="Straight Connector 180"/>
          <xdr:cNvCxnSpPr/>
        </xdr:nvCxnSpPr>
        <xdr:spPr>
          <a:xfrm flipV="1">
            <a:off x="5161359" y="47434500"/>
            <a:ext cx="0" cy="7262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Arrow Connector 181"/>
          <xdr:cNvCxnSpPr/>
        </xdr:nvCxnSpPr>
        <xdr:spPr>
          <a:xfrm>
            <a:off x="5157625" y="47498766"/>
            <a:ext cx="33710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302271</xdr:colOff>
      <xdr:row>1045</xdr:row>
      <xdr:rowOff>66675</xdr:rowOff>
    </xdr:from>
    <xdr:to>
      <xdr:col>6</xdr:col>
      <xdr:colOff>353432</xdr:colOff>
      <xdr:row>1052</xdr:row>
      <xdr:rowOff>108110</xdr:rowOff>
    </xdr:to>
    <xdr:grpSp>
      <xdr:nvGrpSpPr>
        <xdr:cNvPr id="189" name="Group 188"/>
        <xdr:cNvGrpSpPr/>
      </xdr:nvGrpSpPr>
      <xdr:grpSpPr>
        <a:xfrm>
          <a:off x="2771151" y="183762015"/>
          <a:ext cx="1285601" cy="1268255"/>
          <a:chOff x="4708769" y="56637972"/>
          <a:chExt cx="1242196" cy="1223210"/>
        </a:xfrm>
      </xdr:grpSpPr>
      <xdr:sp macro="" textlink="">
        <xdr:nvSpPr>
          <xdr:cNvPr id="190" name="TextBox 189"/>
          <xdr:cNvSpPr txBox="1"/>
        </xdr:nvSpPr>
        <xdr:spPr>
          <a:xfrm>
            <a:off x="5727621" y="57015729"/>
            <a:ext cx="223344" cy="204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H</a:t>
            </a:r>
          </a:p>
        </xdr:txBody>
      </xdr:sp>
      <xdr:grpSp>
        <xdr:nvGrpSpPr>
          <xdr:cNvPr id="191" name="Group 45"/>
          <xdr:cNvGrpSpPr/>
        </xdr:nvGrpSpPr>
        <xdr:grpSpPr>
          <a:xfrm>
            <a:off x="4708769" y="56637972"/>
            <a:ext cx="968201" cy="1152373"/>
            <a:chOff x="4529792" y="11264777"/>
            <a:chExt cx="1155598" cy="1380191"/>
          </a:xfrm>
        </xdr:grpSpPr>
        <xdr:grpSp>
          <xdr:nvGrpSpPr>
            <xdr:cNvPr id="204" name="Group 49"/>
            <xdr:cNvGrpSpPr/>
          </xdr:nvGrpSpPr>
          <xdr:grpSpPr>
            <a:xfrm>
              <a:off x="4862271" y="11447857"/>
              <a:ext cx="823119" cy="1024593"/>
              <a:chOff x="4862271" y="11447857"/>
              <a:chExt cx="823119" cy="1024593"/>
            </a:xfrm>
          </xdr:grpSpPr>
          <xdr:cxnSp macro="">
            <xdr:nvCxnSpPr>
              <xdr:cNvPr id="208" name="Straight Connector 207"/>
              <xdr:cNvCxnSpPr/>
            </xdr:nvCxnSpPr>
            <xdr:spPr>
              <a:xfrm>
                <a:off x="5280424" y="11447857"/>
                <a:ext cx="0" cy="10245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 name="Straight Connector 208"/>
              <xdr:cNvCxnSpPr/>
            </xdr:nvCxnSpPr>
            <xdr:spPr>
              <a:xfrm>
                <a:off x="4862271" y="11930055"/>
                <a:ext cx="82311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0" name="Rectangle 20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205" name="TextBox 204"/>
            <xdr:cNvSpPr txBox="1"/>
          </xdr:nvSpPr>
          <xdr:spPr>
            <a:xfrm>
              <a:off x="5138600" y="11264777"/>
              <a:ext cx="297566" cy="24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Z</a:t>
              </a:r>
            </a:p>
          </xdr:txBody>
        </xdr:sp>
        <xdr:sp macro="" textlink="">
          <xdr:nvSpPr>
            <xdr:cNvPr id="206" name="TextBox 205"/>
            <xdr:cNvSpPr txBox="1"/>
          </xdr:nvSpPr>
          <xdr:spPr>
            <a:xfrm>
              <a:off x="4655013" y="11800393"/>
              <a:ext cx="253083" cy="2165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800">
                  <a:latin typeface="Arial" pitchFamily="34" charset="0"/>
                  <a:cs typeface="Arial" pitchFamily="34" charset="0"/>
                </a:rPr>
                <a:t>X</a:t>
              </a:r>
            </a:p>
          </xdr:txBody>
        </xdr:sp>
        <xdr:sp macro="" textlink="">
          <xdr:nvSpPr>
            <xdr:cNvPr id="207" name="TextBox 206"/>
            <xdr:cNvSpPr txBox="1"/>
          </xdr:nvSpPr>
          <xdr:spPr>
            <a:xfrm>
              <a:off x="4529792" y="12398791"/>
              <a:ext cx="304510" cy="24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grpSp>
      <xdr:cxnSp macro="">
        <xdr:nvCxnSpPr>
          <xdr:cNvPr id="192" name="Straight Connector 191"/>
          <xdr:cNvCxnSpPr/>
        </xdr:nvCxnSpPr>
        <xdr:spPr>
          <a:xfrm flipH="1">
            <a:off x="5648482" y="56832499"/>
            <a:ext cx="2337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3" name="Straight Connector 192"/>
          <xdr:cNvCxnSpPr/>
        </xdr:nvCxnSpPr>
        <xdr:spPr>
          <a:xfrm flipH="1">
            <a:off x="5653495" y="57418709"/>
            <a:ext cx="2337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4" name="Straight Arrow Connector 193"/>
          <xdr:cNvCxnSpPr/>
        </xdr:nvCxnSpPr>
        <xdr:spPr>
          <a:xfrm>
            <a:off x="5794986" y="56827027"/>
            <a:ext cx="0" cy="598697"/>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cxnSp macro="">
        <xdr:nvCxnSpPr>
          <xdr:cNvPr id="195" name="Straight Connector 194"/>
          <xdr:cNvCxnSpPr/>
        </xdr:nvCxnSpPr>
        <xdr:spPr>
          <a:xfrm rot="5400000" flipH="1">
            <a:off x="5378714" y="57696536"/>
            <a:ext cx="2314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6" name="Straight Connector 195"/>
          <xdr:cNvCxnSpPr/>
        </xdr:nvCxnSpPr>
        <xdr:spPr>
          <a:xfrm rot="5400000" flipH="1">
            <a:off x="4962166" y="57696536"/>
            <a:ext cx="2314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7" name="Straight Arrow Connector 196"/>
          <xdr:cNvCxnSpPr/>
        </xdr:nvCxnSpPr>
        <xdr:spPr>
          <a:xfrm>
            <a:off x="5070164" y="57720322"/>
            <a:ext cx="434283"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198" name="TextBox 197"/>
          <xdr:cNvSpPr txBox="1"/>
        </xdr:nvSpPr>
        <xdr:spPr>
          <a:xfrm>
            <a:off x="5139827" y="57685535"/>
            <a:ext cx="219004" cy="175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199" name="Straight Connector 198"/>
          <xdr:cNvCxnSpPr/>
        </xdr:nvCxnSpPr>
        <xdr:spPr>
          <a:xfrm flipV="1">
            <a:off x="4878321" y="56785249"/>
            <a:ext cx="877476" cy="8546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0" name="Cube 199"/>
          <xdr:cNvSpPr/>
        </xdr:nvSpPr>
        <xdr:spPr>
          <a:xfrm>
            <a:off x="5083343" y="56829158"/>
            <a:ext cx="546433" cy="726908"/>
          </a:xfrm>
          <a:prstGeom prst="cub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01" name="Straight Connector 200"/>
          <xdr:cNvCxnSpPr/>
        </xdr:nvCxnSpPr>
        <xdr:spPr>
          <a:xfrm rot="5400000" flipH="1">
            <a:off x="5524096" y="57566194"/>
            <a:ext cx="2314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2" name="Straight Arrow Connector 201"/>
          <xdr:cNvCxnSpPr/>
        </xdr:nvCxnSpPr>
        <xdr:spPr>
          <a:xfrm flipV="1">
            <a:off x="5494421" y="57581132"/>
            <a:ext cx="145382" cy="145381"/>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03" name="TextBox 202"/>
          <xdr:cNvSpPr txBox="1"/>
        </xdr:nvSpPr>
        <xdr:spPr>
          <a:xfrm>
            <a:off x="5470696" y="57650443"/>
            <a:ext cx="219004" cy="175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clientData/>
  </xdr:twoCellAnchor>
  <xdr:twoCellAnchor>
    <xdr:from>
      <xdr:col>8</xdr:col>
      <xdr:colOff>84010</xdr:colOff>
      <xdr:row>708</xdr:row>
      <xdr:rowOff>51848</xdr:rowOff>
    </xdr:from>
    <xdr:to>
      <xdr:col>10</xdr:col>
      <xdr:colOff>364125</xdr:colOff>
      <xdr:row>716</xdr:row>
      <xdr:rowOff>107541</xdr:rowOff>
    </xdr:to>
    <xdr:grpSp>
      <xdr:nvGrpSpPr>
        <xdr:cNvPr id="242" name="Group 241"/>
        <xdr:cNvGrpSpPr/>
      </xdr:nvGrpSpPr>
      <xdr:grpSpPr>
        <a:xfrm>
          <a:off x="5021770" y="124547408"/>
          <a:ext cx="1514555" cy="1457773"/>
          <a:chOff x="4884610" y="47981648"/>
          <a:chExt cx="1480265" cy="1351093"/>
        </a:xfrm>
      </xdr:grpSpPr>
      <xdr:sp macro="" textlink="">
        <xdr:nvSpPr>
          <xdr:cNvPr id="215" name="Freeform 214"/>
          <xdr:cNvSpPr/>
        </xdr:nvSpPr>
        <xdr:spPr>
          <a:xfrm>
            <a:off x="5426951" y="48202740"/>
            <a:ext cx="551793" cy="647700"/>
          </a:xfrm>
          <a:custGeom>
            <a:avLst/>
            <a:gdLst>
              <a:gd name="connsiteX0" fmla="*/ 0 w 827690"/>
              <a:gd name="connsiteY0" fmla="*/ 0 h 1241534"/>
              <a:gd name="connsiteX1" fmla="*/ 0 w 827690"/>
              <a:gd name="connsiteY1" fmla="*/ 1241534 h 1241534"/>
              <a:gd name="connsiteX2" fmla="*/ 821121 w 827690"/>
              <a:gd name="connsiteY2" fmla="*/ 1234965 h 1241534"/>
              <a:gd name="connsiteX3" fmla="*/ 827690 w 827690"/>
              <a:gd name="connsiteY3" fmla="*/ 1077310 h 1241534"/>
              <a:gd name="connsiteX4" fmla="*/ 137948 w 827690"/>
              <a:gd name="connsiteY4" fmla="*/ 1077310 h 1241534"/>
              <a:gd name="connsiteX5" fmla="*/ 137948 w 827690"/>
              <a:gd name="connsiteY5" fmla="*/ 0 h 1241534"/>
              <a:gd name="connsiteX6" fmla="*/ 0 w 827690"/>
              <a:gd name="connsiteY6" fmla="*/ 0 h 12415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27690" h="1241534">
                <a:moveTo>
                  <a:pt x="0" y="0"/>
                </a:moveTo>
                <a:lnTo>
                  <a:pt x="0" y="1241534"/>
                </a:lnTo>
                <a:lnTo>
                  <a:pt x="821121" y="1234965"/>
                </a:lnTo>
                <a:lnTo>
                  <a:pt x="827690" y="1077310"/>
                </a:lnTo>
                <a:lnTo>
                  <a:pt x="137948" y="1077310"/>
                </a:lnTo>
                <a:lnTo>
                  <a:pt x="137948" y="0"/>
                </a:ln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16" name="Straight Connector 215"/>
          <xdr:cNvCxnSpPr/>
        </xdr:nvCxnSpPr>
        <xdr:spPr>
          <a:xfrm flipH="1">
            <a:off x="5015717" y="48204477"/>
            <a:ext cx="9433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7" name="Straight Connector 216"/>
          <xdr:cNvCxnSpPr/>
        </xdr:nvCxnSpPr>
        <xdr:spPr>
          <a:xfrm flipH="1">
            <a:off x="5048700" y="48847347"/>
            <a:ext cx="3431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8" name="Straight Arrow Connector 217"/>
          <xdr:cNvCxnSpPr/>
        </xdr:nvCxnSpPr>
        <xdr:spPr>
          <a:xfrm>
            <a:off x="5067524" y="48212407"/>
            <a:ext cx="0" cy="63803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9" name="Straight Connector 218"/>
          <xdr:cNvCxnSpPr/>
        </xdr:nvCxnSpPr>
        <xdr:spPr>
          <a:xfrm flipV="1">
            <a:off x="5971809" y="48933753"/>
            <a:ext cx="0" cy="2942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0" name="Straight Connector 219"/>
          <xdr:cNvCxnSpPr/>
        </xdr:nvCxnSpPr>
        <xdr:spPr>
          <a:xfrm flipV="1">
            <a:off x="5427592" y="48933753"/>
            <a:ext cx="0" cy="2890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1" name="Straight Arrow Connector 220"/>
          <xdr:cNvCxnSpPr/>
        </xdr:nvCxnSpPr>
        <xdr:spPr>
          <a:xfrm>
            <a:off x="5424843" y="49186357"/>
            <a:ext cx="54421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2" name="TextBox 221"/>
          <xdr:cNvSpPr txBox="1"/>
        </xdr:nvSpPr>
        <xdr:spPr>
          <a:xfrm>
            <a:off x="5559934" y="49161913"/>
            <a:ext cx="217660" cy="170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223" name="Group 45"/>
          <xdr:cNvGrpSpPr/>
        </xdr:nvGrpSpPr>
        <xdr:grpSpPr>
          <a:xfrm>
            <a:off x="5347882" y="47981648"/>
            <a:ext cx="1016993" cy="965776"/>
            <a:chOff x="4862263" y="11224967"/>
            <a:chExt cx="1209826" cy="1187296"/>
          </a:xfrm>
        </xdr:grpSpPr>
        <xdr:grpSp>
          <xdr:nvGrpSpPr>
            <xdr:cNvPr id="224" name="Group 49"/>
            <xdr:cNvGrpSpPr/>
          </xdr:nvGrpSpPr>
          <xdr:grpSpPr>
            <a:xfrm>
              <a:off x="4862263" y="11447857"/>
              <a:ext cx="1019427" cy="964406"/>
              <a:chOff x="4862263" y="11447857"/>
              <a:chExt cx="1019427" cy="964406"/>
            </a:xfrm>
          </xdr:grpSpPr>
          <xdr:cxnSp macro="">
            <xdr:nvCxnSpPr>
              <xdr:cNvPr id="227" name="Straight Connector 226"/>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Straight Connector 227"/>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9" name="Rectangle 228"/>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225" name="TextBox 224"/>
            <xdr:cNvSpPr txBox="1"/>
          </xdr:nvSpPr>
          <xdr:spPr>
            <a:xfrm>
              <a:off x="5146450" y="11224967"/>
              <a:ext cx="253082"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226" name="TextBox 225"/>
            <xdr:cNvSpPr txBox="1"/>
          </xdr:nvSpPr>
          <xdr:spPr>
            <a:xfrm>
              <a:off x="5819006" y="11809492"/>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230" name="Straight Connector 229"/>
          <xdr:cNvCxnSpPr/>
        </xdr:nvCxnSpPr>
        <xdr:spPr>
          <a:xfrm flipH="1">
            <a:off x="5984346" y="48850817"/>
            <a:ext cx="2134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 name="Straight Connector 230"/>
          <xdr:cNvCxnSpPr/>
        </xdr:nvCxnSpPr>
        <xdr:spPr>
          <a:xfrm flipH="1">
            <a:off x="5990915" y="48766971"/>
            <a:ext cx="2003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 name="Straight Arrow Connector 231"/>
          <xdr:cNvCxnSpPr/>
        </xdr:nvCxnSpPr>
        <xdr:spPr>
          <a:xfrm>
            <a:off x="5853430" y="48209309"/>
            <a:ext cx="0" cy="54682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3" name="TextBox 232"/>
          <xdr:cNvSpPr txBox="1"/>
        </xdr:nvSpPr>
        <xdr:spPr>
          <a:xfrm>
            <a:off x="4884610" y="48448377"/>
            <a:ext cx="217660" cy="170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h</a:t>
            </a:r>
          </a:p>
        </xdr:txBody>
      </xdr:sp>
      <xdr:cxnSp macro="">
        <xdr:nvCxnSpPr>
          <xdr:cNvPr id="234" name="Straight Connector 233"/>
          <xdr:cNvCxnSpPr/>
        </xdr:nvCxnSpPr>
        <xdr:spPr>
          <a:xfrm flipV="1">
            <a:off x="5515546" y="48813963"/>
            <a:ext cx="0" cy="2317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5" name="Straight Arrow Connector 234"/>
          <xdr:cNvCxnSpPr/>
        </xdr:nvCxnSpPr>
        <xdr:spPr>
          <a:xfrm>
            <a:off x="5515957" y="49019692"/>
            <a:ext cx="45621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36" name="TextBox 235"/>
          <xdr:cNvSpPr txBox="1"/>
        </xdr:nvSpPr>
        <xdr:spPr>
          <a:xfrm>
            <a:off x="5559934" y="48979624"/>
            <a:ext cx="217660" cy="170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sp macro="" textlink="">
        <xdr:nvSpPr>
          <xdr:cNvPr id="238" name="TextBox 237"/>
          <xdr:cNvSpPr txBox="1"/>
        </xdr:nvSpPr>
        <xdr:spPr>
          <a:xfrm>
            <a:off x="5813133" y="48325866"/>
            <a:ext cx="219959" cy="170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e</a:t>
            </a:r>
          </a:p>
        </xdr:txBody>
      </xdr:sp>
      <xdr:cxnSp macro="">
        <xdr:nvCxnSpPr>
          <xdr:cNvPr id="239" name="Straight Arrow Connector 238"/>
          <xdr:cNvCxnSpPr/>
        </xdr:nvCxnSpPr>
        <xdr:spPr>
          <a:xfrm>
            <a:off x="6099284" y="48609688"/>
            <a:ext cx="0" cy="14878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40" name="Straight Arrow Connector 239"/>
          <xdr:cNvCxnSpPr/>
        </xdr:nvCxnSpPr>
        <xdr:spPr>
          <a:xfrm flipV="1">
            <a:off x="6099284" y="48850441"/>
            <a:ext cx="0" cy="20133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1" name="TextBox 240"/>
          <xdr:cNvSpPr txBox="1"/>
        </xdr:nvSpPr>
        <xdr:spPr>
          <a:xfrm>
            <a:off x="6058483" y="48940722"/>
            <a:ext cx="217660" cy="1708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clientData/>
  </xdr:twoCellAnchor>
  <xdr:twoCellAnchor>
    <xdr:from>
      <xdr:col>3</xdr:col>
      <xdr:colOff>466954</xdr:colOff>
      <xdr:row>64</xdr:row>
      <xdr:rowOff>5041</xdr:rowOff>
    </xdr:from>
    <xdr:to>
      <xdr:col>6</xdr:col>
      <xdr:colOff>107324</xdr:colOff>
      <xdr:row>71</xdr:row>
      <xdr:rowOff>118241</xdr:rowOff>
    </xdr:to>
    <xdr:grpSp>
      <xdr:nvGrpSpPr>
        <xdr:cNvPr id="4" name="Group 3"/>
        <xdr:cNvGrpSpPr/>
      </xdr:nvGrpSpPr>
      <xdr:grpSpPr>
        <a:xfrm>
          <a:off x="2318614" y="11297881"/>
          <a:ext cx="1492030" cy="1340020"/>
          <a:chOff x="2260282" y="11113162"/>
          <a:chExt cx="1433697" cy="1262769"/>
        </a:xfrm>
      </xdr:grpSpPr>
      <xdr:sp macro="" textlink="">
        <xdr:nvSpPr>
          <xdr:cNvPr id="281" name="TextBox 280"/>
          <xdr:cNvSpPr txBox="1"/>
        </xdr:nvSpPr>
        <xdr:spPr>
          <a:xfrm>
            <a:off x="2260282" y="11620920"/>
            <a:ext cx="215708" cy="216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nvGrpSpPr>
          <xdr:cNvPr id="282" name="Group 45"/>
          <xdr:cNvGrpSpPr/>
        </xdr:nvGrpSpPr>
        <xdr:grpSpPr>
          <a:xfrm>
            <a:off x="2641574" y="11113162"/>
            <a:ext cx="1052405" cy="1005044"/>
            <a:chOff x="4862263" y="11184419"/>
            <a:chExt cx="1252938" cy="1227844"/>
          </a:xfrm>
        </xdr:grpSpPr>
        <xdr:grpSp>
          <xdr:nvGrpSpPr>
            <xdr:cNvPr id="291" name="Group 290"/>
            <xdr:cNvGrpSpPr/>
          </xdr:nvGrpSpPr>
          <xdr:grpSpPr>
            <a:xfrm>
              <a:off x="4862263" y="11447857"/>
              <a:ext cx="1019427" cy="964406"/>
              <a:chOff x="4862263" y="11447857"/>
              <a:chExt cx="1019427" cy="964406"/>
            </a:xfrm>
          </xdr:grpSpPr>
          <xdr:cxnSp macro="">
            <xdr:nvCxnSpPr>
              <xdr:cNvPr id="294" name="Straight Connector 293"/>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5" name="Straight Connector 294"/>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96" name="Rectangle 295"/>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292" name="TextBox 291"/>
            <xdr:cNvSpPr txBox="1"/>
          </xdr:nvSpPr>
          <xdr:spPr>
            <a:xfrm>
              <a:off x="5138599" y="11184419"/>
              <a:ext cx="291434"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93" name="TextBox 292"/>
            <xdr:cNvSpPr txBox="1"/>
          </xdr:nvSpPr>
          <xdr:spPr>
            <a:xfrm>
              <a:off x="5819005" y="11809492"/>
              <a:ext cx="296196" cy="3146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283" name="Rectangle 282"/>
          <xdr:cNvSpPr/>
        </xdr:nvSpPr>
        <xdr:spPr>
          <a:xfrm>
            <a:off x="2646678" y="11381583"/>
            <a:ext cx="693895" cy="686612"/>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284" name="Straight Connector 283"/>
          <xdr:cNvCxnSpPr/>
        </xdr:nvCxnSpPr>
        <xdr:spPr>
          <a:xfrm flipH="1">
            <a:off x="2351185" y="11381583"/>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5" name="Straight Connector 284"/>
          <xdr:cNvCxnSpPr/>
        </xdr:nvCxnSpPr>
        <xdr:spPr>
          <a:xfrm flipH="1">
            <a:off x="2351185" y="12068195"/>
            <a:ext cx="2366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6" name="Straight Arrow Connector 285"/>
          <xdr:cNvCxnSpPr/>
        </xdr:nvCxnSpPr>
        <xdr:spPr>
          <a:xfrm>
            <a:off x="2444162" y="11376434"/>
            <a:ext cx="0" cy="6969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287" name="Straight Connector 286"/>
          <xdr:cNvCxnSpPr/>
        </xdr:nvCxnSpPr>
        <xdr:spPr>
          <a:xfrm rot="5400000" flipH="1">
            <a:off x="3229561"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8" name="Straight Connector 287"/>
          <xdr:cNvCxnSpPr/>
        </xdr:nvCxnSpPr>
        <xdr:spPr>
          <a:xfrm rot="5400000" flipH="1">
            <a:off x="2527822" y="12216908"/>
            <a:ext cx="224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9" name="Straight Arrow Connector 288"/>
          <xdr:cNvCxnSpPr/>
        </xdr:nvCxnSpPr>
        <xdr:spPr>
          <a:xfrm>
            <a:off x="2631834" y="12235988"/>
            <a:ext cx="71627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0" name="TextBox 289"/>
          <xdr:cNvSpPr txBox="1"/>
        </xdr:nvSpPr>
        <xdr:spPr>
          <a:xfrm>
            <a:off x="2871255" y="12170450"/>
            <a:ext cx="215710" cy="20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clientData/>
  </xdr:twoCellAnchor>
  <xdr:twoCellAnchor>
    <xdr:from>
      <xdr:col>3</xdr:col>
      <xdr:colOff>586154</xdr:colOff>
      <xdr:row>116</xdr:row>
      <xdr:rowOff>190487</xdr:rowOff>
    </xdr:from>
    <xdr:to>
      <xdr:col>6</xdr:col>
      <xdr:colOff>133275</xdr:colOff>
      <xdr:row>124</xdr:row>
      <xdr:rowOff>92530</xdr:rowOff>
    </xdr:to>
    <xdr:grpSp>
      <xdr:nvGrpSpPr>
        <xdr:cNvPr id="348" name="Group 347"/>
        <xdr:cNvGrpSpPr/>
      </xdr:nvGrpSpPr>
      <xdr:grpSpPr>
        <a:xfrm>
          <a:off x="2437814" y="20627327"/>
          <a:ext cx="1398781" cy="1326983"/>
          <a:chOff x="4025400" y="20567307"/>
          <a:chExt cx="1332931" cy="1286342"/>
        </a:xfrm>
      </xdr:grpSpPr>
      <xdr:sp macro="" textlink="">
        <xdr:nvSpPr>
          <xdr:cNvPr id="349" name="TextBox 348"/>
          <xdr:cNvSpPr txBox="1"/>
        </xdr:nvSpPr>
        <xdr:spPr>
          <a:xfrm>
            <a:off x="4025400" y="21049199"/>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d</a:t>
            </a:r>
          </a:p>
        </xdr:txBody>
      </xdr:sp>
      <xdr:grpSp>
        <xdr:nvGrpSpPr>
          <xdr:cNvPr id="350" name="Group 45"/>
          <xdr:cNvGrpSpPr/>
        </xdr:nvGrpSpPr>
        <xdr:grpSpPr>
          <a:xfrm>
            <a:off x="4327069" y="20567307"/>
            <a:ext cx="1031262" cy="997973"/>
            <a:chOff x="4862263" y="11237681"/>
            <a:chExt cx="1239038" cy="1174582"/>
          </a:xfrm>
        </xdr:grpSpPr>
        <xdr:grpSp>
          <xdr:nvGrpSpPr>
            <xdr:cNvPr id="359" name="Group 358"/>
            <xdr:cNvGrpSpPr/>
          </xdr:nvGrpSpPr>
          <xdr:grpSpPr>
            <a:xfrm>
              <a:off x="4862263" y="11447857"/>
              <a:ext cx="1019427" cy="964406"/>
              <a:chOff x="4862263" y="11447857"/>
              <a:chExt cx="1019427" cy="964406"/>
            </a:xfrm>
          </xdr:grpSpPr>
          <xdr:cxnSp macro="">
            <xdr:nvCxnSpPr>
              <xdr:cNvPr id="362" name="Straight Connector 361"/>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a:off x="4862263" y="11930061"/>
                <a:ext cx="101942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64" name="Rectangle 363"/>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grpSp>
        <xdr:sp macro="" textlink="">
          <xdr:nvSpPr>
            <xdr:cNvPr id="360" name="TextBox 359"/>
            <xdr:cNvSpPr txBox="1"/>
          </xdr:nvSpPr>
          <xdr:spPr>
            <a:xfrm>
              <a:off x="5147295" y="11237681"/>
              <a:ext cx="278492"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Y</a:t>
              </a:r>
            </a:p>
          </xdr:txBody>
        </xdr:sp>
        <xdr:sp macro="" textlink="">
          <xdr:nvSpPr>
            <xdr:cNvPr id="361" name="TextBox 360"/>
            <xdr:cNvSpPr txBox="1"/>
          </xdr:nvSpPr>
          <xdr:spPr>
            <a:xfrm>
              <a:off x="5819005" y="11809492"/>
              <a:ext cx="282296" cy="268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mn-lt"/>
                  <a:cs typeface="Arial" pitchFamily="34" charset="0"/>
                </a:rPr>
                <a:t>X</a:t>
              </a:r>
            </a:p>
          </xdr:txBody>
        </xdr:sp>
      </xdr:grpSp>
      <xdr:sp macro="" textlink="">
        <xdr:nvSpPr>
          <xdr:cNvPr id="351" name="Rectangle 350"/>
          <xdr:cNvSpPr/>
        </xdr:nvSpPr>
        <xdr:spPr>
          <a:xfrm>
            <a:off x="4408712" y="20802600"/>
            <a:ext cx="533401" cy="713014"/>
          </a:xfrm>
          <a:prstGeom prst="rect">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latin typeface="+mn-lt"/>
            </a:endParaRPr>
          </a:p>
        </xdr:txBody>
      </xdr:sp>
      <xdr:cxnSp macro="">
        <xdr:nvCxnSpPr>
          <xdr:cNvPr id="352" name="Straight Connector 351"/>
          <xdr:cNvCxnSpPr/>
        </xdr:nvCxnSpPr>
        <xdr:spPr>
          <a:xfrm flipH="1">
            <a:off x="4136571" y="20802600"/>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Straight Connector 352"/>
          <xdr:cNvCxnSpPr/>
        </xdr:nvCxnSpPr>
        <xdr:spPr>
          <a:xfrm flipH="1">
            <a:off x="4136571" y="215156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Straight Arrow Connector 353"/>
          <xdr:cNvCxnSpPr/>
        </xdr:nvCxnSpPr>
        <xdr:spPr>
          <a:xfrm>
            <a:off x="4229100" y="20797157"/>
            <a:ext cx="0" cy="723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5" name="Straight Connector 354"/>
          <xdr:cNvCxnSpPr/>
        </xdr:nvCxnSpPr>
        <xdr:spPr>
          <a:xfrm rot="5400000" flipH="1">
            <a:off x="4827814"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Straight Connector 355"/>
          <xdr:cNvCxnSpPr/>
        </xdr:nvCxnSpPr>
        <xdr:spPr>
          <a:xfrm rot="5400000" flipH="1">
            <a:off x="4288971" y="21668014"/>
            <a:ext cx="23404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Straight Arrow Connector 356"/>
          <xdr:cNvCxnSpPr/>
        </xdr:nvCxnSpPr>
        <xdr:spPr>
          <a:xfrm>
            <a:off x="4403271" y="21689786"/>
            <a:ext cx="53884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8" name="TextBox 357"/>
          <xdr:cNvSpPr txBox="1"/>
        </xdr:nvSpPr>
        <xdr:spPr>
          <a:xfrm>
            <a:off x="4553357" y="21675127"/>
            <a:ext cx="215510" cy="178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mn-lt"/>
                <a:cs typeface="Arial" pitchFamily="34" charset="0"/>
              </a:rPr>
              <a:t>b</a:t>
            </a:r>
          </a:p>
        </xdr:txBody>
      </xdr:sp>
    </xdr:grpSp>
    <xdr:clientData/>
  </xdr:twoCellAnchor>
  <xdr:twoCellAnchor>
    <xdr:from>
      <xdr:col>3</xdr:col>
      <xdr:colOff>497264</xdr:colOff>
      <xdr:row>224</xdr:row>
      <xdr:rowOff>76200</xdr:rowOff>
    </xdr:from>
    <xdr:to>
      <xdr:col>6</xdr:col>
      <xdr:colOff>359224</xdr:colOff>
      <xdr:row>232</xdr:row>
      <xdr:rowOff>158075</xdr:rowOff>
    </xdr:to>
    <xdr:grpSp>
      <xdr:nvGrpSpPr>
        <xdr:cNvPr id="418" name="Group 417"/>
        <xdr:cNvGrpSpPr/>
      </xdr:nvGrpSpPr>
      <xdr:grpSpPr>
        <a:xfrm>
          <a:off x="2348924" y="39540180"/>
          <a:ext cx="1713620" cy="1483955"/>
          <a:chOff x="2295398" y="37288749"/>
          <a:chExt cx="1660094" cy="1382850"/>
        </a:xfrm>
      </xdr:grpSpPr>
      <xdr:sp macro="" textlink="">
        <xdr:nvSpPr>
          <xdr:cNvPr id="366" name="TextBox 365"/>
          <xdr:cNvSpPr txBox="1"/>
        </xdr:nvSpPr>
        <xdr:spPr>
          <a:xfrm>
            <a:off x="3575797" y="37972999"/>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370" name="Straight Arrow Connector 369"/>
          <xdr:cNvCxnSpPr/>
        </xdr:nvCxnSpPr>
        <xdr:spPr>
          <a:xfrm>
            <a:off x="3635186" y="37803829"/>
            <a:ext cx="0" cy="6132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2" name="Straight Connector 371"/>
          <xdr:cNvCxnSpPr/>
        </xdr:nvCxnSpPr>
        <xdr:spPr>
          <a:xfrm flipV="1">
            <a:off x="2709327" y="37440485"/>
            <a:ext cx="0" cy="1965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 name="Straight Arrow Connector 372"/>
          <xdr:cNvCxnSpPr/>
        </xdr:nvCxnSpPr>
        <xdr:spPr>
          <a:xfrm>
            <a:off x="2701136" y="37535475"/>
            <a:ext cx="769282"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4" name="TextBox 373"/>
          <xdr:cNvSpPr txBox="1"/>
        </xdr:nvSpPr>
        <xdr:spPr>
          <a:xfrm>
            <a:off x="3125331" y="37369886"/>
            <a:ext cx="217608" cy="171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376" name="Group 45"/>
          <xdr:cNvGrpSpPr/>
        </xdr:nvGrpSpPr>
        <xdr:grpSpPr>
          <a:xfrm>
            <a:off x="2375076" y="37288749"/>
            <a:ext cx="1580416" cy="1293681"/>
            <a:chOff x="4611126" y="11240620"/>
            <a:chExt cx="1497100" cy="1294246"/>
          </a:xfrm>
        </xdr:grpSpPr>
        <xdr:grpSp>
          <xdr:nvGrpSpPr>
            <xdr:cNvPr id="385" name="Group 49"/>
            <xdr:cNvGrpSpPr/>
          </xdr:nvGrpSpPr>
          <xdr:grpSpPr>
            <a:xfrm>
              <a:off x="4611126" y="11447857"/>
              <a:ext cx="1295769" cy="1087009"/>
              <a:chOff x="4611126" y="11447857"/>
              <a:chExt cx="1295769" cy="1087009"/>
            </a:xfrm>
          </xdr:grpSpPr>
          <xdr:cxnSp macro="">
            <xdr:nvCxnSpPr>
              <xdr:cNvPr id="388" name="Straight Connector 387"/>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9" name="Straight Connector 388"/>
              <xdr:cNvCxnSpPr/>
            </xdr:nvCxnSpPr>
            <xdr:spPr>
              <a:xfrm>
                <a:off x="4611126" y="11930061"/>
                <a:ext cx="1295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0" name="Rectangle 389"/>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386" name="TextBox 385"/>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387" name="TextBox 386"/>
            <xdr:cNvSpPr txBox="1"/>
          </xdr:nvSpPr>
          <xdr:spPr>
            <a:xfrm>
              <a:off x="5855143"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sp macro="" textlink="">
        <xdr:nvSpPr>
          <xdr:cNvPr id="5" name="Down Arrow Callout 4"/>
          <xdr:cNvSpPr/>
        </xdr:nvSpPr>
        <xdr:spPr>
          <a:xfrm>
            <a:off x="2704441" y="37667238"/>
            <a:ext cx="768342" cy="750160"/>
          </a:xfrm>
          <a:prstGeom prst="downArrowCallout">
            <a:avLst>
              <a:gd name="adj1" fmla="val 30072"/>
              <a:gd name="adj2" fmla="val 9601"/>
              <a:gd name="adj3" fmla="val 0"/>
              <a:gd name="adj4" fmla="val 1787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8" name="Straight Connector 7"/>
          <xdr:cNvCxnSpPr/>
        </xdr:nvCxnSpPr>
        <xdr:spPr>
          <a:xfrm>
            <a:off x="3214604" y="38416216"/>
            <a:ext cx="58849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xdr:cNvCxnSpPr/>
        </xdr:nvCxnSpPr>
        <xdr:spPr>
          <a:xfrm>
            <a:off x="3503075" y="37803829"/>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 name="Straight Connector 393"/>
          <xdr:cNvCxnSpPr/>
        </xdr:nvCxnSpPr>
        <xdr:spPr>
          <a:xfrm>
            <a:off x="3503075" y="37668422"/>
            <a:ext cx="3000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 name="Straight Arrow Connector 212"/>
          <xdr:cNvCxnSpPr/>
        </xdr:nvCxnSpPr>
        <xdr:spPr>
          <a:xfrm>
            <a:off x="3639810" y="37473143"/>
            <a:ext cx="0" cy="19527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95" name="TextBox 394"/>
          <xdr:cNvSpPr txBox="1"/>
        </xdr:nvSpPr>
        <xdr:spPr>
          <a:xfrm>
            <a:off x="3532253" y="37620540"/>
            <a:ext cx="218271" cy="172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396" name="Straight Connector 395"/>
          <xdr:cNvCxnSpPr/>
        </xdr:nvCxnSpPr>
        <xdr:spPr>
          <a:xfrm flipV="1">
            <a:off x="3471991" y="37462257"/>
            <a:ext cx="0" cy="17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1" name="TextBox 400"/>
          <xdr:cNvSpPr txBox="1"/>
        </xdr:nvSpPr>
        <xdr:spPr>
          <a:xfrm>
            <a:off x="2682504" y="38032206"/>
            <a:ext cx="217608" cy="172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02" name="Straight Arrow Connector 401"/>
          <xdr:cNvCxnSpPr/>
        </xdr:nvCxnSpPr>
        <xdr:spPr>
          <a:xfrm rot="16200000">
            <a:off x="2904029" y="38171620"/>
            <a:ext cx="0" cy="1966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3" name="Straight Arrow Connector 402"/>
          <xdr:cNvCxnSpPr/>
        </xdr:nvCxnSpPr>
        <xdr:spPr>
          <a:xfrm flipH="1">
            <a:off x="3154734" y="38269923"/>
            <a:ext cx="17961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06" name="Straight Connector 405"/>
          <xdr:cNvCxnSpPr/>
        </xdr:nvCxnSpPr>
        <xdr:spPr>
          <a:xfrm>
            <a:off x="2369632" y="37668422"/>
            <a:ext cx="30002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 name="Straight Arrow Connector 407"/>
          <xdr:cNvCxnSpPr/>
        </xdr:nvCxnSpPr>
        <xdr:spPr>
          <a:xfrm>
            <a:off x="2501745" y="37668422"/>
            <a:ext cx="0" cy="31521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0" name="TextBox 409"/>
          <xdr:cNvSpPr txBox="1"/>
        </xdr:nvSpPr>
        <xdr:spPr>
          <a:xfrm>
            <a:off x="2295398" y="37712404"/>
            <a:ext cx="218272" cy="24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13" name="Straight Connector 412"/>
          <xdr:cNvCxnSpPr/>
        </xdr:nvCxnSpPr>
        <xdr:spPr>
          <a:xfrm>
            <a:off x="3474992" y="37831912"/>
            <a:ext cx="0" cy="762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5" name="Straight Arrow Connector 414"/>
          <xdr:cNvCxnSpPr/>
        </xdr:nvCxnSpPr>
        <xdr:spPr>
          <a:xfrm>
            <a:off x="3081641" y="38519807"/>
            <a:ext cx="39757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17" name="TextBox 416"/>
          <xdr:cNvSpPr txBox="1"/>
        </xdr:nvSpPr>
        <xdr:spPr>
          <a:xfrm>
            <a:off x="3149633" y="38480434"/>
            <a:ext cx="218766" cy="191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grpSp>
    <xdr:clientData/>
  </xdr:twoCellAnchor>
  <xdr:twoCellAnchor>
    <xdr:from>
      <xdr:col>3</xdr:col>
      <xdr:colOff>431948</xdr:colOff>
      <xdr:row>277</xdr:row>
      <xdr:rowOff>76200</xdr:rowOff>
    </xdr:from>
    <xdr:to>
      <xdr:col>6</xdr:col>
      <xdr:colOff>511625</xdr:colOff>
      <xdr:row>286</xdr:row>
      <xdr:rowOff>109089</xdr:rowOff>
    </xdr:to>
    <xdr:grpSp>
      <xdr:nvGrpSpPr>
        <xdr:cNvPr id="472" name="Group 471"/>
        <xdr:cNvGrpSpPr/>
      </xdr:nvGrpSpPr>
      <xdr:grpSpPr>
        <a:xfrm>
          <a:off x="2283608" y="48851820"/>
          <a:ext cx="1931337" cy="1610229"/>
          <a:chOff x="2228091" y="46122771"/>
          <a:chExt cx="1875820" cy="1502461"/>
        </a:xfrm>
      </xdr:grpSpPr>
      <xdr:sp macro="" textlink="">
        <xdr:nvSpPr>
          <xdr:cNvPr id="422" name="TextBox 421"/>
          <xdr:cNvSpPr txBox="1"/>
        </xdr:nvSpPr>
        <xdr:spPr>
          <a:xfrm>
            <a:off x="3202813" y="46880492"/>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23" name="Straight Arrow Connector 422"/>
          <xdr:cNvCxnSpPr/>
        </xdr:nvCxnSpPr>
        <xdr:spPr>
          <a:xfrm>
            <a:off x="3249374" y="46639843"/>
            <a:ext cx="0" cy="70366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24" name="Straight Connector 423"/>
          <xdr:cNvCxnSpPr/>
        </xdr:nvCxnSpPr>
        <xdr:spPr>
          <a:xfrm flipV="1">
            <a:off x="2570236" y="46275345"/>
            <a:ext cx="0" cy="1970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 name="Straight Arrow Connector 424"/>
          <xdr:cNvCxnSpPr/>
        </xdr:nvCxnSpPr>
        <xdr:spPr>
          <a:xfrm>
            <a:off x="2569029" y="46369550"/>
            <a:ext cx="10287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26" name="TextBox 425"/>
          <xdr:cNvSpPr txBox="1"/>
        </xdr:nvSpPr>
        <xdr:spPr>
          <a:xfrm>
            <a:off x="3121297" y="46203237"/>
            <a:ext cx="218170" cy="174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grpSp>
        <xdr:nvGrpSpPr>
          <xdr:cNvPr id="427" name="Group 45"/>
          <xdr:cNvGrpSpPr/>
        </xdr:nvGrpSpPr>
        <xdr:grpSpPr>
          <a:xfrm>
            <a:off x="2313417" y="46122771"/>
            <a:ext cx="1790494" cy="1377043"/>
            <a:chOff x="4554332" y="11240620"/>
            <a:chExt cx="1698465" cy="1294246"/>
          </a:xfrm>
        </xdr:grpSpPr>
        <xdr:grpSp>
          <xdr:nvGrpSpPr>
            <xdr:cNvPr id="444" name="Group 49"/>
            <xdr:cNvGrpSpPr/>
          </xdr:nvGrpSpPr>
          <xdr:grpSpPr>
            <a:xfrm>
              <a:off x="4554332" y="11447857"/>
              <a:ext cx="1399009" cy="1087009"/>
              <a:chOff x="4554332" y="11447857"/>
              <a:chExt cx="1399009" cy="1087009"/>
            </a:xfrm>
          </xdr:grpSpPr>
          <xdr:cxnSp macro="">
            <xdr:nvCxnSpPr>
              <xdr:cNvPr id="447" name="Straight Connector 446"/>
              <xdr:cNvCxnSpPr/>
            </xdr:nvCxnSpPr>
            <xdr:spPr>
              <a:xfrm>
                <a:off x="5280424" y="11447857"/>
                <a:ext cx="0" cy="1087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8" name="Straight Connector 447"/>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49" name="Rectangle 448"/>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45" name="TextBox 444"/>
            <xdr:cNvSpPr txBox="1"/>
          </xdr:nvSpPr>
          <xdr:spPr>
            <a:xfrm>
              <a:off x="5169575" y="11240620"/>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Y</a:t>
              </a:r>
            </a:p>
          </xdr:txBody>
        </xdr:sp>
        <xdr:sp macro="" textlink="">
          <xdr:nvSpPr>
            <xdr:cNvPr id="446" name="TextBox 445"/>
            <xdr:cNvSpPr txBox="1"/>
          </xdr:nvSpPr>
          <xdr:spPr>
            <a:xfrm>
              <a:off x="5999714" y="11831189"/>
              <a:ext cx="25308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800">
                  <a:latin typeface="Arial" pitchFamily="34" charset="0"/>
                  <a:cs typeface="Arial" pitchFamily="34" charset="0"/>
                </a:rPr>
                <a:t>X</a:t>
              </a:r>
            </a:p>
          </xdr:txBody>
        </xdr:sp>
      </xdr:grpSp>
      <xdr:cxnSp macro="">
        <xdr:nvCxnSpPr>
          <xdr:cNvPr id="429" name="Straight Connector 428"/>
          <xdr:cNvCxnSpPr/>
        </xdr:nvCxnSpPr>
        <xdr:spPr>
          <a:xfrm>
            <a:off x="3210801" y="47337210"/>
            <a:ext cx="2236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 name="Straight Connector 429"/>
          <xdr:cNvCxnSpPr/>
        </xdr:nvCxnSpPr>
        <xdr:spPr>
          <a:xfrm>
            <a:off x="3500017" y="46639872"/>
            <a:ext cx="2987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1" name="Straight Connector 430"/>
          <xdr:cNvCxnSpPr/>
        </xdr:nvCxnSpPr>
        <xdr:spPr>
          <a:xfrm>
            <a:off x="3641271" y="46530706"/>
            <a:ext cx="1574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2" name="Straight Arrow Connector 431"/>
          <xdr:cNvCxnSpPr/>
        </xdr:nvCxnSpPr>
        <xdr:spPr>
          <a:xfrm>
            <a:off x="3716655" y="463349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33" name="TextBox 432"/>
          <xdr:cNvSpPr txBox="1"/>
        </xdr:nvSpPr>
        <xdr:spPr>
          <a:xfrm>
            <a:off x="3610911" y="46477777"/>
            <a:ext cx="216742" cy="17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434" name="Straight Connector 433"/>
          <xdr:cNvCxnSpPr/>
        </xdr:nvCxnSpPr>
        <xdr:spPr>
          <a:xfrm flipV="1">
            <a:off x="3599485" y="46296937"/>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35" name="TextBox 434"/>
          <xdr:cNvSpPr txBox="1"/>
        </xdr:nvSpPr>
        <xdr:spPr>
          <a:xfrm>
            <a:off x="3642805"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36" name="Straight Arrow Connector 435"/>
          <xdr:cNvCxnSpPr/>
        </xdr:nvCxnSpPr>
        <xdr:spPr>
          <a:xfrm rot="16200000">
            <a:off x="3395770"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7" name="Straight Arrow Connector 436"/>
          <xdr:cNvCxnSpPr/>
        </xdr:nvCxnSpPr>
        <xdr:spPr>
          <a:xfrm flipH="1">
            <a:off x="3591646"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8" name="Straight Connector 437"/>
          <xdr:cNvCxnSpPr/>
        </xdr:nvCxnSpPr>
        <xdr:spPr>
          <a:xfrm>
            <a:off x="2367833" y="46530706"/>
            <a:ext cx="1522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 name="Straight Arrow Connector 438"/>
          <xdr:cNvCxnSpPr/>
        </xdr:nvCxnSpPr>
        <xdr:spPr>
          <a:xfrm>
            <a:off x="2432877" y="46525543"/>
            <a:ext cx="0" cy="337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0" name="TextBox 439"/>
          <xdr:cNvSpPr txBox="1"/>
        </xdr:nvSpPr>
        <xdr:spPr>
          <a:xfrm>
            <a:off x="2228091" y="46579971"/>
            <a:ext cx="216742" cy="21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442" name="Straight Arrow Connector 441"/>
          <xdr:cNvCxnSpPr/>
        </xdr:nvCxnSpPr>
        <xdr:spPr>
          <a:xfrm>
            <a:off x="3088380" y="47458366"/>
            <a:ext cx="50934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43" name="TextBox 442"/>
          <xdr:cNvSpPr txBox="1"/>
        </xdr:nvSpPr>
        <xdr:spPr>
          <a:xfrm>
            <a:off x="3243634" y="47433554"/>
            <a:ext cx="219331" cy="19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453" name="Freeform 452"/>
          <xdr:cNvSpPr/>
        </xdr:nvSpPr>
        <xdr:spPr>
          <a:xfrm rot="10800000">
            <a:off x="2569996" y="46532883"/>
            <a:ext cx="1029616" cy="804672"/>
          </a:xfrm>
          <a:custGeom>
            <a:avLst/>
            <a:gdLst>
              <a:gd name="connsiteX0" fmla="*/ 0 w 3040673"/>
              <a:gd name="connsiteY0" fmla="*/ 131884 h 1267557"/>
              <a:gd name="connsiteX1" fmla="*/ 0 w 3040673"/>
              <a:gd name="connsiteY1" fmla="*/ 1267557 h 1267557"/>
              <a:gd name="connsiteX2" fmla="*/ 3033346 w 3040673"/>
              <a:gd name="connsiteY2" fmla="*/ 1260230 h 1267557"/>
              <a:gd name="connsiteX3" fmla="*/ 3040673 w 3040673"/>
              <a:gd name="connsiteY3" fmla="*/ 0 h 1267557"/>
              <a:gd name="connsiteX4" fmla="*/ 2769576 w 3040673"/>
              <a:gd name="connsiteY4" fmla="*/ 7327 h 1267557"/>
              <a:gd name="connsiteX5" fmla="*/ 2740269 w 3040673"/>
              <a:gd name="connsiteY5" fmla="*/ 1128346 h 1267557"/>
              <a:gd name="connsiteX6" fmla="*/ 622788 w 3040673"/>
              <a:gd name="connsiteY6" fmla="*/ 1106365 h 1267557"/>
              <a:gd name="connsiteX7" fmla="*/ 615461 w 3040673"/>
              <a:gd name="connsiteY7" fmla="*/ 131884 h 1267557"/>
              <a:gd name="connsiteX8" fmla="*/ 0 w 3040673"/>
              <a:gd name="connsiteY8" fmla="*/ 131884 h 1267557"/>
              <a:gd name="connsiteX0" fmla="*/ 0 w 3084724"/>
              <a:gd name="connsiteY0" fmla="*/ 131884 h 1267557"/>
              <a:gd name="connsiteX1" fmla="*/ 0 w 3084724"/>
              <a:gd name="connsiteY1" fmla="*/ 1267557 h 1267557"/>
              <a:gd name="connsiteX2" fmla="*/ 3084636 w 3084724"/>
              <a:gd name="connsiteY2" fmla="*/ 1267557 h 1267557"/>
              <a:gd name="connsiteX3" fmla="*/ 3040673 w 3084724"/>
              <a:gd name="connsiteY3" fmla="*/ 0 h 1267557"/>
              <a:gd name="connsiteX4" fmla="*/ 2769576 w 3084724"/>
              <a:gd name="connsiteY4" fmla="*/ 7327 h 1267557"/>
              <a:gd name="connsiteX5" fmla="*/ 2740269 w 3084724"/>
              <a:gd name="connsiteY5" fmla="*/ 1128346 h 1267557"/>
              <a:gd name="connsiteX6" fmla="*/ 622788 w 3084724"/>
              <a:gd name="connsiteY6" fmla="*/ 1106365 h 1267557"/>
              <a:gd name="connsiteX7" fmla="*/ 615461 w 3084724"/>
              <a:gd name="connsiteY7" fmla="*/ 131884 h 1267557"/>
              <a:gd name="connsiteX8" fmla="*/ 0 w 3084724"/>
              <a:gd name="connsiteY8" fmla="*/ 131884 h 1267557"/>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769576 w 3085340"/>
              <a:gd name="connsiteY4" fmla="*/ 29308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740269 w 3085340"/>
              <a:gd name="connsiteY5" fmla="*/ 115032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8"/>
              <a:gd name="connsiteX1" fmla="*/ 0 w 3085340"/>
              <a:gd name="connsiteY1" fmla="*/ 1289538 h 1289538"/>
              <a:gd name="connsiteX2" fmla="*/ 3084636 w 3085340"/>
              <a:gd name="connsiteY2" fmla="*/ 1289538 h 1289538"/>
              <a:gd name="connsiteX3" fmla="*/ 3084636 w 3085340"/>
              <a:gd name="connsiteY3" fmla="*/ 0 h 1289538"/>
              <a:gd name="connsiteX4" fmla="*/ 2483828 w 3085340"/>
              <a:gd name="connsiteY4" fmla="*/ 1 h 1289538"/>
              <a:gd name="connsiteX5" fmla="*/ 2483828 w 3085340"/>
              <a:gd name="connsiteY5" fmla="*/ 1128347 h 1289538"/>
              <a:gd name="connsiteX6" fmla="*/ 622788 w 3085340"/>
              <a:gd name="connsiteY6" fmla="*/ 1128346 h 1289538"/>
              <a:gd name="connsiteX7" fmla="*/ 615461 w 3085340"/>
              <a:gd name="connsiteY7" fmla="*/ 153865 h 1289538"/>
              <a:gd name="connsiteX8" fmla="*/ 0 w 3085340"/>
              <a:gd name="connsiteY8" fmla="*/ 153865 h 1289538"/>
              <a:gd name="connsiteX0" fmla="*/ 0 w 3085340"/>
              <a:gd name="connsiteY0" fmla="*/ 153865 h 1289539"/>
              <a:gd name="connsiteX1" fmla="*/ 80597 w 3085340"/>
              <a:gd name="connsiteY1" fmla="*/ 1289539 h 1289539"/>
              <a:gd name="connsiteX2" fmla="*/ 3084636 w 3085340"/>
              <a:gd name="connsiteY2" fmla="*/ 1289538 h 1289539"/>
              <a:gd name="connsiteX3" fmla="*/ 3084636 w 3085340"/>
              <a:gd name="connsiteY3" fmla="*/ 0 h 1289539"/>
              <a:gd name="connsiteX4" fmla="*/ 2483828 w 3085340"/>
              <a:gd name="connsiteY4" fmla="*/ 1 h 1289539"/>
              <a:gd name="connsiteX5" fmla="*/ 2483828 w 3085340"/>
              <a:gd name="connsiteY5" fmla="*/ 1128347 h 1289539"/>
              <a:gd name="connsiteX6" fmla="*/ 622788 w 3085340"/>
              <a:gd name="connsiteY6" fmla="*/ 1128346 h 1289539"/>
              <a:gd name="connsiteX7" fmla="*/ 615461 w 3085340"/>
              <a:gd name="connsiteY7" fmla="*/ 153865 h 1289539"/>
              <a:gd name="connsiteX8" fmla="*/ 0 w 3085340"/>
              <a:gd name="connsiteY8" fmla="*/ 153865 h 1289539"/>
              <a:gd name="connsiteX0" fmla="*/ 0 w 3004743"/>
              <a:gd name="connsiteY0" fmla="*/ 161192 h 1289539"/>
              <a:gd name="connsiteX1" fmla="*/ 0 w 3004743"/>
              <a:gd name="connsiteY1" fmla="*/ 1289539 h 1289539"/>
              <a:gd name="connsiteX2" fmla="*/ 3004039 w 3004743"/>
              <a:gd name="connsiteY2" fmla="*/ 1289538 h 1289539"/>
              <a:gd name="connsiteX3" fmla="*/ 3004039 w 3004743"/>
              <a:gd name="connsiteY3" fmla="*/ 0 h 1289539"/>
              <a:gd name="connsiteX4" fmla="*/ 2403231 w 3004743"/>
              <a:gd name="connsiteY4" fmla="*/ 1 h 1289539"/>
              <a:gd name="connsiteX5" fmla="*/ 2403231 w 3004743"/>
              <a:gd name="connsiteY5" fmla="*/ 1128347 h 1289539"/>
              <a:gd name="connsiteX6" fmla="*/ 542191 w 3004743"/>
              <a:gd name="connsiteY6" fmla="*/ 1128346 h 1289539"/>
              <a:gd name="connsiteX7" fmla="*/ 534864 w 3004743"/>
              <a:gd name="connsiteY7" fmla="*/ 153865 h 1289539"/>
              <a:gd name="connsiteX8" fmla="*/ 0 w 3004743"/>
              <a:gd name="connsiteY8" fmla="*/ 161192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534865 w 3004744"/>
              <a:gd name="connsiteY7" fmla="*/ 153865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542192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3004744"/>
              <a:gd name="connsiteY0" fmla="*/ 0 h 1289539"/>
              <a:gd name="connsiteX1" fmla="*/ 1 w 3004744"/>
              <a:gd name="connsiteY1" fmla="*/ 1289539 h 1289539"/>
              <a:gd name="connsiteX2" fmla="*/ 3004040 w 3004744"/>
              <a:gd name="connsiteY2" fmla="*/ 1289538 h 1289539"/>
              <a:gd name="connsiteX3" fmla="*/ 3004040 w 3004744"/>
              <a:gd name="connsiteY3" fmla="*/ 0 h 1289539"/>
              <a:gd name="connsiteX4" fmla="*/ 2403232 w 3004744"/>
              <a:gd name="connsiteY4" fmla="*/ 1 h 1289539"/>
              <a:gd name="connsiteX5" fmla="*/ 2403232 w 3004744"/>
              <a:gd name="connsiteY5" fmla="*/ 1128347 h 1289539"/>
              <a:gd name="connsiteX6" fmla="*/ 600809 w 3004744"/>
              <a:gd name="connsiteY6" fmla="*/ 1128346 h 1289539"/>
              <a:gd name="connsiteX7" fmla="*/ 600809 w 3004744"/>
              <a:gd name="connsiteY7" fmla="*/ 0 h 1289539"/>
              <a:gd name="connsiteX8" fmla="*/ 0 w 3004744"/>
              <a:gd name="connsiteY8" fmla="*/ 0 h 1289539"/>
              <a:gd name="connsiteX0" fmla="*/ 0 w 4205658"/>
              <a:gd name="connsiteY0" fmla="*/ 0 h 1289539"/>
              <a:gd name="connsiteX1" fmla="*/ 1 w 4205658"/>
              <a:gd name="connsiteY1" fmla="*/ 1289539 h 1289539"/>
              <a:gd name="connsiteX2" fmla="*/ 4205655 w 4205658"/>
              <a:gd name="connsiteY2" fmla="*/ 1289538 h 1289539"/>
              <a:gd name="connsiteX3" fmla="*/ 3004040 w 4205658"/>
              <a:gd name="connsiteY3" fmla="*/ 0 h 1289539"/>
              <a:gd name="connsiteX4" fmla="*/ 2403232 w 4205658"/>
              <a:gd name="connsiteY4" fmla="*/ 1 h 1289539"/>
              <a:gd name="connsiteX5" fmla="*/ 2403232 w 4205658"/>
              <a:gd name="connsiteY5" fmla="*/ 1128347 h 1289539"/>
              <a:gd name="connsiteX6" fmla="*/ 600809 w 4205658"/>
              <a:gd name="connsiteY6" fmla="*/ 1128346 h 1289539"/>
              <a:gd name="connsiteX7" fmla="*/ 600809 w 4205658"/>
              <a:gd name="connsiteY7" fmla="*/ 0 h 1289539"/>
              <a:gd name="connsiteX8" fmla="*/ 0 w 4205658"/>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2403232 w 4206359"/>
              <a:gd name="connsiteY4" fmla="*/ 1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2403232 w 4206359"/>
              <a:gd name="connsiteY5" fmla="*/ 1128347 h 1289539"/>
              <a:gd name="connsiteX6" fmla="*/ 600809 w 4206359"/>
              <a:gd name="connsiteY6" fmla="*/ 1128346 h 1289539"/>
              <a:gd name="connsiteX7" fmla="*/ 600809 w 4206359"/>
              <a:gd name="connsiteY7" fmla="*/ 0 h 1289539"/>
              <a:gd name="connsiteX8" fmla="*/ 0 w 4206359"/>
              <a:gd name="connsiteY8" fmla="*/ 0 h 1289539"/>
              <a:gd name="connsiteX0" fmla="*/ 0 w 4206359"/>
              <a:gd name="connsiteY0" fmla="*/ 0 h 1289539"/>
              <a:gd name="connsiteX1" fmla="*/ 1 w 4206359"/>
              <a:gd name="connsiteY1" fmla="*/ 1289539 h 1289539"/>
              <a:gd name="connsiteX2" fmla="*/ 4205655 w 4206359"/>
              <a:gd name="connsiteY2" fmla="*/ 1289538 h 1289539"/>
              <a:gd name="connsiteX3" fmla="*/ 4205655 w 4206359"/>
              <a:gd name="connsiteY3" fmla="*/ 0 h 1289539"/>
              <a:gd name="connsiteX4" fmla="*/ 3604846 w 4206359"/>
              <a:gd name="connsiteY4" fmla="*/ 0 h 1289539"/>
              <a:gd name="connsiteX5" fmla="*/ 3604846 w 4206359"/>
              <a:gd name="connsiteY5" fmla="*/ 1128346 h 1289539"/>
              <a:gd name="connsiteX6" fmla="*/ 600809 w 4206359"/>
              <a:gd name="connsiteY6" fmla="*/ 1128346 h 1289539"/>
              <a:gd name="connsiteX7" fmla="*/ 600809 w 4206359"/>
              <a:gd name="connsiteY7" fmla="*/ 0 h 1289539"/>
              <a:gd name="connsiteX8" fmla="*/ 0 w 4206359"/>
              <a:gd name="connsiteY8" fmla="*/ 0 h 1289539"/>
              <a:gd name="connsiteX0" fmla="*/ 0 w 5407272"/>
              <a:gd name="connsiteY0" fmla="*/ 0 h 1289539"/>
              <a:gd name="connsiteX1" fmla="*/ 1 w 5407272"/>
              <a:gd name="connsiteY1" fmla="*/ 1289539 h 1289539"/>
              <a:gd name="connsiteX2" fmla="*/ 5407269 w 5407272"/>
              <a:gd name="connsiteY2" fmla="*/ 1289538 h 1289539"/>
              <a:gd name="connsiteX3" fmla="*/ 4205655 w 5407272"/>
              <a:gd name="connsiteY3" fmla="*/ 0 h 1289539"/>
              <a:gd name="connsiteX4" fmla="*/ 3604846 w 5407272"/>
              <a:gd name="connsiteY4" fmla="*/ 0 h 1289539"/>
              <a:gd name="connsiteX5" fmla="*/ 3604846 w 5407272"/>
              <a:gd name="connsiteY5" fmla="*/ 1128346 h 1289539"/>
              <a:gd name="connsiteX6" fmla="*/ 600809 w 5407272"/>
              <a:gd name="connsiteY6" fmla="*/ 1128346 h 1289539"/>
              <a:gd name="connsiteX7" fmla="*/ 600809 w 5407272"/>
              <a:gd name="connsiteY7" fmla="*/ 0 h 1289539"/>
              <a:gd name="connsiteX8" fmla="*/ 0 w 5407272"/>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3604846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3604846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 name="connsiteX0" fmla="*/ 0 w 5407973"/>
              <a:gd name="connsiteY0" fmla="*/ 0 h 1289539"/>
              <a:gd name="connsiteX1" fmla="*/ 1 w 5407973"/>
              <a:gd name="connsiteY1" fmla="*/ 1289539 h 1289539"/>
              <a:gd name="connsiteX2" fmla="*/ 5407269 w 5407973"/>
              <a:gd name="connsiteY2" fmla="*/ 1289538 h 1289539"/>
              <a:gd name="connsiteX3" fmla="*/ 5407269 w 5407973"/>
              <a:gd name="connsiteY3" fmla="*/ 0 h 1289539"/>
              <a:gd name="connsiteX4" fmla="*/ 4806461 w 5407973"/>
              <a:gd name="connsiteY4" fmla="*/ 0 h 1289539"/>
              <a:gd name="connsiteX5" fmla="*/ 4806461 w 5407973"/>
              <a:gd name="connsiteY5" fmla="*/ 1128346 h 1289539"/>
              <a:gd name="connsiteX6" fmla="*/ 600809 w 5407973"/>
              <a:gd name="connsiteY6" fmla="*/ 1128346 h 1289539"/>
              <a:gd name="connsiteX7" fmla="*/ 600809 w 5407973"/>
              <a:gd name="connsiteY7" fmla="*/ 0 h 1289539"/>
              <a:gd name="connsiteX8" fmla="*/ 0 w 5407973"/>
              <a:gd name="connsiteY8" fmla="*/ 0 h 12895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407973" h="1289539">
                <a:moveTo>
                  <a:pt x="0" y="0"/>
                </a:moveTo>
                <a:cubicBezTo>
                  <a:pt x="0" y="429846"/>
                  <a:pt x="1" y="859693"/>
                  <a:pt x="1" y="1289539"/>
                </a:cubicBezTo>
                <a:lnTo>
                  <a:pt x="5407269" y="1289538"/>
                </a:lnTo>
                <a:cubicBezTo>
                  <a:pt x="5409711" y="869461"/>
                  <a:pt x="5404827" y="420077"/>
                  <a:pt x="5407269" y="0"/>
                </a:cubicBezTo>
                <a:lnTo>
                  <a:pt x="4806461" y="0"/>
                </a:lnTo>
                <a:lnTo>
                  <a:pt x="4806461" y="1128346"/>
                </a:lnTo>
                <a:lnTo>
                  <a:pt x="600809" y="1128346"/>
                </a:lnTo>
                <a:cubicBezTo>
                  <a:pt x="598367" y="803519"/>
                  <a:pt x="603251" y="324827"/>
                  <a:pt x="600809" y="0"/>
                </a:cubicBez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456" name="TextBox 455"/>
          <xdr:cNvSpPr txBox="1"/>
        </xdr:nvSpPr>
        <xdr:spPr>
          <a:xfrm>
            <a:off x="2722964" y="46979404"/>
            <a:ext cx="218170" cy="17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57" name="Straight Arrow Connector 456"/>
          <xdr:cNvCxnSpPr/>
        </xdr:nvCxnSpPr>
        <xdr:spPr>
          <a:xfrm rot="16200000">
            <a:off x="2475929" y="47054423"/>
            <a:ext cx="0" cy="19502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8" name="Straight Arrow Connector 457"/>
          <xdr:cNvCxnSpPr/>
        </xdr:nvCxnSpPr>
        <xdr:spPr>
          <a:xfrm flipH="1">
            <a:off x="2671805" y="47151934"/>
            <a:ext cx="1800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4" name="Straight Arrow Connector 463"/>
          <xdr:cNvCxnSpPr/>
        </xdr:nvCxnSpPr>
        <xdr:spPr>
          <a:xfrm flipV="1">
            <a:off x="3716655" y="46639747"/>
            <a:ext cx="0" cy="1957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8" name="Straight Connector 467"/>
          <xdr:cNvCxnSpPr/>
        </xdr:nvCxnSpPr>
        <xdr:spPr>
          <a:xfrm flipV="1">
            <a:off x="3599485" y="47374622"/>
            <a:ext cx="0" cy="175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313815</xdr:colOff>
      <xdr:row>330</xdr:row>
      <xdr:rowOff>115312</xdr:rowOff>
    </xdr:from>
    <xdr:to>
      <xdr:col>7</xdr:col>
      <xdr:colOff>75204</xdr:colOff>
      <xdr:row>342</xdr:row>
      <xdr:rowOff>121513</xdr:rowOff>
    </xdr:to>
    <xdr:grpSp>
      <xdr:nvGrpSpPr>
        <xdr:cNvPr id="526" name="Group 525"/>
        <xdr:cNvGrpSpPr/>
      </xdr:nvGrpSpPr>
      <xdr:grpSpPr>
        <a:xfrm>
          <a:off x="2782695" y="58202572"/>
          <a:ext cx="1613049" cy="2109321"/>
          <a:chOff x="2718878" y="53556515"/>
          <a:chExt cx="1565185" cy="1935014"/>
        </a:xfrm>
      </xdr:grpSpPr>
      <xdr:sp macro="" textlink="">
        <xdr:nvSpPr>
          <xdr:cNvPr id="476" name="TextBox 475"/>
          <xdr:cNvSpPr txBox="1"/>
        </xdr:nvSpPr>
        <xdr:spPr>
          <a:xfrm>
            <a:off x="3906916" y="54350055"/>
            <a:ext cx="215922"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477" name="Straight Arrow Connector 476"/>
          <xdr:cNvCxnSpPr/>
        </xdr:nvCxnSpPr>
        <xdr:spPr>
          <a:xfrm>
            <a:off x="3959254" y="53997803"/>
            <a:ext cx="0" cy="115790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81" name="Group 45"/>
          <xdr:cNvGrpSpPr/>
        </xdr:nvGrpSpPr>
        <xdr:grpSpPr>
          <a:xfrm>
            <a:off x="2718878" y="53556515"/>
            <a:ext cx="1565185" cy="1867082"/>
            <a:chOff x="4554332" y="11352894"/>
            <a:chExt cx="1500807" cy="1017809"/>
          </a:xfrm>
        </xdr:grpSpPr>
        <xdr:grpSp>
          <xdr:nvGrpSpPr>
            <xdr:cNvPr id="502" name="Group 49"/>
            <xdr:cNvGrpSpPr/>
          </xdr:nvGrpSpPr>
          <xdr:grpSpPr>
            <a:xfrm>
              <a:off x="4554332" y="11447857"/>
              <a:ext cx="1399009" cy="922846"/>
              <a:chOff x="4554332" y="11447857"/>
              <a:chExt cx="1399009" cy="922846"/>
            </a:xfrm>
          </xdr:grpSpPr>
          <xdr:cxnSp macro="">
            <xdr:nvCxnSpPr>
              <xdr:cNvPr id="505" name="Straight Connector 504"/>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 name="Straight Connector 505"/>
              <xdr:cNvCxnSpPr/>
            </xdr:nvCxnSpPr>
            <xdr:spPr>
              <a:xfrm>
                <a:off x="4554332" y="11930061"/>
                <a:ext cx="13990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7" name="Rectangle 506"/>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03" name="TextBox 502"/>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04" name="TextBox 50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483" name="Straight Connector 482"/>
          <xdr:cNvCxnSpPr/>
        </xdr:nvCxnSpPr>
        <xdr:spPr>
          <a:xfrm>
            <a:off x="3881528" y="53991880"/>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 name="Straight Connector 483"/>
          <xdr:cNvCxnSpPr/>
        </xdr:nvCxnSpPr>
        <xdr:spPr>
          <a:xfrm>
            <a:off x="3881437" y="53939660"/>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5" name="Straight Arrow Connector 484"/>
          <xdr:cNvCxnSpPr/>
        </xdr:nvCxnSpPr>
        <xdr:spPr>
          <a:xfrm>
            <a:off x="4098899" y="53746045"/>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6" name="TextBox 485"/>
          <xdr:cNvSpPr txBox="1"/>
        </xdr:nvSpPr>
        <xdr:spPr>
          <a:xfrm>
            <a:off x="4047133" y="53635950"/>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10" name="Group 509"/>
          <xdr:cNvGrpSpPr/>
        </xdr:nvGrpSpPr>
        <xdr:grpSpPr>
          <a:xfrm>
            <a:off x="3098750" y="53640519"/>
            <a:ext cx="749040" cy="268007"/>
            <a:chOff x="11083443" y="55237155"/>
            <a:chExt cx="1026556" cy="272925"/>
          </a:xfrm>
        </xdr:grpSpPr>
        <xdr:cxnSp macro="">
          <xdr:nvCxnSpPr>
            <xdr:cNvPr id="478" name="Straight Connector 477"/>
            <xdr:cNvCxnSpPr/>
          </xdr:nvCxnSpPr>
          <xdr:spPr>
            <a:xfrm flipV="1">
              <a:off x="11084645" y="55310285"/>
              <a:ext cx="0" cy="1997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9" name="Straight Arrow Connector 478"/>
            <xdr:cNvCxnSpPr/>
          </xdr:nvCxnSpPr>
          <xdr:spPr>
            <a:xfrm>
              <a:off x="11083443" y="55405825"/>
              <a:ext cx="102480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80" name="TextBox 479"/>
            <xdr:cNvSpPr txBox="1"/>
          </xdr:nvSpPr>
          <xdr:spPr>
            <a:xfrm>
              <a:off x="11633621" y="55237155"/>
              <a:ext cx="217344"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487" name="Straight Connector 486"/>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91" name="Straight Connector 490"/>
          <xdr:cNvCxnSpPr/>
        </xdr:nvCxnSpPr>
        <xdr:spPr>
          <a:xfrm>
            <a:off x="2911257" y="53939662"/>
            <a:ext cx="15163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2" name="Straight Arrow Connector 491"/>
          <xdr:cNvCxnSpPr/>
        </xdr:nvCxnSpPr>
        <xdr:spPr>
          <a:xfrm>
            <a:off x="2964148" y="53934425"/>
            <a:ext cx="0" cy="67954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93" name="TextBox 492"/>
          <xdr:cNvSpPr txBox="1"/>
        </xdr:nvSpPr>
        <xdr:spPr>
          <a:xfrm>
            <a:off x="2770489" y="54120594"/>
            <a:ext cx="217476" cy="21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sp macro="" textlink="">
        <xdr:nvSpPr>
          <xdr:cNvPr id="497" name="TextBox 496"/>
          <xdr:cNvSpPr txBox="1"/>
        </xdr:nvSpPr>
        <xdr:spPr>
          <a:xfrm>
            <a:off x="3576159" y="54189467"/>
            <a:ext cx="217344" cy="17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tw</a:t>
            </a:r>
          </a:p>
        </xdr:txBody>
      </xdr:sp>
      <xdr:cxnSp macro="">
        <xdr:nvCxnSpPr>
          <xdr:cNvPr id="498" name="Straight Arrow Connector 497"/>
          <xdr:cNvCxnSpPr/>
        </xdr:nvCxnSpPr>
        <xdr:spPr>
          <a:xfrm rot="16200000">
            <a:off x="3328506" y="54262383"/>
            <a:ext cx="0" cy="19428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9" name="Straight Arrow Connector 498"/>
          <xdr:cNvCxnSpPr/>
        </xdr:nvCxnSpPr>
        <xdr:spPr>
          <a:xfrm flipH="1">
            <a:off x="3523641" y="54359525"/>
            <a:ext cx="18094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0" name="Straight Arrow Connector 499"/>
          <xdr:cNvCxnSpPr/>
        </xdr:nvCxnSpPr>
        <xdr:spPr>
          <a:xfrm flipV="1">
            <a:off x="4098899" y="53991753"/>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9" name="Freeform 508"/>
          <xdr:cNvSpPr/>
        </xdr:nvSpPr>
        <xdr:spPr>
          <a:xfrm>
            <a:off x="3114002" y="53939972"/>
            <a:ext cx="733787" cy="1257663"/>
          </a:xfrm>
          <a:custGeom>
            <a:avLst/>
            <a:gdLst>
              <a:gd name="connsiteX0" fmla="*/ 33131 w 5425109"/>
              <a:gd name="connsiteY0" fmla="*/ 0 h 4000500"/>
              <a:gd name="connsiteX1" fmla="*/ 5425109 w 5425109"/>
              <a:gd name="connsiteY1" fmla="*/ 8283 h 4000500"/>
              <a:gd name="connsiteX2" fmla="*/ 5408544 w 5425109"/>
              <a:gd name="connsiteY2" fmla="*/ 198783 h 4000500"/>
              <a:gd name="connsiteX3" fmla="*/ 2998305 w 5425109"/>
              <a:gd name="connsiteY3" fmla="*/ 140805 h 4000500"/>
              <a:gd name="connsiteX4" fmla="*/ 3006587 w 5425109"/>
              <a:gd name="connsiteY4" fmla="*/ 3818283 h 4000500"/>
              <a:gd name="connsiteX5" fmla="*/ 5358848 w 5425109"/>
              <a:gd name="connsiteY5" fmla="*/ 3801718 h 4000500"/>
              <a:gd name="connsiteX6" fmla="*/ 5416826 w 5425109"/>
              <a:gd name="connsiteY6" fmla="*/ 4000500 h 4000500"/>
              <a:gd name="connsiteX7" fmla="*/ 33131 w 5425109"/>
              <a:gd name="connsiteY7" fmla="*/ 3967370 h 4000500"/>
              <a:gd name="connsiteX8" fmla="*/ 66261 w 5425109"/>
              <a:gd name="connsiteY8" fmla="*/ 3818283 h 4000500"/>
              <a:gd name="connsiteX9" fmla="*/ 2426805 w 5425109"/>
              <a:gd name="connsiteY9" fmla="*/ 3826566 h 4000500"/>
              <a:gd name="connsiteX10" fmla="*/ 2443370 w 5425109"/>
              <a:gd name="connsiteY10" fmla="*/ 165653 h 4000500"/>
              <a:gd name="connsiteX11" fmla="*/ 0 w 5425109"/>
              <a:gd name="connsiteY11" fmla="*/ 165653 h 4000500"/>
              <a:gd name="connsiteX12" fmla="*/ 33131 w 5425109"/>
              <a:gd name="connsiteY12" fmla="*/ 0 h 4000500"/>
              <a:gd name="connsiteX0" fmla="*/ 33131 w 5416826"/>
              <a:gd name="connsiteY0" fmla="*/ 0 h 4000500"/>
              <a:gd name="connsiteX1" fmla="*/ 5400261 w 5416826"/>
              <a:gd name="connsiteY1" fmla="*/ 8283 h 4000500"/>
              <a:gd name="connsiteX2" fmla="*/ 5408544 w 5416826"/>
              <a:gd name="connsiteY2" fmla="*/ 198783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2998305 w 5416826"/>
              <a:gd name="connsiteY3" fmla="*/ 14080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43370 w 5416826"/>
              <a:gd name="connsiteY10" fmla="*/ 165653 h 4000500"/>
              <a:gd name="connsiteX11" fmla="*/ 0 w 5416826"/>
              <a:gd name="connsiteY11" fmla="*/ 165653 h 4000500"/>
              <a:gd name="connsiteX12" fmla="*/ 33131 w 5416826"/>
              <a:gd name="connsiteY12" fmla="*/ 0 h 4000500"/>
              <a:gd name="connsiteX0" fmla="*/ 33131 w 5416826"/>
              <a:gd name="connsiteY0" fmla="*/ 0 h 4000500"/>
              <a:gd name="connsiteX1" fmla="*/ 5400261 w 5416826"/>
              <a:gd name="connsiteY1" fmla="*/ 8283 h 4000500"/>
              <a:gd name="connsiteX2" fmla="*/ 5400261 w 5416826"/>
              <a:gd name="connsiteY2" fmla="*/ 173935 h 4000500"/>
              <a:gd name="connsiteX3" fmla="*/ 3014870 w 5416826"/>
              <a:gd name="connsiteY3" fmla="*/ 173935 h 4000500"/>
              <a:gd name="connsiteX4" fmla="*/ 3006587 w 5416826"/>
              <a:gd name="connsiteY4" fmla="*/ 3818283 h 4000500"/>
              <a:gd name="connsiteX5" fmla="*/ 5358848 w 5416826"/>
              <a:gd name="connsiteY5" fmla="*/ 3801718 h 4000500"/>
              <a:gd name="connsiteX6" fmla="*/ 5416826 w 5416826"/>
              <a:gd name="connsiteY6" fmla="*/ 4000500 h 4000500"/>
              <a:gd name="connsiteX7" fmla="*/ 33131 w 5416826"/>
              <a:gd name="connsiteY7" fmla="*/ 3967370 h 4000500"/>
              <a:gd name="connsiteX8" fmla="*/ 66261 w 5416826"/>
              <a:gd name="connsiteY8" fmla="*/ 3818283 h 4000500"/>
              <a:gd name="connsiteX9" fmla="*/ 2426805 w 5416826"/>
              <a:gd name="connsiteY9" fmla="*/ 3826566 h 4000500"/>
              <a:gd name="connsiteX10" fmla="*/ 2418522 w 5416826"/>
              <a:gd name="connsiteY10" fmla="*/ 173935 h 4000500"/>
              <a:gd name="connsiteX11" fmla="*/ 0 w 5416826"/>
              <a:gd name="connsiteY11" fmla="*/ 165653 h 4000500"/>
              <a:gd name="connsiteX12" fmla="*/ 33131 w 5416826"/>
              <a:gd name="connsiteY12" fmla="*/ 0 h 4000500"/>
              <a:gd name="connsiteX0" fmla="*/ 0 w 5383695"/>
              <a:gd name="connsiteY0" fmla="*/ 0 h 4000500"/>
              <a:gd name="connsiteX1" fmla="*/ 5367130 w 5383695"/>
              <a:gd name="connsiteY1" fmla="*/ 8283 h 4000500"/>
              <a:gd name="connsiteX2" fmla="*/ 5367130 w 5383695"/>
              <a:gd name="connsiteY2" fmla="*/ 173935 h 4000500"/>
              <a:gd name="connsiteX3" fmla="*/ 2981739 w 5383695"/>
              <a:gd name="connsiteY3" fmla="*/ 173935 h 4000500"/>
              <a:gd name="connsiteX4" fmla="*/ 2973456 w 5383695"/>
              <a:gd name="connsiteY4" fmla="*/ 3818283 h 4000500"/>
              <a:gd name="connsiteX5" fmla="*/ 5325717 w 5383695"/>
              <a:gd name="connsiteY5" fmla="*/ 3801718 h 4000500"/>
              <a:gd name="connsiteX6" fmla="*/ 5383695 w 5383695"/>
              <a:gd name="connsiteY6" fmla="*/ 4000500 h 4000500"/>
              <a:gd name="connsiteX7" fmla="*/ 0 w 5383695"/>
              <a:gd name="connsiteY7" fmla="*/ 3967370 h 4000500"/>
              <a:gd name="connsiteX8" fmla="*/ 33130 w 5383695"/>
              <a:gd name="connsiteY8" fmla="*/ 3818283 h 4000500"/>
              <a:gd name="connsiteX9" fmla="*/ 2393674 w 5383695"/>
              <a:gd name="connsiteY9" fmla="*/ 3826566 h 4000500"/>
              <a:gd name="connsiteX10" fmla="*/ 2385391 w 5383695"/>
              <a:gd name="connsiteY10" fmla="*/ 173935 h 4000500"/>
              <a:gd name="connsiteX11" fmla="*/ 0 w 5383695"/>
              <a:gd name="connsiteY11" fmla="*/ 173935 h 4000500"/>
              <a:gd name="connsiteX12" fmla="*/ 0 w 5383695"/>
              <a:gd name="connsiteY12" fmla="*/ 0 h 4000500"/>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25717 w 5383695"/>
              <a:gd name="connsiteY5" fmla="*/ 3793435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83695"/>
              <a:gd name="connsiteY0" fmla="*/ 0 h 3992217"/>
              <a:gd name="connsiteX1" fmla="*/ 5367130 w 5383695"/>
              <a:gd name="connsiteY1" fmla="*/ 0 h 3992217"/>
              <a:gd name="connsiteX2" fmla="*/ 5367130 w 5383695"/>
              <a:gd name="connsiteY2" fmla="*/ 165652 h 3992217"/>
              <a:gd name="connsiteX3" fmla="*/ 2981739 w 5383695"/>
              <a:gd name="connsiteY3" fmla="*/ 165652 h 3992217"/>
              <a:gd name="connsiteX4" fmla="*/ 2973456 w 5383695"/>
              <a:gd name="connsiteY4" fmla="*/ 3810000 h 3992217"/>
              <a:gd name="connsiteX5" fmla="*/ 5367130 w 5383695"/>
              <a:gd name="connsiteY5" fmla="*/ 3810000 h 3992217"/>
              <a:gd name="connsiteX6" fmla="*/ 5383695 w 5383695"/>
              <a:gd name="connsiteY6" fmla="*/ 3992217 h 3992217"/>
              <a:gd name="connsiteX7" fmla="*/ 0 w 5383695"/>
              <a:gd name="connsiteY7" fmla="*/ 3959087 h 3992217"/>
              <a:gd name="connsiteX8" fmla="*/ 33130 w 5383695"/>
              <a:gd name="connsiteY8" fmla="*/ 3810000 h 3992217"/>
              <a:gd name="connsiteX9" fmla="*/ 2393674 w 5383695"/>
              <a:gd name="connsiteY9" fmla="*/ 3818283 h 3992217"/>
              <a:gd name="connsiteX10" fmla="*/ 2385391 w 5383695"/>
              <a:gd name="connsiteY10" fmla="*/ 165652 h 3992217"/>
              <a:gd name="connsiteX11" fmla="*/ 0 w 5383695"/>
              <a:gd name="connsiteY11" fmla="*/ 165652 h 3992217"/>
              <a:gd name="connsiteX12" fmla="*/ 0 w 5383695"/>
              <a:gd name="connsiteY12" fmla="*/ 0 h 3992217"/>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73456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59087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3313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93674 w 5367130"/>
              <a:gd name="connsiteY9" fmla="*/ 3818283 h 3975652"/>
              <a:gd name="connsiteX10" fmla="*/ 2385391 w 5367130"/>
              <a:gd name="connsiteY10" fmla="*/ 165652 h 3975652"/>
              <a:gd name="connsiteX11" fmla="*/ 0 w 5367130"/>
              <a:gd name="connsiteY11" fmla="*/ 165652 h 3975652"/>
              <a:gd name="connsiteX12" fmla="*/ 0 w 5367130"/>
              <a:gd name="connsiteY12" fmla="*/ 0 h 3975652"/>
              <a:gd name="connsiteX0" fmla="*/ 0 w 5367130"/>
              <a:gd name="connsiteY0" fmla="*/ 0 h 3975652"/>
              <a:gd name="connsiteX1" fmla="*/ 5367130 w 5367130"/>
              <a:gd name="connsiteY1" fmla="*/ 0 h 3975652"/>
              <a:gd name="connsiteX2" fmla="*/ 5367130 w 5367130"/>
              <a:gd name="connsiteY2" fmla="*/ 165652 h 3975652"/>
              <a:gd name="connsiteX3" fmla="*/ 2981739 w 5367130"/>
              <a:gd name="connsiteY3" fmla="*/ 165652 h 3975652"/>
              <a:gd name="connsiteX4" fmla="*/ 2981739 w 5367130"/>
              <a:gd name="connsiteY4" fmla="*/ 3810000 h 3975652"/>
              <a:gd name="connsiteX5" fmla="*/ 5367130 w 5367130"/>
              <a:gd name="connsiteY5" fmla="*/ 3810000 h 3975652"/>
              <a:gd name="connsiteX6" fmla="*/ 5367130 w 5367130"/>
              <a:gd name="connsiteY6" fmla="*/ 3975652 h 3975652"/>
              <a:gd name="connsiteX7" fmla="*/ 0 w 5367130"/>
              <a:gd name="connsiteY7" fmla="*/ 3975652 h 3975652"/>
              <a:gd name="connsiteX8" fmla="*/ 0 w 5367130"/>
              <a:gd name="connsiteY8" fmla="*/ 3810000 h 3975652"/>
              <a:gd name="connsiteX9" fmla="*/ 2385391 w 5367130"/>
              <a:gd name="connsiteY9" fmla="*/ 3810000 h 3975652"/>
              <a:gd name="connsiteX10" fmla="*/ 2385391 w 5367130"/>
              <a:gd name="connsiteY10" fmla="*/ 165652 h 3975652"/>
              <a:gd name="connsiteX11" fmla="*/ 0 w 5367130"/>
              <a:gd name="connsiteY11" fmla="*/ 165652 h 3975652"/>
              <a:gd name="connsiteX12" fmla="*/ 0 w 5367130"/>
              <a:gd name="connsiteY12" fmla="*/ 0 h 39756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5367130" h="3975652">
                <a:moveTo>
                  <a:pt x="0" y="0"/>
                </a:moveTo>
                <a:lnTo>
                  <a:pt x="5367130" y="0"/>
                </a:lnTo>
                <a:lnTo>
                  <a:pt x="5367130" y="165652"/>
                </a:lnTo>
                <a:lnTo>
                  <a:pt x="2981739" y="165652"/>
                </a:lnTo>
                <a:cubicBezTo>
                  <a:pt x="2984500" y="1391478"/>
                  <a:pt x="2978978" y="2584174"/>
                  <a:pt x="2981739" y="3810000"/>
                </a:cubicBezTo>
                <a:lnTo>
                  <a:pt x="5367130" y="3810000"/>
                </a:lnTo>
                <a:lnTo>
                  <a:pt x="5367130" y="3975652"/>
                </a:lnTo>
                <a:lnTo>
                  <a:pt x="0" y="3975652"/>
                </a:lnTo>
                <a:lnTo>
                  <a:pt x="0" y="3810000"/>
                </a:lnTo>
                <a:lnTo>
                  <a:pt x="2385391" y="3810000"/>
                </a:lnTo>
                <a:cubicBezTo>
                  <a:pt x="2390913" y="2589696"/>
                  <a:pt x="2379869" y="1385956"/>
                  <a:pt x="2385391" y="165652"/>
                </a:cubicBezTo>
                <a:lnTo>
                  <a:pt x="0" y="165652"/>
                </a:lnTo>
                <a:lnTo>
                  <a:pt x="0" y="0"/>
                </a:lnTo>
                <a:close/>
              </a:path>
            </a:pathLst>
          </a:cu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3" name="Straight Connector 512"/>
          <xdr:cNvCxnSpPr/>
        </xdr:nvCxnSpPr>
        <xdr:spPr>
          <a:xfrm>
            <a:off x="3881528" y="55194411"/>
            <a:ext cx="29912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 name="Straight Connector 513"/>
          <xdr:cNvCxnSpPr/>
        </xdr:nvCxnSpPr>
        <xdr:spPr>
          <a:xfrm>
            <a:off x="3881437" y="55142191"/>
            <a:ext cx="2992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 name="Straight Arrow Connector 514"/>
          <xdr:cNvCxnSpPr/>
        </xdr:nvCxnSpPr>
        <xdr:spPr>
          <a:xfrm>
            <a:off x="4098899" y="54948576"/>
            <a:ext cx="0" cy="1936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6" name="TextBox 515"/>
          <xdr:cNvSpPr txBox="1"/>
        </xdr:nvSpPr>
        <xdr:spPr>
          <a:xfrm>
            <a:off x="4047133" y="54838481"/>
            <a:ext cx="215922" cy="1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517" name="Straight Arrow Connector 516"/>
          <xdr:cNvCxnSpPr/>
        </xdr:nvCxnSpPr>
        <xdr:spPr>
          <a:xfrm flipV="1">
            <a:off x="4098899" y="55194284"/>
            <a:ext cx="0" cy="19361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8" name="Straight Arrow Connector 517"/>
          <xdr:cNvCxnSpPr/>
        </xdr:nvCxnSpPr>
        <xdr:spPr>
          <a:xfrm>
            <a:off x="3469895" y="55339122"/>
            <a:ext cx="37582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19" name="TextBox 518"/>
          <xdr:cNvSpPr txBox="1"/>
        </xdr:nvSpPr>
        <xdr:spPr>
          <a:xfrm>
            <a:off x="3536818" y="55306969"/>
            <a:ext cx="218501" cy="18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20" name="Straight Connector 519"/>
          <xdr:cNvCxnSpPr/>
        </xdr:nvCxnSpPr>
        <xdr:spPr>
          <a:xfrm flipV="1">
            <a:off x="3845248" y="55229342"/>
            <a:ext cx="0" cy="1729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168005</xdr:colOff>
      <xdr:row>383</xdr:row>
      <xdr:rowOff>157070</xdr:rowOff>
    </xdr:from>
    <xdr:to>
      <xdr:col>7</xdr:col>
      <xdr:colOff>179981</xdr:colOff>
      <xdr:row>392</xdr:row>
      <xdr:rowOff>123824</xdr:rowOff>
    </xdr:to>
    <xdr:grpSp>
      <xdr:nvGrpSpPr>
        <xdr:cNvPr id="21" name="Group 20"/>
        <xdr:cNvGrpSpPr/>
      </xdr:nvGrpSpPr>
      <xdr:grpSpPr>
        <a:xfrm>
          <a:off x="2636885" y="67555970"/>
          <a:ext cx="1863636" cy="1544094"/>
          <a:chOff x="2568305" y="62593445"/>
          <a:chExt cx="1812201" cy="1424079"/>
        </a:xfrm>
      </xdr:grpSpPr>
      <xdr:cxnSp macro="">
        <xdr:nvCxnSpPr>
          <xdr:cNvPr id="399" name="Straight Arrow Connector 398"/>
          <xdr:cNvCxnSpPr/>
        </xdr:nvCxnSpPr>
        <xdr:spPr>
          <a:xfrm flipH="1">
            <a:off x="2576146" y="62796399"/>
            <a:ext cx="644039" cy="63424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nvGrpSpPr>
          <xdr:cNvPr id="400" name="Group 45"/>
          <xdr:cNvGrpSpPr/>
        </xdr:nvGrpSpPr>
        <xdr:grpSpPr>
          <a:xfrm>
            <a:off x="2568305" y="62593445"/>
            <a:ext cx="1812201" cy="1292188"/>
            <a:chOff x="4554332" y="11516314"/>
            <a:chExt cx="1741136" cy="699763"/>
          </a:xfrm>
        </xdr:grpSpPr>
        <xdr:grpSp>
          <xdr:nvGrpSpPr>
            <xdr:cNvPr id="470" name="Group 49"/>
            <xdr:cNvGrpSpPr/>
          </xdr:nvGrpSpPr>
          <xdr:grpSpPr>
            <a:xfrm>
              <a:off x="4554332" y="11630158"/>
              <a:ext cx="1603722" cy="585919"/>
              <a:chOff x="4554332" y="11630158"/>
              <a:chExt cx="1603722" cy="585919"/>
            </a:xfrm>
          </xdr:grpSpPr>
          <xdr:cxnSp macro="">
            <xdr:nvCxnSpPr>
              <xdr:cNvPr id="482" name="Straight Connector 481"/>
              <xdr:cNvCxnSpPr/>
            </xdr:nvCxnSpPr>
            <xdr:spPr>
              <a:xfrm>
                <a:off x="5280424" y="11630158"/>
                <a:ext cx="0" cy="5859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8" name="Straight Connector 487"/>
              <xdr:cNvCxnSpPr/>
            </xdr:nvCxnSpPr>
            <xdr:spPr>
              <a:xfrm>
                <a:off x="4554332" y="11930061"/>
                <a:ext cx="1603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9" name="Rectangle 48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71" name="TextBox 470"/>
            <xdr:cNvSpPr txBox="1"/>
          </xdr:nvSpPr>
          <xdr:spPr>
            <a:xfrm>
              <a:off x="5169575" y="1151631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475" name="TextBox 474"/>
            <xdr:cNvSpPr txBox="1"/>
          </xdr:nvSpPr>
          <xdr:spPr>
            <a:xfrm>
              <a:off x="6115136"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459" name="TextBox 458"/>
          <xdr:cNvSpPr txBox="1"/>
        </xdr:nvSpPr>
        <xdr:spPr>
          <a:xfrm>
            <a:off x="2957553" y="63567424"/>
            <a:ext cx="215001" cy="17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sp macro="" textlink="">
        <xdr:nvSpPr>
          <xdr:cNvPr id="462" name="TextBox 461"/>
          <xdr:cNvSpPr txBox="1"/>
        </xdr:nvSpPr>
        <xdr:spPr>
          <a:xfrm>
            <a:off x="3516685" y="63649293"/>
            <a:ext cx="217576" cy="185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sp macro="" textlink="">
        <xdr:nvSpPr>
          <xdr:cNvPr id="2" name="L-Shape 1"/>
          <xdr:cNvSpPr/>
        </xdr:nvSpPr>
        <xdr:spPr>
          <a:xfrm rot="8100000">
            <a:off x="2867025" y="63103124"/>
            <a:ext cx="914400" cy="914400"/>
          </a:xfrm>
          <a:prstGeom prst="corner">
            <a:avLst>
              <a:gd name="adj1" fmla="val 20537"/>
              <a:gd name="adj2" fmla="val 20303"/>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490" name="Straight Connector 489"/>
          <xdr:cNvCxnSpPr/>
        </xdr:nvCxnSpPr>
        <xdr:spPr>
          <a:xfrm>
            <a:off x="3867595" y="63696653"/>
            <a:ext cx="2989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4" name="Straight Connector 493"/>
          <xdr:cNvCxnSpPr/>
        </xdr:nvCxnSpPr>
        <xdr:spPr>
          <a:xfrm>
            <a:off x="3359395" y="62924396"/>
            <a:ext cx="807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5" name="Straight Arrow Connector 494"/>
          <xdr:cNvCxnSpPr/>
        </xdr:nvCxnSpPr>
        <xdr:spPr>
          <a:xfrm>
            <a:off x="4072130" y="62922150"/>
            <a:ext cx="0" cy="44154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6" name="Straight Arrow Connector 495"/>
          <xdr:cNvCxnSpPr/>
        </xdr:nvCxnSpPr>
        <xdr:spPr>
          <a:xfrm>
            <a:off x="4072130" y="63355904"/>
            <a:ext cx="0" cy="33850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01" name="TextBox 500"/>
          <xdr:cNvSpPr txBox="1"/>
        </xdr:nvSpPr>
        <xdr:spPr>
          <a:xfrm>
            <a:off x="4054488" y="63029018"/>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ẏ₁</a:t>
            </a:r>
          </a:p>
        </xdr:txBody>
      </xdr:sp>
      <xdr:sp macro="" textlink="">
        <xdr:nvSpPr>
          <xdr:cNvPr id="508" name="TextBox 507"/>
          <xdr:cNvSpPr txBox="1"/>
        </xdr:nvSpPr>
        <xdr:spPr>
          <a:xfrm>
            <a:off x="4054488" y="63441524"/>
            <a:ext cx="216552" cy="2122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ẏ₂</a:t>
            </a:r>
          </a:p>
        </xdr:txBody>
      </xdr:sp>
      <xdr:cxnSp macro="">
        <xdr:nvCxnSpPr>
          <xdr:cNvPr id="523" name="Straight Arrow Connector 522"/>
          <xdr:cNvCxnSpPr/>
        </xdr:nvCxnSpPr>
        <xdr:spPr>
          <a:xfrm>
            <a:off x="3320789" y="63823936"/>
            <a:ext cx="6449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4" name="TextBox 523"/>
          <xdr:cNvSpPr txBox="1"/>
        </xdr:nvSpPr>
        <xdr:spPr>
          <a:xfrm>
            <a:off x="2759599" y="62950915"/>
            <a:ext cx="136929" cy="1747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525" name="Straight Connector 524"/>
          <xdr:cNvCxnSpPr/>
        </xdr:nvCxnSpPr>
        <xdr:spPr>
          <a:xfrm flipV="1">
            <a:off x="3966795" y="63319261"/>
            <a:ext cx="0" cy="608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 name="Straight Connector 526"/>
          <xdr:cNvCxnSpPr/>
        </xdr:nvCxnSpPr>
        <xdr:spPr>
          <a:xfrm rot="8100000" flipV="1">
            <a:off x="2597192" y="63376344"/>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 name="Straight Connector 527"/>
          <xdr:cNvCxnSpPr/>
        </xdr:nvCxnSpPr>
        <xdr:spPr>
          <a:xfrm rot="8100000" flipV="1">
            <a:off x="3241229" y="62743297"/>
            <a:ext cx="0" cy="175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 name="Straight Connector 528"/>
          <xdr:cNvCxnSpPr/>
        </xdr:nvCxnSpPr>
        <xdr:spPr>
          <a:xfrm>
            <a:off x="2727214" y="63189448"/>
            <a:ext cx="159003" cy="159736"/>
          </a:xfrm>
          <a:prstGeom prst="line">
            <a:avLst/>
          </a:prstGeom>
          <a:ln>
            <a:solidFill>
              <a:schemeClr val="tx1"/>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530" name="Straight Connector 529"/>
          <xdr:cNvCxnSpPr/>
        </xdr:nvCxnSpPr>
        <xdr:spPr>
          <a:xfrm rot="8100000" flipV="1">
            <a:off x="3080403" y="63464634"/>
            <a:ext cx="0" cy="174323"/>
          </a:xfrm>
          <a:prstGeom prst="line">
            <a:avLst/>
          </a:prstGeom>
          <a:ln>
            <a:solidFill>
              <a:schemeClr val="tx1"/>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308965</xdr:colOff>
      <xdr:row>435</xdr:row>
      <xdr:rowOff>124558</xdr:rowOff>
    </xdr:from>
    <xdr:to>
      <xdr:col>7</xdr:col>
      <xdr:colOff>409377</xdr:colOff>
      <xdr:row>448</xdr:row>
      <xdr:rowOff>36521</xdr:rowOff>
    </xdr:to>
    <xdr:grpSp>
      <xdr:nvGrpSpPr>
        <xdr:cNvPr id="272" name="Group 271"/>
        <xdr:cNvGrpSpPr/>
      </xdr:nvGrpSpPr>
      <xdr:grpSpPr>
        <a:xfrm>
          <a:off x="2777845" y="76659838"/>
          <a:ext cx="1952072" cy="2190343"/>
          <a:chOff x="2694356" y="72580819"/>
          <a:chExt cx="1889456" cy="2065441"/>
        </a:xfrm>
      </xdr:grpSpPr>
      <xdr:sp macro="" textlink="">
        <xdr:nvSpPr>
          <xdr:cNvPr id="542" name="TextBox 541"/>
          <xdr:cNvSpPr txBox="1"/>
        </xdr:nvSpPr>
        <xdr:spPr>
          <a:xfrm>
            <a:off x="3314142" y="74456856"/>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46" name="Straight Arrow Connector 545"/>
          <xdr:cNvCxnSpPr/>
        </xdr:nvCxnSpPr>
        <xdr:spPr>
          <a:xfrm>
            <a:off x="2873190" y="73666382"/>
            <a:ext cx="0" cy="45345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48" name="TextBox 547"/>
          <xdr:cNvSpPr txBox="1"/>
        </xdr:nvSpPr>
        <xdr:spPr>
          <a:xfrm>
            <a:off x="2694356" y="7377325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cxnSp macro="">
        <xdr:nvCxnSpPr>
          <xdr:cNvPr id="550" name="Straight Arrow Connector 549"/>
          <xdr:cNvCxnSpPr/>
        </xdr:nvCxnSpPr>
        <xdr:spPr>
          <a:xfrm>
            <a:off x="3260163" y="74454919"/>
            <a:ext cx="32414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1" name="L-Shape 210"/>
          <xdr:cNvSpPr/>
        </xdr:nvSpPr>
        <xdr:spPr>
          <a:xfrm>
            <a:off x="3257964" y="72787566"/>
            <a:ext cx="910673" cy="1325218"/>
          </a:xfrm>
          <a:prstGeom prst="corner">
            <a:avLst>
              <a:gd name="adj1" fmla="val 15625"/>
              <a:gd name="adj2" fmla="val 1562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nvGrpSpPr>
          <xdr:cNvPr id="560" name="Group 45"/>
          <xdr:cNvGrpSpPr/>
        </xdr:nvGrpSpPr>
        <xdr:grpSpPr>
          <a:xfrm>
            <a:off x="2759065" y="72580819"/>
            <a:ext cx="1640554" cy="1926325"/>
            <a:chOff x="4470070" y="11352894"/>
            <a:chExt cx="1585069" cy="1017809"/>
          </a:xfrm>
        </xdr:grpSpPr>
        <xdr:grpSp>
          <xdr:nvGrpSpPr>
            <xdr:cNvPr id="586" name="Group 49"/>
            <xdr:cNvGrpSpPr/>
          </xdr:nvGrpSpPr>
          <xdr:grpSpPr>
            <a:xfrm>
              <a:off x="4470070" y="11447857"/>
              <a:ext cx="1483271" cy="922846"/>
              <a:chOff x="4470070" y="11447857"/>
              <a:chExt cx="1483271" cy="922846"/>
            </a:xfrm>
          </xdr:grpSpPr>
          <xdr:cxnSp macro="">
            <xdr:nvCxnSpPr>
              <xdr:cNvPr id="589" name="Straight Connector 588"/>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0" name="Straight Connector 58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1" name="Rectangle 59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87" name="TextBox 58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88" name="TextBox 58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561" name="Straight Connector 560"/>
          <xdr:cNvCxnSpPr/>
        </xdr:nvCxnSpPr>
        <xdr:spPr>
          <a:xfrm>
            <a:off x="4201690" y="74105821"/>
            <a:ext cx="2999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 name="Straight Connector 561"/>
          <xdr:cNvCxnSpPr/>
        </xdr:nvCxnSpPr>
        <xdr:spPr>
          <a:xfrm>
            <a:off x="4201600" y="73972619"/>
            <a:ext cx="299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 name="Straight Arrow Connector 562"/>
          <xdr:cNvCxnSpPr/>
        </xdr:nvCxnSpPr>
        <xdr:spPr>
          <a:xfrm>
            <a:off x="4420030" y="73769388"/>
            <a:ext cx="0" cy="203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64" name="TextBox 563"/>
          <xdr:cNvSpPr txBox="1"/>
        </xdr:nvSpPr>
        <xdr:spPr>
          <a:xfrm>
            <a:off x="4368383" y="73659214"/>
            <a:ext cx="215429" cy="17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grpSp>
        <xdr:nvGrpSpPr>
          <xdr:cNvPr id="565" name="Group 564"/>
          <xdr:cNvGrpSpPr/>
        </xdr:nvGrpSpPr>
        <xdr:grpSpPr>
          <a:xfrm>
            <a:off x="3256866" y="74171634"/>
            <a:ext cx="917574" cy="325773"/>
            <a:chOff x="11092691" y="55307204"/>
            <a:chExt cx="1017308" cy="322024"/>
          </a:xfrm>
        </xdr:grpSpPr>
        <xdr:cxnSp macro="">
          <xdr:nvCxnSpPr>
            <xdr:cNvPr id="582" name="Straight Connector 581"/>
            <xdr:cNvCxnSpPr/>
          </xdr:nvCxnSpPr>
          <xdr:spPr>
            <a:xfrm flipV="1">
              <a:off x="11092691" y="55307204"/>
              <a:ext cx="0" cy="3220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3" name="Straight Arrow Connector 582"/>
            <xdr:cNvCxnSpPr/>
          </xdr:nvCxnSpPr>
          <xdr:spPr>
            <a:xfrm>
              <a:off x="11104360" y="55405825"/>
              <a:ext cx="1003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84" name="TextBox 583"/>
            <xdr:cNvSpPr txBox="1"/>
          </xdr:nvSpPr>
          <xdr:spPr>
            <a:xfrm>
              <a:off x="11455545" y="55410471"/>
              <a:ext cx="217343"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85" name="Straight Connector 584"/>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2" name="Straight Arrow Connector 571"/>
          <xdr:cNvCxnSpPr/>
        </xdr:nvCxnSpPr>
        <xdr:spPr>
          <a:xfrm flipV="1">
            <a:off x="4420030" y="74105694"/>
            <a:ext cx="0" cy="2032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92" name="TextBox 591"/>
          <xdr:cNvSpPr txBox="1"/>
        </xdr:nvSpPr>
        <xdr:spPr>
          <a:xfrm>
            <a:off x="2842591" y="73296475"/>
            <a:ext cx="272498" cy="210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93" name="Straight Arrow Connector 592"/>
          <xdr:cNvCxnSpPr/>
        </xdr:nvCxnSpPr>
        <xdr:spPr>
          <a:xfrm>
            <a:off x="3053008" y="72797090"/>
            <a:ext cx="0" cy="130683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xdr:cNvCxnSpPr/>
        </xdr:nvCxnSpPr>
        <xdr:spPr>
          <a:xfrm>
            <a:off x="2918791" y="72787565"/>
            <a:ext cx="294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xdr:cNvCxnSpPr/>
        </xdr:nvCxnSpPr>
        <xdr:spPr>
          <a:xfrm>
            <a:off x="2722429" y="74112783"/>
            <a:ext cx="49116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377815</xdr:colOff>
      <xdr:row>501</xdr:row>
      <xdr:rowOff>143354</xdr:rowOff>
    </xdr:from>
    <xdr:to>
      <xdr:col>23</xdr:col>
      <xdr:colOff>262985</xdr:colOff>
      <xdr:row>501</xdr:row>
      <xdr:rowOff>143354</xdr:rowOff>
    </xdr:to>
    <xdr:cxnSp macro="">
      <xdr:nvCxnSpPr>
        <xdr:cNvPr id="639" name="Straight Arrow Connector 638"/>
        <xdr:cNvCxnSpPr/>
      </xdr:nvCxnSpPr>
      <xdr:spPr>
        <a:xfrm>
          <a:off x="10714511" y="83565789"/>
          <a:ext cx="32414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375616</xdr:colOff>
      <xdr:row>491</xdr:row>
      <xdr:rowOff>132523</xdr:rowOff>
    </xdr:from>
    <xdr:to>
      <xdr:col>24</xdr:col>
      <xdr:colOff>408333</xdr:colOff>
      <xdr:row>499</xdr:row>
      <xdr:rowOff>132524</xdr:rowOff>
    </xdr:to>
    <xdr:sp macro="" textlink="">
      <xdr:nvSpPr>
        <xdr:cNvPr id="640" name="L-Shape 639"/>
        <xdr:cNvSpPr/>
      </xdr:nvSpPr>
      <xdr:spPr>
        <a:xfrm>
          <a:off x="10712312" y="81898436"/>
          <a:ext cx="910673" cy="1325218"/>
        </a:xfrm>
        <a:prstGeom prst="corner">
          <a:avLst>
            <a:gd name="adj1" fmla="val 15625"/>
            <a:gd name="adj2" fmla="val 1562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25</xdr:col>
      <xdr:colOff>2408</xdr:colOff>
      <xdr:row>499</xdr:row>
      <xdr:rowOff>125561</xdr:rowOff>
    </xdr:from>
    <xdr:to>
      <xdr:col>25</xdr:col>
      <xdr:colOff>302315</xdr:colOff>
      <xdr:row>499</xdr:row>
      <xdr:rowOff>125561</xdr:rowOff>
    </xdr:to>
    <xdr:cxnSp macro="">
      <xdr:nvCxnSpPr>
        <xdr:cNvPr id="642" name="Straight Connector 641"/>
        <xdr:cNvCxnSpPr/>
      </xdr:nvCxnSpPr>
      <xdr:spPr>
        <a:xfrm>
          <a:off x="11656038" y="83216691"/>
          <a:ext cx="2999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2318</xdr:colOff>
      <xdr:row>498</xdr:row>
      <xdr:rowOff>158011</xdr:rowOff>
    </xdr:from>
    <xdr:to>
      <xdr:col>25</xdr:col>
      <xdr:colOff>302315</xdr:colOff>
      <xdr:row>498</xdr:row>
      <xdr:rowOff>158011</xdr:rowOff>
    </xdr:to>
    <xdr:cxnSp macro="">
      <xdr:nvCxnSpPr>
        <xdr:cNvPr id="643" name="Straight Connector 642"/>
        <xdr:cNvCxnSpPr/>
      </xdr:nvCxnSpPr>
      <xdr:spPr>
        <a:xfrm>
          <a:off x="11655948" y="83083489"/>
          <a:ext cx="299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220748</xdr:colOff>
      <xdr:row>497</xdr:row>
      <xdr:rowOff>120432</xdr:rowOff>
    </xdr:from>
    <xdr:to>
      <xdr:col>25</xdr:col>
      <xdr:colOff>220748</xdr:colOff>
      <xdr:row>498</xdr:row>
      <xdr:rowOff>158010</xdr:rowOff>
    </xdr:to>
    <xdr:cxnSp macro="">
      <xdr:nvCxnSpPr>
        <xdr:cNvPr id="644" name="Straight Arrow Connector 643"/>
        <xdr:cNvCxnSpPr/>
      </xdr:nvCxnSpPr>
      <xdr:spPr>
        <a:xfrm>
          <a:off x="11874378" y="82880258"/>
          <a:ext cx="0" cy="203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169101</xdr:colOff>
      <xdr:row>497</xdr:row>
      <xdr:rowOff>10258</xdr:rowOff>
    </xdr:from>
    <xdr:to>
      <xdr:col>25</xdr:col>
      <xdr:colOff>384530</xdr:colOff>
      <xdr:row>498</xdr:row>
      <xdr:rowOff>20013</xdr:rowOff>
    </xdr:to>
    <xdr:sp macro="" textlink="">
      <xdr:nvSpPr>
        <xdr:cNvPr id="645" name="TextBox 644"/>
        <xdr:cNvSpPr txBox="1"/>
      </xdr:nvSpPr>
      <xdr:spPr>
        <a:xfrm>
          <a:off x="11822731" y="82770084"/>
          <a:ext cx="215429" cy="17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lientData/>
  </xdr:twoCellAnchor>
  <xdr:twoCellAnchor>
    <xdr:from>
      <xdr:col>22</xdr:col>
      <xdr:colOff>374518</xdr:colOff>
      <xdr:row>500</xdr:row>
      <xdr:rowOff>25721</xdr:rowOff>
    </xdr:from>
    <xdr:to>
      <xdr:col>22</xdr:col>
      <xdr:colOff>374518</xdr:colOff>
      <xdr:row>502</xdr:row>
      <xdr:rowOff>20190</xdr:rowOff>
    </xdr:to>
    <xdr:cxnSp macro="">
      <xdr:nvCxnSpPr>
        <xdr:cNvPr id="652" name="Straight Connector 651"/>
        <xdr:cNvCxnSpPr/>
      </xdr:nvCxnSpPr>
      <xdr:spPr>
        <a:xfrm flipV="1">
          <a:off x="10711214" y="83282504"/>
          <a:ext cx="0" cy="3257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385043</xdr:colOff>
      <xdr:row>500</xdr:row>
      <xdr:rowOff>125490</xdr:rowOff>
    </xdr:from>
    <xdr:to>
      <xdr:col>24</xdr:col>
      <xdr:colOff>412558</xdr:colOff>
      <xdr:row>500</xdr:row>
      <xdr:rowOff>125490</xdr:rowOff>
    </xdr:to>
    <xdr:cxnSp macro="">
      <xdr:nvCxnSpPr>
        <xdr:cNvPr id="653" name="Straight Arrow Connector 652"/>
        <xdr:cNvCxnSpPr/>
      </xdr:nvCxnSpPr>
      <xdr:spPr>
        <a:xfrm>
          <a:off x="10721739" y="83382273"/>
          <a:ext cx="90547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414136</xdr:colOff>
      <xdr:row>500</xdr:row>
      <xdr:rowOff>50991</xdr:rowOff>
    </xdr:from>
    <xdr:to>
      <xdr:col>24</xdr:col>
      <xdr:colOff>414136</xdr:colOff>
      <xdr:row>501</xdr:row>
      <xdr:rowOff>65307</xdr:rowOff>
    </xdr:to>
    <xdr:cxnSp macro="">
      <xdr:nvCxnSpPr>
        <xdr:cNvPr id="655" name="Straight Connector 654"/>
        <xdr:cNvCxnSpPr/>
      </xdr:nvCxnSpPr>
      <xdr:spPr>
        <a:xfrm flipV="1">
          <a:off x="11628788" y="83307774"/>
          <a:ext cx="0" cy="179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220748</xdr:colOff>
      <xdr:row>499</xdr:row>
      <xdr:rowOff>125434</xdr:rowOff>
    </xdr:from>
    <xdr:to>
      <xdr:col>25</xdr:col>
      <xdr:colOff>220748</xdr:colOff>
      <xdr:row>500</xdr:row>
      <xdr:rowOff>163013</xdr:rowOff>
    </xdr:to>
    <xdr:cxnSp macro="">
      <xdr:nvCxnSpPr>
        <xdr:cNvPr id="647" name="Straight Arrow Connector 646"/>
        <xdr:cNvCxnSpPr/>
      </xdr:nvCxnSpPr>
      <xdr:spPr>
        <a:xfrm flipV="1">
          <a:off x="11874378" y="83216564"/>
          <a:ext cx="0" cy="2032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399222</xdr:colOff>
      <xdr:row>494</xdr:row>
      <xdr:rowOff>144475</xdr:rowOff>
    </xdr:from>
    <xdr:to>
      <xdr:col>22</xdr:col>
      <xdr:colOff>232741</xdr:colOff>
      <xdr:row>496</xdr:row>
      <xdr:rowOff>24020</xdr:rowOff>
    </xdr:to>
    <xdr:sp macro="" textlink="">
      <xdr:nvSpPr>
        <xdr:cNvPr id="648" name="TextBox 647"/>
        <xdr:cNvSpPr txBox="1"/>
      </xdr:nvSpPr>
      <xdr:spPr>
        <a:xfrm>
          <a:off x="10296939" y="82407345"/>
          <a:ext cx="272498" cy="2108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lientData/>
  </xdr:twoCellAnchor>
  <xdr:twoCellAnchor>
    <xdr:from>
      <xdr:col>22</xdr:col>
      <xdr:colOff>170660</xdr:colOff>
      <xdr:row>491</xdr:row>
      <xdr:rowOff>142047</xdr:rowOff>
    </xdr:from>
    <xdr:to>
      <xdr:col>22</xdr:col>
      <xdr:colOff>170660</xdr:colOff>
      <xdr:row>499</xdr:row>
      <xdr:rowOff>123669</xdr:rowOff>
    </xdr:to>
    <xdr:cxnSp macro="">
      <xdr:nvCxnSpPr>
        <xdr:cNvPr id="649" name="Straight Arrow Connector 648"/>
        <xdr:cNvCxnSpPr/>
      </xdr:nvCxnSpPr>
      <xdr:spPr>
        <a:xfrm>
          <a:off x="10507356" y="81907960"/>
          <a:ext cx="0" cy="130683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36443</xdr:colOff>
      <xdr:row>491</xdr:row>
      <xdr:rowOff>132522</xdr:rowOff>
    </xdr:from>
    <xdr:to>
      <xdr:col>22</xdr:col>
      <xdr:colOff>331248</xdr:colOff>
      <xdr:row>491</xdr:row>
      <xdr:rowOff>132522</xdr:rowOff>
    </xdr:to>
    <xdr:cxnSp macro="">
      <xdr:nvCxnSpPr>
        <xdr:cNvPr id="650" name="Straight Connector 649"/>
        <xdr:cNvCxnSpPr/>
      </xdr:nvCxnSpPr>
      <xdr:spPr>
        <a:xfrm>
          <a:off x="10373139" y="81898435"/>
          <a:ext cx="29480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75500</xdr:colOff>
      <xdr:row>488</xdr:row>
      <xdr:rowOff>323</xdr:rowOff>
    </xdr:from>
    <xdr:to>
      <xdr:col>6</xdr:col>
      <xdr:colOff>523358</xdr:colOff>
      <xdr:row>499</xdr:row>
      <xdr:rowOff>2586</xdr:rowOff>
    </xdr:to>
    <xdr:grpSp>
      <xdr:nvGrpSpPr>
        <xdr:cNvPr id="18" name="Group 17"/>
        <xdr:cNvGrpSpPr/>
      </xdr:nvGrpSpPr>
      <xdr:grpSpPr>
        <a:xfrm>
          <a:off x="2544380" y="85847243"/>
          <a:ext cx="1682298" cy="1930123"/>
          <a:chOff x="2460891" y="81269280"/>
          <a:chExt cx="1640554" cy="1824436"/>
        </a:xfrm>
      </xdr:grpSpPr>
      <xdr:sp macro="" textlink="">
        <xdr:nvSpPr>
          <xdr:cNvPr id="636" name="TextBox 635"/>
          <xdr:cNvSpPr txBox="1"/>
        </xdr:nvSpPr>
        <xdr:spPr>
          <a:xfrm>
            <a:off x="3471512" y="82698050"/>
            <a:ext cx="219042" cy="189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637" name="Straight Arrow Connector 636"/>
          <xdr:cNvCxnSpPr/>
        </xdr:nvCxnSpPr>
        <xdr:spPr>
          <a:xfrm>
            <a:off x="3908516" y="81716217"/>
            <a:ext cx="0" cy="64481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38" name="TextBox 637"/>
          <xdr:cNvSpPr txBox="1"/>
        </xdr:nvSpPr>
        <xdr:spPr>
          <a:xfrm>
            <a:off x="3878769" y="81931620"/>
            <a:ext cx="216552" cy="219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641" name="Group 45"/>
          <xdr:cNvGrpSpPr/>
        </xdr:nvGrpSpPr>
        <xdr:grpSpPr>
          <a:xfrm>
            <a:off x="2460891" y="81269280"/>
            <a:ext cx="1640554" cy="1581649"/>
            <a:chOff x="4470070" y="11352894"/>
            <a:chExt cx="1585069" cy="835693"/>
          </a:xfrm>
        </xdr:grpSpPr>
        <xdr:grpSp>
          <xdr:nvGrpSpPr>
            <xdr:cNvPr id="656" name="Group 49"/>
            <xdr:cNvGrpSpPr/>
          </xdr:nvGrpSpPr>
          <xdr:grpSpPr>
            <a:xfrm>
              <a:off x="4470070" y="11491620"/>
              <a:ext cx="1483271" cy="696967"/>
              <a:chOff x="4470070" y="11491620"/>
              <a:chExt cx="1483271" cy="696967"/>
            </a:xfrm>
          </xdr:grpSpPr>
          <xdr:cxnSp macro="">
            <xdr:nvCxnSpPr>
              <xdr:cNvPr id="659" name="Straight Connector 658"/>
              <xdr:cNvCxnSpPr/>
            </xdr:nvCxnSpPr>
            <xdr:spPr>
              <a:xfrm>
                <a:off x="5280424" y="11491620"/>
                <a:ext cx="0" cy="6969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0" name="Straight Connector 659"/>
              <xdr:cNvCxnSpPr/>
            </xdr:nvCxnSpPr>
            <xdr:spPr>
              <a:xfrm>
                <a:off x="4470070" y="11930061"/>
                <a:ext cx="14832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1" name="Rectangle 660"/>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657" name="TextBox 656"/>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658" name="TextBox 657"/>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654" name="TextBox 653"/>
          <xdr:cNvSpPr txBox="1"/>
        </xdr:nvSpPr>
        <xdr:spPr>
          <a:xfrm>
            <a:off x="3227995" y="82914864"/>
            <a:ext cx="196035" cy="178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a</a:t>
            </a:r>
          </a:p>
        </xdr:txBody>
      </xdr:sp>
      <xdr:cxnSp macro="">
        <xdr:nvCxnSpPr>
          <xdr:cNvPr id="651" name="Straight Connector 650"/>
          <xdr:cNvCxnSpPr/>
        </xdr:nvCxnSpPr>
        <xdr:spPr>
          <a:xfrm>
            <a:off x="3335343" y="81707937"/>
            <a:ext cx="698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 name="Isosceles Triangle 2"/>
          <xdr:cNvSpPr/>
        </xdr:nvSpPr>
        <xdr:spPr>
          <a:xfrm>
            <a:off x="2766392" y="81699652"/>
            <a:ext cx="1060704" cy="914400"/>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11" name="Straight Connector 510"/>
          <xdr:cNvCxnSpPr/>
        </xdr:nvCxnSpPr>
        <xdr:spPr>
          <a:xfrm flipV="1">
            <a:off x="3828367"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 name="Straight Arrow Connector 511"/>
          <xdr:cNvCxnSpPr/>
        </xdr:nvCxnSpPr>
        <xdr:spPr>
          <a:xfrm>
            <a:off x="3292239" y="82711380"/>
            <a:ext cx="542609"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1" name="Straight Connector 520"/>
          <xdr:cNvCxnSpPr/>
        </xdr:nvCxnSpPr>
        <xdr:spPr>
          <a:xfrm flipV="1">
            <a:off x="2768194" y="82653028"/>
            <a:ext cx="0" cy="3387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 name="Straight Arrow Connector 521"/>
          <xdr:cNvCxnSpPr/>
        </xdr:nvCxnSpPr>
        <xdr:spPr>
          <a:xfrm>
            <a:off x="2762152" y="82935012"/>
            <a:ext cx="1064413"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377815</xdr:colOff>
      <xdr:row>554</xdr:row>
      <xdr:rowOff>143354</xdr:rowOff>
    </xdr:from>
    <xdr:to>
      <xdr:col>23</xdr:col>
      <xdr:colOff>262985</xdr:colOff>
      <xdr:row>554</xdr:row>
      <xdr:rowOff>143354</xdr:rowOff>
    </xdr:to>
    <xdr:cxnSp macro="">
      <xdr:nvCxnSpPr>
        <xdr:cNvPr id="538" name="Straight Arrow Connector 537"/>
        <xdr:cNvCxnSpPr/>
      </xdr:nvCxnSpPr>
      <xdr:spPr>
        <a:xfrm>
          <a:off x="10714511" y="83565789"/>
          <a:ext cx="324148"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375616</xdr:colOff>
      <xdr:row>544</xdr:row>
      <xdr:rowOff>132523</xdr:rowOff>
    </xdr:from>
    <xdr:to>
      <xdr:col>24</xdr:col>
      <xdr:colOff>408333</xdr:colOff>
      <xdr:row>552</xdr:row>
      <xdr:rowOff>132524</xdr:rowOff>
    </xdr:to>
    <xdr:sp macro="" textlink="">
      <xdr:nvSpPr>
        <xdr:cNvPr id="539" name="L-Shape 538"/>
        <xdr:cNvSpPr/>
      </xdr:nvSpPr>
      <xdr:spPr>
        <a:xfrm>
          <a:off x="10712312" y="81898436"/>
          <a:ext cx="910673" cy="1325218"/>
        </a:xfrm>
        <a:prstGeom prst="corner">
          <a:avLst>
            <a:gd name="adj1" fmla="val 15625"/>
            <a:gd name="adj2" fmla="val 15625"/>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25</xdr:col>
      <xdr:colOff>2408</xdr:colOff>
      <xdr:row>552</xdr:row>
      <xdr:rowOff>125561</xdr:rowOff>
    </xdr:from>
    <xdr:to>
      <xdr:col>25</xdr:col>
      <xdr:colOff>302315</xdr:colOff>
      <xdr:row>552</xdr:row>
      <xdr:rowOff>125561</xdr:rowOff>
    </xdr:to>
    <xdr:cxnSp macro="">
      <xdr:nvCxnSpPr>
        <xdr:cNvPr id="551" name="Straight Connector 550"/>
        <xdr:cNvCxnSpPr/>
      </xdr:nvCxnSpPr>
      <xdr:spPr>
        <a:xfrm>
          <a:off x="11656038" y="83216691"/>
          <a:ext cx="2999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2318</xdr:colOff>
      <xdr:row>551</xdr:row>
      <xdr:rowOff>158011</xdr:rowOff>
    </xdr:from>
    <xdr:to>
      <xdr:col>25</xdr:col>
      <xdr:colOff>302315</xdr:colOff>
      <xdr:row>551</xdr:row>
      <xdr:rowOff>158011</xdr:rowOff>
    </xdr:to>
    <xdr:cxnSp macro="">
      <xdr:nvCxnSpPr>
        <xdr:cNvPr id="552" name="Straight Connector 551"/>
        <xdr:cNvCxnSpPr/>
      </xdr:nvCxnSpPr>
      <xdr:spPr>
        <a:xfrm>
          <a:off x="11655948" y="83083489"/>
          <a:ext cx="29999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220748</xdr:colOff>
      <xdr:row>550</xdr:row>
      <xdr:rowOff>120432</xdr:rowOff>
    </xdr:from>
    <xdr:to>
      <xdr:col>25</xdr:col>
      <xdr:colOff>220748</xdr:colOff>
      <xdr:row>551</xdr:row>
      <xdr:rowOff>158010</xdr:rowOff>
    </xdr:to>
    <xdr:cxnSp macro="">
      <xdr:nvCxnSpPr>
        <xdr:cNvPr id="553" name="Straight Arrow Connector 552"/>
        <xdr:cNvCxnSpPr/>
      </xdr:nvCxnSpPr>
      <xdr:spPr>
        <a:xfrm>
          <a:off x="11874378" y="82880258"/>
          <a:ext cx="0" cy="203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169101</xdr:colOff>
      <xdr:row>550</xdr:row>
      <xdr:rowOff>10258</xdr:rowOff>
    </xdr:from>
    <xdr:to>
      <xdr:col>25</xdr:col>
      <xdr:colOff>384530</xdr:colOff>
      <xdr:row>551</xdr:row>
      <xdr:rowOff>20013</xdr:rowOff>
    </xdr:to>
    <xdr:sp macro="" textlink="">
      <xdr:nvSpPr>
        <xdr:cNvPr id="554" name="TextBox 553"/>
        <xdr:cNvSpPr txBox="1"/>
      </xdr:nvSpPr>
      <xdr:spPr>
        <a:xfrm>
          <a:off x="11822731" y="82770084"/>
          <a:ext cx="215429" cy="17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lientData/>
  </xdr:twoCellAnchor>
  <xdr:twoCellAnchor>
    <xdr:from>
      <xdr:col>22</xdr:col>
      <xdr:colOff>374518</xdr:colOff>
      <xdr:row>553</xdr:row>
      <xdr:rowOff>25721</xdr:rowOff>
    </xdr:from>
    <xdr:to>
      <xdr:col>22</xdr:col>
      <xdr:colOff>374518</xdr:colOff>
      <xdr:row>555</xdr:row>
      <xdr:rowOff>20190</xdr:rowOff>
    </xdr:to>
    <xdr:cxnSp macro="">
      <xdr:nvCxnSpPr>
        <xdr:cNvPr id="555" name="Straight Connector 554"/>
        <xdr:cNvCxnSpPr/>
      </xdr:nvCxnSpPr>
      <xdr:spPr>
        <a:xfrm flipV="1">
          <a:off x="10711214" y="83282504"/>
          <a:ext cx="0" cy="3257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385043</xdr:colOff>
      <xdr:row>553</xdr:row>
      <xdr:rowOff>125490</xdr:rowOff>
    </xdr:from>
    <xdr:to>
      <xdr:col>24</xdr:col>
      <xdr:colOff>412558</xdr:colOff>
      <xdr:row>553</xdr:row>
      <xdr:rowOff>125490</xdr:rowOff>
    </xdr:to>
    <xdr:cxnSp macro="">
      <xdr:nvCxnSpPr>
        <xdr:cNvPr id="556" name="Straight Arrow Connector 555"/>
        <xdr:cNvCxnSpPr/>
      </xdr:nvCxnSpPr>
      <xdr:spPr>
        <a:xfrm>
          <a:off x="10721739" y="83382273"/>
          <a:ext cx="905471"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414136</xdr:colOff>
      <xdr:row>553</xdr:row>
      <xdr:rowOff>50991</xdr:rowOff>
    </xdr:from>
    <xdr:to>
      <xdr:col>24</xdr:col>
      <xdr:colOff>414136</xdr:colOff>
      <xdr:row>554</xdr:row>
      <xdr:rowOff>65307</xdr:rowOff>
    </xdr:to>
    <xdr:cxnSp macro="">
      <xdr:nvCxnSpPr>
        <xdr:cNvPr id="558" name="Straight Connector 557"/>
        <xdr:cNvCxnSpPr/>
      </xdr:nvCxnSpPr>
      <xdr:spPr>
        <a:xfrm flipV="1">
          <a:off x="11628788" y="83307774"/>
          <a:ext cx="0" cy="1799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220748</xdr:colOff>
      <xdr:row>552</xdr:row>
      <xdr:rowOff>125434</xdr:rowOff>
    </xdr:from>
    <xdr:to>
      <xdr:col>25</xdr:col>
      <xdr:colOff>220748</xdr:colOff>
      <xdr:row>553</xdr:row>
      <xdr:rowOff>163013</xdr:rowOff>
    </xdr:to>
    <xdr:cxnSp macro="">
      <xdr:nvCxnSpPr>
        <xdr:cNvPr id="559" name="Straight Arrow Connector 558"/>
        <xdr:cNvCxnSpPr/>
      </xdr:nvCxnSpPr>
      <xdr:spPr>
        <a:xfrm flipV="1">
          <a:off x="11874378" y="83216564"/>
          <a:ext cx="0" cy="2032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298019</xdr:colOff>
      <xdr:row>541</xdr:row>
      <xdr:rowOff>149926</xdr:rowOff>
    </xdr:from>
    <xdr:to>
      <xdr:col>7</xdr:col>
      <xdr:colOff>219752</xdr:colOff>
      <xdr:row>553</xdr:row>
      <xdr:rowOff>102495</xdr:rowOff>
    </xdr:to>
    <xdr:grpSp>
      <xdr:nvGrpSpPr>
        <xdr:cNvPr id="271" name="Group 270"/>
        <xdr:cNvGrpSpPr/>
      </xdr:nvGrpSpPr>
      <xdr:grpSpPr>
        <a:xfrm>
          <a:off x="2766899" y="95308486"/>
          <a:ext cx="1773393" cy="2055689"/>
          <a:chOff x="2405425" y="87589426"/>
          <a:chExt cx="1725529" cy="1881381"/>
        </a:xfrm>
      </xdr:grpSpPr>
      <xdr:sp macro="" textlink="">
        <xdr:nvSpPr>
          <xdr:cNvPr id="566" name="TextBox 565"/>
          <xdr:cNvSpPr txBox="1"/>
        </xdr:nvSpPr>
        <xdr:spPr>
          <a:xfrm>
            <a:off x="2405425" y="88351928"/>
            <a:ext cx="274050" cy="2010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567" name="Straight Arrow Connector 566"/>
          <xdr:cNvCxnSpPr/>
        </xdr:nvCxnSpPr>
        <xdr:spPr>
          <a:xfrm>
            <a:off x="2617395" y="87903844"/>
            <a:ext cx="0" cy="110593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68" name="Straight Connector 567"/>
          <xdr:cNvCxnSpPr/>
        </xdr:nvCxnSpPr>
        <xdr:spPr>
          <a:xfrm>
            <a:off x="2547937" y="89006726"/>
            <a:ext cx="2002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5" name="TextBox 534"/>
          <xdr:cNvSpPr txBox="1"/>
        </xdr:nvSpPr>
        <xdr:spPr>
          <a:xfrm>
            <a:off x="3496432" y="89089105"/>
            <a:ext cx="222913" cy="184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536" name="Straight Arrow Connector 535"/>
          <xdr:cNvCxnSpPr/>
        </xdr:nvCxnSpPr>
        <xdr:spPr>
          <a:xfrm>
            <a:off x="3937687" y="87897891"/>
            <a:ext cx="0" cy="803675"/>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37" name="TextBox 536"/>
          <xdr:cNvSpPr txBox="1"/>
        </xdr:nvSpPr>
        <xdr:spPr>
          <a:xfrm>
            <a:off x="3907888" y="88194575"/>
            <a:ext cx="216929" cy="2143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grpSp>
        <xdr:nvGrpSpPr>
          <xdr:cNvPr id="540" name="Group 45"/>
          <xdr:cNvGrpSpPr/>
        </xdr:nvGrpSpPr>
        <xdr:grpSpPr>
          <a:xfrm>
            <a:off x="2768205" y="87589426"/>
            <a:ext cx="1362749" cy="1558621"/>
            <a:chOff x="4746326" y="11291626"/>
            <a:chExt cx="1308813" cy="896961"/>
          </a:xfrm>
        </xdr:grpSpPr>
        <xdr:grpSp>
          <xdr:nvGrpSpPr>
            <xdr:cNvPr id="541" name="Group 49"/>
            <xdr:cNvGrpSpPr/>
          </xdr:nvGrpSpPr>
          <xdr:grpSpPr>
            <a:xfrm>
              <a:off x="4746326" y="11427121"/>
              <a:ext cx="1207015" cy="761466"/>
              <a:chOff x="4746326" y="11427121"/>
              <a:chExt cx="1207015" cy="761466"/>
            </a:xfrm>
          </xdr:grpSpPr>
          <xdr:cxnSp macro="">
            <xdr:nvCxnSpPr>
              <xdr:cNvPr id="545" name="Straight Connector 544"/>
              <xdr:cNvCxnSpPr/>
            </xdr:nvCxnSpPr>
            <xdr:spPr>
              <a:xfrm>
                <a:off x="5280424" y="11427121"/>
                <a:ext cx="0" cy="7614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 name="Straight Connector 546"/>
              <xdr:cNvCxnSpPr/>
            </xdr:nvCxnSpPr>
            <xdr:spPr>
              <a:xfrm>
                <a:off x="4746326" y="11930061"/>
                <a:ext cx="120701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9" name="Rectangle 548"/>
              <xdr:cNvSpPr/>
            </xdr:nvSpPr>
            <xdr:spPr>
              <a:xfrm>
                <a:off x="5197079" y="11876429"/>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543" name="TextBox 542"/>
            <xdr:cNvSpPr txBox="1"/>
          </xdr:nvSpPr>
          <xdr:spPr>
            <a:xfrm>
              <a:off x="5169575" y="11291626"/>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544" name="TextBox 543"/>
            <xdr:cNvSpPr txBox="1"/>
          </xdr:nvSpPr>
          <xdr:spPr>
            <a:xfrm>
              <a:off x="5874807" y="11873186"/>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sp macro="" textlink="">
        <xdr:nvSpPr>
          <xdr:cNvPr id="557" name="TextBox 556"/>
          <xdr:cNvSpPr txBox="1"/>
        </xdr:nvSpPr>
        <xdr:spPr>
          <a:xfrm>
            <a:off x="3252491" y="89297024"/>
            <a:ext cx="196376" cy="173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569" name="Straight Connector 568"/>
          <xdr:cNvCxnSpPr/>
        </xdr:nvCxnSpPr>
        <xdr:spPr>
          <a:xfrm>
            <a:off x="3360026" y="87902456"/>
            <a:ext cx="702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0" name="Isosceles Triangle 569"/>
          <xdr:cNvSpPr/>
        </xdr:nvSpPr>
        <xdr:spPr>
          <a:xfrm>
            <a:off x="2790392" y="87900597"/>
            <a:ext cx="1065732" cy="1105252"/>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xnSp macro="">
        <xdr:nvCxnSpPr>
          <xdr:cNvPr id="571" name="Straight Connector 570"/>
          <xdr:cNvCxnSpPr/>
        </xdr:nvCxnSpPr>
        <xdr:spPr>
          <a:xfrm flipV="1">
            <a:off x="3857399"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3" name="Straight Arrow Connector 572"/>
          <xdr:cNvCxnSpPr/>
        </xdr:nvCxnSpPr>
        <xdr:spPr>
          <a:xfrm>
            <a:off x="3316847" y="89102317"/>
            <a:ext cx="54704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4" name="Straight Connector 573"/>
          <xdr:cNvCxnSpPr/>
        </xdr:nvCxnSpPr>
        <xdr:spPr>
          <a:xfrm flipV="1">
            <a:off x="2788401" y="89044481"/>
            <a:ext cx="0" cy="32874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 name="Straight Arrow Connector 574"/>
          <xdr:cNvCxnSpPr/>
        </xdr:nvCxnSpPr>
        <xdr:spPr>
          <a:xfrm>
            <a:off x="2782348" y="89316995"/>
            <a:ext cx="107324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76" name="Straight Connector 575"/>
          <xdr:cNvCxnSpPr/>
        </xdr:nvCxnSpPr>
        <xdr:spPr>
          <a:xfrm>
            <a:off x="2541984" y="87905398"/>
            <a:ext cx="7420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577" name="Group 576"/>
        <xdr:cNvGrpSpPr/>
      </xdr:nvGrpSpPr>
      <xdr:grpSpPr>
        <a:xfrm>
          <a:off x="40822" y="1267641"/>
          <a:ext cx="2494733" cy="630195"/>
          <a:chOff x="40822" y="1267641"/>
          <a:chExt cx="2570933" cy="630195"/>
        </a:xfrm>
      </xdr:grpSpPr>
      <xdr:pic>
        <xdr:nvPicPr>
          <xdr:cNvPr id="578" name="Picture 57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9" name="Picture 57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59</xdr:row>
      <xdr:rowOff>40821</xdr:rowOff>
    </xdr:from>
    <xdr:to>
      <xdr:col>4</xdr:col>
      <xdr:colOff>66675</xdr:colOff>
      <xdr:row>62</xdr:row>
      <xdr:rowOff>145236</xdr:rowOff>
    </xdr:to>
    <xdr:grpSp>
      <xdr:nvGrpSpPr>
        <xdr:cNvPr id="580" name="Group 579"/>
        <xdr:cNvGrpSpPr/>
      </xdr:nvGrpSpPr>
      <xdr:grpSpPr>
        <a:xfrm>
          <a:off x="40822" y="10434501"/>
          <a:ext cx="2494733" cy="630195"/>
          <a:chOff x="40822" y="1267641"/>
          <a:chExt cx="2570933" cy="630195"/>
        </a:xfrm>
      </xdr:grpSpPr>
      <xdr:pic>
        <xdr:nvPicPr>
          <xdr:cNvPr id="581" name="Picture 58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8" name="Picture 5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112</xdr:row>
      <xdr:rowOff>40821</xdr:rowOff>
    </xdr:from>
    <xdr:to>
      <xdr:col>4</xdr:col>
      <xdr:colOff>66675</xdr:colOff>
      <xdr:row>115</xdr:row>
      <xdr:rowOff>145236</xdr:rowOff>
    </xdr:to>
    <xdr:grpSp>
      <xdr:nvGrpSpPr>
        <xdr:cNvPr id="599" name="Group 598"/>
        <xdr:cNvGrpSpPr/>
      </xdr:nvGrpSpPr>
      <xdr:grpSpPr>
        <a:xfrm>
          <a:off x="40822" y="19776621"/>
          <a:ext cx="2494733" cy="630195"/>
          <a:chOff x="40822" y="1267641"/>
          <a:chExt cx="2570933" cy="630195"/>
        </a:xfrm>
      </xdr:grpSpPr>
      <xdr:pic>
        <xdr:nvPicPr>
          <xdr:cNvPr id="600" name="Picture 5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1" name="Picture 6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165</xdr:row>
      <xdr:rowOff>40821</xdr:rowOff>
    </xdr:from>
    <xdr:to>
      <xdr:col>4</xdr:col>
      <xdr:colOff>66675</xdr:colOff>
      <xdr:row>168</xdr:row>
      <xdr:rowOff>145236</xdr:rowOff>
    </xdr:to>
    <xdr:grpSp>
      <xdr:nvGrpSpPr>
        <xdr:cNvPr id="602" name="Group 601"/>
        <xdr:cNvGrpSpPr/>
      </xdr:nvGrpSpPr>
      <xdr:grpSpPr>
        <a:xfrm>
          <a:off x="40822" y="29118741"/>
          <a:ext cx="2494733" cy="630195"/>
          <a:chOff x="40822" y="1267641"/>
          <a:chExt cx="2570933" cy="630195"/>
        </a:xfrm>
      </xdr:grpSpPr>
      <xdr:pic>
        <xdr:nvPicPr>
          <xdr:cNvPr id="603" name="Picture 6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4" name="Picture 6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218</xdr:row>
      <xdr:rowOff>40821</xdr:rowOff>
    </xdr:from>
    <xdr:to>
      <xdr:col>4</xdr:col>
      <xdr:colOff>66675</xdr:colOff>
      <xdr:row>221</xdr:row>
      <xdr:rowOff>145236</xdr:rowOff>
    </xdr:to>
    <xdr:grpSp>
      <xdr:nvGrpSpPr>
        <xdr:cNvPr id="605" name="Group 604"/>
        <xdr:cNvGrpSpPr/>
      </xdr:nvGrpSpPr>
      <xdr:grpSpPr>
        <a:xfrm>
          <a:off x="40822" y="38430381"/>
          <a:ext cx="2494733" cy="630195"/>
          <a:chOff x="40822" y="1267641"/>
          <a:chExt cx="2570933" cy="630195"/>
        </a:xfrm>
      </xdr:grpSpPr>
      <xdr:pic>
        <xdr:nvPicPr>
          <xdr:cNvPr id="606" name="Picture 6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07" name="Picture 6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271</xdr:row>
      <xdr:rowOff>40821</xdr:rowOff>
    </xdr:from>
    <xdr:to>
      <xdr:col>4</xdr:col>
      <xdr:colOff>66675</xdr:colOff>
      <xdr:row>274</xdr:row>
      <xdr:rowOff>145236</xdr:rowOff>
    </xdr:to>
    <xdr:grpSp>
      <xdr:nvGrpSpPr>
        <xdr:cNvPr id="608" name="Group 607"/>
        <xdr:cNvGrpSpPr/>
      </xdr:nvGrpSpPr>
      <xdr:grpSpPr>
        <a:xfrm>
          <a:off x="40822" y="47742021"/>
          <a:ext cx="2494733" cy="630195"/>
          <a:chOff x="40822" y="1267641"/>
          <a:chExt cx="2570933" cy="630195"/>
        </a:xfrm>
      </xdr:grpSpPr>
      <xdr:pic>
        <xdr:nvPicPr>
          <xdr:cNvPr id="609" name="Picture 60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10" name="Picture 60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324</xdr:row>
      <xdr:rowOff>40821</xdr:rowOff>
    </xdr:from>
    <xdr:to>
      <xdr:col>4</xdr:col>
      <xdr:colOff>66675</xdr:colOff>
      <xdr:row>327</xdr:row>
      <xdr:rowOff>145236</xdr:rowOff>
    </xdr:to>
    <xdr:grpSp>
      <xdr:nvGrpSpPr>
        <xdr:cNvPr id="611" name="Group 610"/>
        <xdr:cNvGrpSpPr/>
      </xdr:nvGrpSpPr>
      <xdr:grpSpPr>
        <a:xfrm>
          <a:off x="40822" y="57053661"/>
          <a:ext cx="2494733" cy="630195"/>
          <a:chOff x="40822" y="1267641"/>
          <a:chExt cx="2570933" cy="630195"/>
        </a:xfrm>
      </xdr:grpSpPr>
      <xdr:pic>
        <xdr:nvPicPr>
          <xdr:cNvPr id="612" name="Picture 6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2" name="Picture 69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377</xdr:row>
      <xdr:rowOff>40821</xdr:rowOff>
    </xdr:from>
    <xdr:to>
      <xdr:col>4</xdr:col>
      <xdr:colOff>66675</xdr:colOff>
      <xdr:row>380</xdr:row>
      <xdr:rowOff>145236</xdr:rowOff>
    </xdr:to>
    <xdr:grpSp>
      <xdr:nvGrpSpPr>
        <xdr:cNvPr id="693" name="Group 692"/>
        <xdr:cNvGrpSpPr/>
      </xdr:nvGrpSpPr>
      <xdr:grpSpPr>
        <a:xfrm>
          <a:off x="40822" y="66365301"/>
          <a:ext cx="2494733" cy="630195"/>
          <a:chOff x="40822" y="1267641"/>
          <a:chExt cx="2570933" cy="630195"/>
        </a:xfrm>
      </xdr:grpSpPr>
      <xdr:pic>
        <xdr:nvPicPr>
          <xdr:cNvPr id="694" name="Picture 69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5" name="Picture 69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430</xdr:row>
      <xdr:rowOff>40821</xdr:rowOff>
    </xdr:from>
    <xdr:to>
      <xdr:col>4</xdr:col>
      <xdr:colOff>66675</xdr:colOff>
      <xdr:row>433</xdr:row>
      <xdr:rowOff>145236</xdr:rowOff>
    </xdr:to>
    <xdr:grpSp>
      <xdr:nvGrpSpPr>
        <xdr:cNvPr id="696" name="Group 695"/>
        <xdr:cNvGrpSpPr/>
      </xdr:nvGrpSpPr>
      <xdr:grpSpPr>
        <a:xfrm>
          <a:off x="40822" y="75676941"/>
          <a:ext cx="2494733" cy="630195"/>
          <a:chOff x="40822" y="1267641"/>
          <a:chExt cx="2570933" cy="630195"/>
        </a:xfrm>
      </xdr:grpSpPr>
      <xdr:pic>
        <xdr:nvPicPr>
          <xdr:cNvPr id="697" name="Picture 69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8" name="Picture 69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483</xdr:row>
      <xdr:rowOff>40821</xdr:rowOff>
    </xdr:from>
    <xdr:to>
      <xdr:col>4</xdr:col>
      <xdr:colOff>66675</xdr:colOff>
      <xdr:row>486</xdr:row>
      <xdr:rowOff>145236</xdr:rowOff>
    </xdr:to>
    <xdr:grpSp>
      <xdr:nvGrpSpPr>
        <xdr:cNvPr id="699" name="Group 698"/>
        <xdr:cNvGrpSpPr/>
      </xdr:nvGrpSpPr>
      <xdr:grpSpPr>
        <a:xfrm>
          <a:off x="40822" y="84988581"/>
          <a:ext cx="2494733" cy="630195"/>
          <a:chOff x="40822" y="1267641"/>
          <a:chExt cx="2570933" cy="630195"/>
        </a:xfrm>
      </xdr:grpSpPr>
      <xdr:pic>
        <xdr:nvPicPr>
          <xdr:cNvPr id="700" name="Picture 69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1" name="Picture 70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536</xdr:row>
      <xdr:rowOff>40821</xdr:rowOff>
    </xdr:from>
    <xdr:to>
      <xdr:col>4</xdr:col>
      <xdr:colOff>66675</xdr:colOff>
      <xdr:row>539</xdr:row>
      <xdr:rowOff>145236</xdr:rowOff>
    </xdr:to>
    <xdr:grpSp>
      <xdr:nvGrpSpPr>
        <xdr:cNvPr id="702" name="Group 701"/>
        <xdr:cNvGrpSpPr/>
      </xdr:nvGrpSpPr>
      <xdr:grpSpPr>
        <a:xfrm>
          <a:off x="40822" y="94300221"/>
          <a:ext cx="2494733" cy="630195"/>
          <a:chOff x="40822" y="1267641"/>
          <a:chExt cx="2570933" cy="630195"/>
        </a:xfrm>
      </xdr:grpSpPr>
      <xdr:pic>
        <xdr:nvPicPr>
          <xdr:cNvPr id="703" name="Picture 70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4" name="Picture 70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589</xdr:row>
      <xdr:rowOff>40821</xdr:rowOff>
    </xdr:from>
    <xdr:to>
      <xdr:col>4</xdr:col>
      <xdr:colOff>66675</xdr:colOff>
      <xdr:row>592</xdr:row>
      <xdr:rowOff>145236</xdr:rowOff>
    </xdr:to>
    <xdr:grpSp>
      <xdr:nvGrpSpPr>
        <xdr:cNvPr id="705" name="Group 704"/>
        <xdr:cNvGrpSpPr/>
      </xdr:nvGrpSpPr>
      <xdr:grpSpPr>
        <a:xfrm>
          <a:off x="40822" y="103611861"/>
          <a:ext cx="2494733" cy="630195"/>
          <a:chOff x="40822" y="1267641"/>
          <a:chExt cx="2570933" cy="630195"/>
        </a:xfrm>
      </xdr:grpSpPr>
      <xdr:pic>
        <xdr:nvPicPr>
          <xdr:cNvPr id="706" name="Picture 70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7" name="Picture 70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645</xdr:row>
      <xdr:rowOff>40821</xdr:rowOff>
    </xdr:from>
    <xdr:to>
      <xdr:col>4</xdr:col>
      <xdr:colOff>66675</xdr:colOff>
      <xdr:row>648</xdr:row>
      <xdr:rowOff>145236</xdr:rowOff>
    </xdr:to>
    <xdr:grpSp>
      <xdr:nvGrpSpPr>
        <xdr:cNvPr id="708" name="Group 707"/>
        <xdr:cNvGrpSpPr/>
      </xdr:nvGrpSpPr>
      <xdr:grpSpPr>
        <a:xfrm>
          <a:off x="40822" y="113449281"/>
          <a:ext cx="2494733" cy="630195"/>
          <a:chOff x="40822" y="1267641"/>
          <a:chExt cx="2570933" cy="630195"/>
        </a:xfrm>
      </xdr:grpSpPr>
      <xdr:pic>
        <xdr:nvPicPr>
          <xdr:cNvPr id="709" name="Picture 70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0" name="Picture 70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701</xdr:row>
      <xdr:rowOff>40821</xdr:rowOff>
    </xdr:from>
    <xdr:to>
      <xdr:col>4</xdr:col>
      <xdr:colOff>66675</xdr:colOff>
      <xdr:row>704</xdr:row>
      <xdr:rowOff>145236</xdr:rowOff>
    </xdr:to>
    <xdr:grpSp>
      <xdr:nvGrpSpPr>
        <xdr:cNvPr id="711" name="Group 710"/>
        <xdr:cNvGrpSpPr/>
      </xdr:nvGrpSpPr>
      <xdr:grpSpPr>
        <a:xfrm>
          <a:off x="40822" y="123286701"/>
          <a:ext cx="2494733" cy="630195"/>
          <a:chOff x="40822" y="1267641"/>
          <a:chExt cx="2570933" cy="630195"/>
        </a:xfrm>
      </xdr:grpSpPr>
      <xdr:pic>
        <xdr:nvPicPr>
          <xdr:cNvPr id="712" name="Picture 71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3" name="Picture 71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757</xdr:row>
      <xdr:rowOff>40821</xdr:rowOff>
    </xdr:from>
    <xdr:to>
      <xdr:col>4</xdr:col>
      <xdr:colOff>66675</xdr:colOff>
      <xdr:row>760</xdr:row>
      <xdr:rowOff>145236</xdr:rowOff>
    </xdr:to>
    <xdr:grpSp>
      <xdr:nvGrpSpPr>
        <xdr:cNvPr id="714" name="Group 713"/>
        <xdr:cNvGrpSpPr/>
      </xdr:nvGrpSpPr>
      <xdr:grpSpPr>
        <a:xfrm>
          <a:off x="40822" y="133124121"/>
          <a:ext cx="2494733" cy="630195"/>
          <a:chOff x="40822" y="1267641"/>
          <a:chExt cx="2570933" cy="630195"/>
        </a:xfrm>
      </xdr:grpSpPr>
      <xdr:pic>
        <xdr:nvPicPr>
          <xdr:cNvPr id="715" name="Picture 71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6" name="Picture 71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813</xdr:row>
      <xdr:rowOff>40821</xdr:rowOff>
    </xdr:from>
    <xdr:to>
      <xdr:col>4</xdr:col>
      <xdr:colOff>66675</xdr:colOff>
      <xdr:row>816</xdr:row>
      <xdr:rowOff>145236</xdr:rowOff>
    </xdr:to>
    <xdr:grpSp>
      <xdr:nvGrpSpPr>
        <xdr:cNvPr id="717" name="Group 716"/>
        <xdr:cNvGrpSpPr/>
      </xdr:nvGrpSpPr>
      <xdr:grpSpPr>
        <a:xfrm>
          <a:off x="40822" y="142961541"/>
          <a:ext cx="2494733" cy="630195"/>
          <a:chOff x="40822" y="1267641"/>
          <a:chExt cx="2570933" cy="630195"/>
        </a:xfrm>
      </xdr:grpSpPr>
      <xdr:pic>
        <xdr:nvPicPr>
          <xdr:cNvPr id="718" name="Picture 71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9" name="Picture 71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869</xdr:row>
      <xdr:rowOff>40821</xdr:rowOff>
    </xdr:from>
    <xdr:to>
      <xdr:col>4</xdr:col>
      <xdr:colOff>66675</xdr:colOff>
      <xdr:row>872</xdr:row>
      <xdr:rowOff>145236</xdr:rowOff>
    </xdr:to>
    <xdr:grpSp>
      <xdr:nvGrpSpPr>
        <xdr:cNvPr id="720" name="Group 719"/>
        <xdr:cNvGrpSpPr/>
      </xdr:nvGrpSpPr>
      <xdr:grpSpPr>
        <a:xfrm>
          <a:off x="40822" y="152798961"/>
          <a:ext cx="2494733" cy="630195"/>
          <a:chOff x="40822" y="1267641"/>
          <a:chExt cx="2570933" cy="630195"/>
        </a:xfrm>
      </xdr:grpSpPr>
      <xdr:pic>
        <xdr:nvPicPr>
          <xdr:cNvPr id="721" name="Picture 72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2" name="Picture 72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925</xdr:row>
      <xdr:rowOff>40821</xdr:rowOff>
    </xdr:from>
    <xdr:to>
      <xdr:col>4</xdr:col>
      <xdr:colOff>66675</xdr:colOff>
      <xdr:row>928</xdr:row>
      <xdr:rowOff>145236</xdr:rowOff>
    </xdr:to>
    <xdr:grpSp>
      <xdr:nvGrpSpPr>
        <xdr:cNvPr id="723" name="Group 722"/>
        <xdr:cNvGrpSpPr/>
      </xdr:nvGrpSpPr>
      <xdr:grpSpPr>
        <a:xfrm>
          <a:off x="40822" y="162636381"/>
          <a:ext cx="2494733" cy="630195"/>
          <a:chOff x="40822" y="1267641"/>
          <a:chExt cx="2570933" cy="630195"/>
        </a:xfrm>
      </xdr:grpSpPr>
      <xdr:pic>
        <xdr:nvPicPr>
          <xdr:cNvPr id="724" name="Picture 72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5" name="Picture 72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981</xdr:row>
      <xdr:rowOff>40821</xdr:rowOff>
    </xdr:from>
    <xdr:to>
      <xdr:col>4</xdr:col>
      <xdr:colOff>66675</xdr:colOff>
      <xdr:row>984</xdr:row>
      <xdr:rowOff>145236</xdr:rowOff>
    </xdr:to>
    <xdr:grpSp>
      <xdr:nvGrpSpPr>
        <xdr:cNvPr id="726" name="Group 725"/>
        <xdr:cNvGrpSpPr/>
      </xdr:nvGrpSpPr>
      <xdr:grpSpPr>
        <a:xfrm>
          <a:off x="40822" y="172473801"/>
          <a:ext cx="2494733" cy="630195"/>
          <a:chOff x="40822" y="1267641"/>
          <a:chExt cx="2570933" cy="630195"/>
        </a:xfrm>
      </xdr:grpSpPr>
      <xdr:pic>
        <xdr:nvPicPr>
          <xdr:cNvPr id="727" name="Picture 72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8" name="Picture 72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1037</xdr:row>
      <xdr:rowOff>40821</xdr:rowOff>
    </xdr:from>
    <xdr:to>
      <xdr:col>4</xdr:col>
      <xdr:colOff>66675</xdr:colOff>
      <xdr:row>1040</xdr:row>
      <xdr:rowOff>145236</xdr:rowOff>
    </xdr:to>
    <xdr:grpSp>
      <xdr:nvGrpSpPr>
        <xdr:cNvPr id="729" name="Group 728"/>
        <xdr:cNvGrpSpPr/>
      </xdr:nvGrpSpPr>
      <xdr:grpSpPr>
        <a:xfrm>
          <a:off x="40822" y="182311221"/>
          <a:ext cx="2494733" cy="630195"/>
          <a:chOff x="40822" y="1267641"/>
          <a:chExt cx="2570933" cy="630195"/>
        </a:xfrm>
      </xdr:grpSpPr>
      <xdr:pic>
        <xdr:nvPicPr>
          <xdr:cNvPr id="730" name="Picture 72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31" name="Picture 73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18" Type="http://schemas.openxmlformats.org/officeDocument/2006/relationships/hyperlink" Target="http://www.xl-viking.com/" TargetMode="External"/><Relationship Id="rId3" Type="http://schemas.openxmlformats.org/officeDocument/2006/relationships/hyperlink" Target="http://www.xl-viking.com/" TargetMode="External"/><Relationship Id="rId21" Type="http://schemas.openxmlformats.org/officeDocument/2006/relationships/printerSettings" Target="../printerSettings/printerSettings2.bin"/><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hyperlink" Target="http://www.xl-viking.com/" TargetMode="External"/><Relationship Id="rId2" Type="http://schemas.openxmlformats.org/officeDocument/2006/relationships/hyperlink" Target="http://www.xl-viking.com/" TargetMode="External"/><Relationship Id="rId16" Type="http://schemas.openxmlformats.org/officeDocument/2006/relationships/hyperlink" Target="http://www.xl-viking.com/" TargetMode="External"/><Relationship Id="rId20"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19"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zoomScaleNormal="100" zoomScaleSheetLayoutView="100" workbookViewId="0">
      <selection activeCell="I49" sqref="I49"/>
    </sheetView>
  </sheetViews>
  <sheetFormatPr defaultColWidth="9.109375" defaultRowHeight="15.6" x14ac:dyDescent="0.3"/>
  <cols>
    <col min="1" max="2" width="9.109375" style="73"/>
    <col min="3" max="3" width="10.6640625" style="73" bestFit="1" customWidth="1"/>
    <col min="4" max="11" width="9.109375" style="73"/>
    <col min="12" max="12" width="5.44140625" style="58" customWidth="1"/>
    <col min="13" max="17" width="5.33203125" style="94" customWidth="1"/>
    <col min="18" max="19" width="5.33203125" style="95" customWidth="1"/>
    <col min="20" max="25" width="9.109375" style="97"/>
    <col min="26" max="16384" width="9.109375" style="73"/>
  </cols>
  <sheetData>
    <row r="1" spans="1:25" s="58" customFormat="1" ht="13.8" x14ac:dyDescent="0.3">
      <c r="A1" s="54"/>
      <c r="B1" s="55" t="s">
        <v>5</v>
      </c>
      <c r="C1" s="56" t="s">
        <v>3</v>
      </c>
      <c r="D1" s="54"/>
      <c r="E1" s="54"/>
      <c r="F1" s="55" t="s">
        <v>94</v>
      </c>
      <c r="G1" s="57"/>
      <c r="H1" s="54"/>
      <c r="I1" s="54"/>
      <c r="J1" s="54"/>
      <c r="K1" s="54"/>
      <c r="M1" s="90"/>
      <c r="N1" s="90"/>
      <c r="O1" s="90"/>
      <c r="P1" s="90"/>
      <c r="Q1" s="90"/>
      <c r="R1" s="90"/>
      <c r="S1" s="90"/>
      <c r="T1" s="91"/>
      <c r="U1" s="91"/>
      <c r="V1" s="91"/>
      <c r="W1" s="92"/>
      <c r="X1" s="93"/>
      <c r="Y1" s="91"/>
    </row>
    <row r="2" spans="1:25" s="58" customFormat="1" ht="13.8" x14ac:dyDescent="0.3">
      <c r="A2" s="54"/>
      <c r="B2" s="55" t="s">
        <v>6</v>
      </c>
      <c r="C2" s="56" t="s">
        <v>7</v>
      </c>
      <c r="D2" s="54"/>
      <c r="E2" s="54"/>
      <c r="F2" s="55" t="s">
        <v>8</v>
      </c>
      <c r="G2" s="56"/>
      <c r="H2" s="54"/>
      <c r="I2" s="54"/>
      <c r="J2" s="54"/>
      <c r="K2" s="54"/>
      <c r="M2" s="90"/>
      <c r="N2" s="90"/>
      <c r="O2" s="90"/>
      <c r="P2" s="90"/>
      <c r="Q2" s="90"/>
      <c r="R2" s="90"/>
      <c r="S2" s="90"/>
      <c r="T2" s="91"/>
      <c r="U2" s="91"/>
      <c r="V2" s="91"/>
      <c r="W2" s="92"/>
      <c r="X2" s="93"/>
      <c r="Y2" s="91"/>
    </row>
    <row r="3" spans="1:25" s="58" customFormat="1" ht="13.8" x14ac:dyDescent="0.3">
      <c r="A3" s="54"/>
      <c r="B3" s="55" t="s">
        <v>1</v>
      </c>
      <c r="C3" s="63"/>
      <c r="D3" s="54"/>
      <c r="E3" s="54"/>
      <c r="F3" s="55" t="s">
        <v>0</v>
      </c>
      <c r="G3" s="56"/>
      <c r="H3" s="54"/>
      <c r="I3" s="54"/>
      <c r="J3" s="54"/>
      <c r="K3" s="54"/>
      <c r="M3" s="90"/>
      <c r="N3" s="90"/>
      <c r="O3" s="90"/>
      <c r="P3" s="90"/>
      <c r="Q3" s="90"/>
      <c r="R3" s="90"/>
      <c r="S3" s="90"/>
      <c r="T3" s="91"/>
      <c r="U3" s="91"/>
      <c r="V3" s="91"/>
      <c r="W3" s="92"/>
      <c r="X3" s="93"/>
      <c r="Y3" s="91"/>
    </row>
    <row r="4" spans="1:25" s="58" customFormat="1" ht="13.8" x14ac:dyDescent="0.3">
      <c r="A4" s="54"/>
      <c r="B4" s="55" t="s">
        <v>100</v>
      </c>
      <c r="C4" s="57"/>
      <c r="D4" s="54"/>
      <c r="E4" s="54"/>
      <c r="F4" s="55" t="s">
        <v>101</v>
      </c>
      <c r="G4" s="56" t="s">
        <v>102</v>
      </c>
      <c r="H4" s="54"/>
      <c r="I4" s="54"/>
      <c r="J4" s="54"/>
      <c r="K4" s="54"/>
      <c r="M4" s="90"/>
      <c r="N4" s="90"/>
      <c r="O4" s="90"/>
      <c r="P4" s="90"/>
      <c r="Q4" s="94"/>
      <c r="R4" s="95"/>
      <c r="S4" s="95"/>
      <c r="T4" s="91"/>
      <c r="U4" s="91"/>
      <c r="V4" s="91"/>
      <c r="W4" s="92"/>
      <c r="X4" s="93"/>
      <c r="Y4" s="91"/>
    </row>
    <row r="5" spans="1:25" s="58" customFormat="1" ht="13.8" x14ac:dyDescent="0.3">
      <c r="A5" s="54"/>
      <c r="B5" s="55" t="s">
        <v>103</v>
      </c>
      <c r="C5" s="57"/>
      <c r="D5" s="54"/>
      <c r="E5" s="55"/>
      <c r="F5" s="54"/>
      <c r="G5" s="54"/>
      <c r="H5" s="54"/>
      <c r="I5" s="54"/>
      <c r="J5" s="54"/>
      <c r="K5" s="54"/>
      <c r="M5" s="90"/>
      <c r="N5" s="90"/>
      <c r="O5" s="90"/>
      <c r="P5" s="90"/>
      <c r="Q5" s="94"/>
      <c r="R5" s="95"/>
      <c r="S5" s="95"/>
      <c r="T5" s="91"/>
      <c r="U5" s="91"/>
      <c r="V5" s="91"/>
      <c r="W5" s="92"/>
      <c r="X5" s="93"/>
      <c r="Y5" s="91"/>
    </row>
    <row r="6" spans="1:25" s="58" customFormat="1" ht="13.8" x14ac:dyDescent="0.3">
      <c r="A6" s="54"/>
      <c r="B6" s="54" t="s">
        <v>9</v>
      </c>
      <c r="C6" s="66"/>
      <c r="D6" s="54"/>
      <c r="E6" s="54"/>
      <c r="F6" s="54"/>
      <c r="G6" s="54"/>
      <c r="H6" s="54"/>
      <c r="I6" s="54"/>
      <c r="J6" s="54"/>
      <c r="K6" s="54"/>
      <c r="M6" s="90"/>
      <c r="N6" s="90"/>
      <c r="O6" s="90"/>
      <c r="P6" s="90"/>
      <c r="Q6" s="94"/>
      <c r="R6" s="95"/>
      <c r="S6" s="95"/>
      <c r="T6" s="91"/>
      <c r="U6" s="91"/>
      <c r="V6" s="91"/>
      <c r="W6" s="92"/>
      <c r="X6" s="93"/>
      <c r="Y6" s="91"/>
    </row>
    <row r="7" spans="1:25" s="58" customFormat="1" ht="13.8" x14ac:dyDescent="0.3">
      <c r="A7" s="54"/>
      <c r="B7" s="54"/>
      <c r="C7" s="54"/>
      <c r="D7" s="54"/>
      <c r="E7" s="54"/>
      <c r="F7" s="54"/>
      <c r="G7" s="54"/>
      <c r="H7" s="54"/>
      <c r="I7" s="54"/>
      <c r="J7" s="54"/>
      <c r="K7" s="54"/>
      <c r="M7" s="90"/>
      <c r="N7" s="90"/>
      <c r="O7" s="90"/>
      <c r="P7" s="90"/>
      <c r="Q7" s="94"/>
      <c r="R7" s="95"/>
      <c r="S7" s="95"/>
      <c r="T7" s="91"/>
      <c r="U7" s="91"/>
      <c r="V7" s="91"/>
      <c r="W7" s="92"/>
      <c r="X7" s="93"/>
      <c r="Y7" s="91"/>
    </row>
    <row r="8" spans="1:25" s="58" customFormat="1" ht="13.8" x14ac:dyDescent="0.3">
      <c r="A8" s="67"/>
      <c r="E8" s="60"/>
      <c r="F8" s="61"/>
      <c r="H8" s="68"/>
      <c r="I8" s="60"/>
      <c r="J8" s="69"/>
      <c r="K8" s="70"/>
      <c r="L8" s="71"/>
      <c r="M8" s="90"/>
      <c r="N8" s="90"/>
      <c r="O8" s="90"/>
      <c r="P8" s="90"/>
      <c r="Q8" s="94"/>
      <c r="R8" s="95"/>
      <c r="S8" s="95"/>
      <c r="T8" s="91"/>
      <c r="U8" s="91"/>
      <c r="V8" s="91"/>
      <c r="W8" s="91"/>
      <c r="X8" s="91"/>
      <c r="Y8" s="91"/>
    </row>
    <row r="9" spans="1:25" s="58" customFormat="1" ht="13.8" x14ac:dyDescent="0.3">
      <c r="E9" s="60"/>
      <c r="F9" s="68"/>
      <c r="H9" s="68"/>
      <c r="I9" s="60"/>
      <c r="J9" s="70"/>
      <c r="K9" s="70"/>
      <c r="L9" s="71"/>
      <c r="M9" s="90"/>
      <c r="N9" s="90"/>
      <c r="O9" s="90"/>
      <c r="P9" s="90"/>
      <c r="Q9" s="94"/>
      <c r="R9" s="95"/>
      <c r="S9" s="95"/>
      <c r="T9" s="91"/>
      <c r="U9" s="91"/>
      <c r="V9" s="91"/>
      <c r="W9" s="91"/>
      <c r="X9" s="91"/>
      <c r="Y9" s="91"/>
    </row>
    <row r="10" spans="1:25" s="58" customFormat="1" ht="13.8" x14ac:dyDescent="0.3">
      <c r="E10" s="60"/>
      <c r="F10" s="68"/>
      <c r="H10" s="68"/>
      <c r="I10" s="60"/>
      <c r="J10" s="61"/>
      <c r="K10" s="68"/>
      <c r="L10" s="71"/>
      <c r="M10" s="90"/>
      <c r="N10" s="90"/>
      <c r="O10" s="90"/>
      <c r="P10" s="90"/>
      <c r="Q10" s="94"/>
      <c r="R10" s="95"/>
      <c r="S10" s="95"/>
      <c r="T10" s="91"/>
      <c r="U10" s="91"/>
      <c r="V10" s="91"/>
      <c r="W10" s="91"/>
      <c r="X10" s="91"/>
      <c r="Y10" s="91"/>
    </row>
    <row r="11" spans="1:25" s="58" customFormat="1" ht="13.8" x14ac:dyDescent="0.3">
      <c r="E11" s="60"/>
      <c r="F11" s="68"/>
      <c r="I11" s="72"/>
      <c r="J11" s="61"/>
      <c r="M11" s="90"/>
      <c r="N11" s="90"/>
      <c r="O11" s="90"/>
      <c r="P11" s="90"/>
      <c r="Q11" s="90"/>
      <c r="R11" s="90"/>
      <c r="S11" s="90"/>
      <c r="T11" s="91"/>
      <c r="U11" s="91"/>
      <c r="V11" s="91"/>
      <c r="W11" s="91"/>
      <c r="X11" s="91"/>
      <c r="Y11" s="91"/>
    </row>
    <row r="12" spans="1:25" x14ac:dyDescent="0.3">
      <c r="C12" s="74" t="str">
        <f>G4</f>
        <v>IMPORTANT INFORMATION</v>
      </c>
      <c r="M12" s="90"/>
      <c r="N12" s="90"/>
      <c r="O12" s="90"/>
      <c r="P12" s="90"/>
      <c r="Q12" s="96"/>
      <c r="R12" s="96"/>
      <c r="S12" s="96"/>
    </row>
    <row r="13" spans="1:25" s="58" customFormat="1" ht="13.8" x14ac:dyDescent="0.3">
      <c r="M13" s="90"/>
      <c r="N13" s="90"/>
      <c r="O13" s="90"/>
      <c r="P13" s="90"/>
      <c r="Q13" s="90"/>
      <c r="R13" s="90"/>
      <c r="S13" s="90"/>
      <c r="T13" s="91"/>
      <c r="U13" s="91"/>
      <c r="V13" s="91"/>
      <c r="W13" s="91"/>
      <c r="X13" s="91"/>
      <c r="Y13" s="91"/>
    </row>
    <row r="14" spans="1:25" s="58" customFormat="1" ht="13.8" x14ac:dyDescent="0.3">
      <c r="B14" s="75" t="s">
        <v>107</v>
      </c>
      <c r="M14" s="90"/>
      <c r="N14" s="90"/>
      <c r="O14" s="90"/>
      <c r="P14" s="90"/>
      <c r="Q14" s="90"/>
      <c r="R14" s="90"/>
      <c r="S14" s="90"/>
      <c r="T14" s="91"/>
      <c r="U14" s="91"/>
      <c r="V14" s="91"/>
      <c r="W14" s="91"/>
      <c r="X14" s="91"/>
      <c r="Y14" s="91"/>
    </row>
    <row r="15" spans="1:25" s="58" customFormat="1" ht="13.8" x14ac:dyDescent="0.3">
      <c r="A15" s="76"/>
      <c r="K15" s="76"/>
      <c r="M15" s="94"/>
      <c r="N15" s="94"/>
      <c r="O15" s="94"/>
      <c r="P15" s="94"/>
      <c r="Q15" s="94"/>
      <c r="R15" s="95"/>
      <c r="S15" s="95"/>
      <c r="T15" s="91"/>
      <c r="U15" s="91"/>
      <c r="V15" s="91"/>
      <c r="W15" s="91"/>
      <c r="X15" s="91"/>
      <c r="Y15" s="91"/>
    </row>
    <row r="16" spans="1:25" s="58" customFormat="1" ht="12.75" customHeight="1" x14ac:dyDescent="0.3">
      <c r="B16" s="110" t="s">
        <v>151</v>
      </c>
      <c r="C16" s="110"/>
      <c r="D16" s="110"/>
      <c r="E16" s="110"/>
      <c r="F16" s="110"/>
      <c r="G16" s="110"/>
      <c r="H16" s="110"/>
      <c r="I16" s="110"/>
      <c r="J16" s="110"/>
      <c r="M16" s="94"/>
      <c r="N16" s="94"/>
      <c r="O16" s="94"/>
      <c r="P16" s="94"/>
      <c r="Q16" s="94"/>
      <c r="R16" s="95"/>
      <c r="S16" s="95"/>
      <c r="T16" s="91"/>
      <c r="U16" s="91"/>
      <c r="V16" s="91"/>
      <c r="W16" s="91"/>
      <c r="X16" s="91"/>
      <c r="Y16" s="91"/>
    </row>
    <row r="17" spans="1:25" s="58" customFormat="1" ht="13.8" x14ac:dyDescent="0.3">
      <c r="B17" s="110"/>
      <c r="C17" s="110"/>
      <c r="D17" s="110"/>
      <c r="E17" s="110"/>
      <c r="F17" s="110"/>
      <c r="G17" s="110"/>
      <c r="H17" s="110"/>
      <c r="I17" s="110"/>
      <c r="J17" s="110"/>
      <c r="M17" s="94"/>
      <c r="N17" s="94"/>
      <c r="O17" s="94"/>
      <c r="P17" s="94"/>
      <c r="Q17" s="94"/>
      <c r="R17" s="95"/>
      <c r="S17" s="95"/>
      <c r="T17" s="91"/>
      <c r="U17" s="91"/>
      <c r="V17" s="91"/>
      <c r="W17" s="91"/>
      <c r="X17" s="91"/>
      <c r="Y17" s="91"/>
    </row>
    <row r="18" spans="1:25" s="58" customFormat="1" ht="13.8" x14ac:dyDescent="0.3">
      <c r="B18" s="110"/>
      <c r="C18" s="110"/>
      <c r="D18" s="110"/>
      <c r="E18" s="110"/>
      <c r="F18" s="110"/>
      <c r="G18" s="110"/>
      <c r="H18" s="110"/>
      <c r="I18" s="110"/>
      <c r="J18" s="110"/>
      <c r="M18" s="94"/>
      <c r="N18" s="94"/>
      <c r="O18" s="94"/>
      <c r="P18" s="94"/>
      <c r="Q18" s="94"/>
      <c r="R18" s="95"/>
      <c r="S18" s="95"/>
      <c r="T18" s="91"/>
      <c r="U18" s="91"/>
      <c r="V18" s="91"/>
      <c r="W18" s="91"/>
      <c r="X18" s="91"/>
      <c r="Y18" s="91"/>
    </row>
    <row r="19" spans="1:25" s="58" customFormat="1" ht="13.8" x14ac:dyDescent="0.3">
      <c r="B19" s="110"/>
      <c r="C19" s="110"/>
      <c r="D19" s="110"/>
      <c r="E19" s="110"/>
      <c r="F19" s="110"/>
      <c r="G19" s="110"/>
      <c r="H19" s="110"/>
      <c r="I19" s="110"/>
      <c r="J19" s="110"/>
      <c r="M19" s="94"/>
      <c r="N19" s="94"/>
      <c r="O19" s="94"/>
      <c r="P19" s="94"/>
      <c r="Q19" s="94"/>
      <c r="R19" s="95"/>
      <c r="S19" s="95"/>
      <c r="T19" s="91"/>
      <c r="U19" s="91"/>
      <c r="V19" s="91"/>
      <c r="W19" s="91"/>
      <c r="X19" s="91"/>
      <c r="Y19" s="91"/>
    </row>
    <row r="20" spans="1:25" s="58" customFormat="1" ht="12.75" customHeight="1" x14ac:dyDescent="0.3">
      <c r="A20" s="76"/>
      <c r="B20" s="77" t="s">
        <v>152</v>
      </c>
      <c r="C20" s="76"/>
      <c r="D20" s="76"/>
      <c r="E20" s="76"/>
      <c r="F20" s="76"/>
      <c r="G20" s="76"/>
      <c r="H20" s="76"/>
      <c r="I20" s="76"/>
      <c r="J20" s="76"/>
      <c r="K20" s="76"/>
      <c r="M20" s="94"/>
      <c r="N20" s="94"/>
      <c r="O20" s="94"/>
      <c r="P20" s="94"/>
      <c r="Q20" s="94"/>
      <c r="R20" s="95"/>
      <c r="S20" s="95"/>
      <c r="T20" s="91"/>
      <c r="U20" s="91"/>
      <c r="V20" s="91"/>
      <c r="W20" s="91"/>
      <c r="X20" s="91"/>
      <c r="Y20" s="91"/>
    </row>
    <row r="21" spans="1:25" s="58" customFormat="1" ht="13.8" x14ac:dyDescent="0.3">
      <c r="A21" s="76"/>
      <c r="B21" s="77"/>
      <c r="C21" s="76"/>
      <c r="D21" s="76"/>
      <c r="E21" s="76"/>
      <c r="F21" s="76"/>
      <c r="G21" s="76"/>
      <c r="H21" s="76"/>
      <c r="I21" s="76"/>
      <c r="J21" s="76"/>
      <c r="K21" s="76"/>
      <c r="M21" s="94"/>
      <c r="N21" s="94"/>
      <c r="O21" s="94"/>
      <c r="P21" s="94"/>
      <c r="Q21" s="94"/>
      <c r="R21" s="95"/>
      <c r="S21" s="95"/>
      <c r="T21" s="91"/>
      <c r="U21" s="91"/>
      <c r="V21" s="91"/>
      <c r="W21" s="91"/>
      <c r="X21" s="91"/>
      <c r="Y21" s="91"/>
    </row>
    <row r="22" spans="1:25" s="58" customFormat="1" ht="12.75" customHeight="1" x14ac:dyDescent="0.3">
      <c r="A22" s="76"/>
      <c r="B22" s="110" t="s">
        <v>153</v>
      </c>
      <c r="C22" s="110"/>
      <c r="D22" s="110"/>
      <c r="E22" s="110"/>
      <c r="F22" s="110"/>
      <c r="G22" s="110"/>
      <c r="H22" s="110"/>
      <c r="I22" s="110"/>
      <c r="J22" s="110"/>
      <c r="K22" s="76"/>
      <c r="M22" s="94"/>
      <c r="N22" s="94"/>
      <c r="O22" s="94"/>
      <c r="P22" s="94"/>
      <c r="Q22" s="94"/>
      <c r="R22" s="95"/>
      <c r="S22" s="95"/>
      <c r="T22" s="91"/>
      <c r="U22" s="91"/>
      <c r="V22" s="91"/>
      <c r="W22" s="91"/>
      <c r="X22" s="91"/>
      <c r="Y22" s="91"/>
    </row>
    <row r="23" spans="1:25" s="58" customFormat="1" ht="13.8" x14ac:dyDescent="0.3">
      <c r="A23" s="76"/>
      <c r="B23" s="110"/>
      <c r="C23" s="110"/>
      <c r="D23" s="110"/>
      <c r="E23" s="110"/>
      <c r="F23" s="110"/>
      <c r="G23" s="110"/>
      <c r="H23" s="110"/>
      <c r="I23" s="110"/>
      <c r="J23" s="110"/>
      <c r="K23" s="76"/>
      <c r="M23" s="94"/>
      <c r="N23" s="94"/>
      <c r="O23" s="94"/>
      <c r="P23" s="94"/>
      <c r="Q23" s="94"/>
      <c r="R23" s="95"/>
      <c r="S23" s="98"/>
      <c r="T23" s="91"/>
      <c r="U23" s="91"/>
      <c r="V23" s="91"/>
      <c r="W23" s="91"/>
      <c r="X23" s="91"/>
      <c r="Y23" s="91"/>
    </row>
    <row r="24" spans="1:25" s="58" customFormat="1" ht="13.8" x14ac:dyDescent="0.3">
      <c r="A24" s="76"/>
      <c r="B24" s="110"/>
      <c r="C24" s="110"/>
      <c r="D24" s="110"/>
      <c r="E24" s="110"/>
      <c r="F24" s="110"/>
      <c r="G24" s="110"/>
      <c r="H24" s="110"/>
      <c r="I24" s="110"/>
      <c r="J24" s="110"/>
      <c r="K24" s="76"/>
      <c r="M24" s="94"/>
      <c r="N24" s="94"/>
      <c r="O24" s="94"/>
      <c r="P24" s="94"/>
      <c r="Q24" s="94"/>
      <c r="R24" s="95"/>
      <c r="S24" s="98"/>
      <c r="T24" s="91"/>
      <c r="U24" s="91"/>
      <c r="V24" s="91"/>
      <c r="W24" s="91"/>
      <c r="X24" s="91"/>
      <c r="Y24" s="91"/>
    </row>
    <row r="25" spans="1:25" s="58" customFormat="1" ht="12.75" customHeight="1" x14ac:dyDescent="0.3">
      <c r="A25" s="76"/>
      <c r="B25" s="105"/>
      <c r="C25" s="105"/>
      <c r="D25" s="105"/>
      <c r="E25" s="105"/>
      <c r="F25" s="106" t="s">
        <v>163</v>
      </c>
      <c r="G25" s="105"/>
      <c r="H25" s="105"/>
      <c r="I25" s="105"/>
      <c r="J25" s="105"/>
      <c r="K25" s="76"/>
      <c r="M25" s="94"/>
      <c r="N25" s="94"/>
      <c r="O25" s="94"/>
      <c r="P25" s="94"/>
      <c r="Q25" s="94"/>
      <c r="R25" s="95"/>
      <c r="S25" s="95"/>
      <c r="T25" s="91"/>
      <c r="U25" s="91"/>
      <c r="V25" s="91"/>
      <c r="W25" s="91"/>
      <c r="X25" s="91"/>
      <c r="Y25" s="91"/>
    </row>
    <row r="26" spans="1:25" s="58" customFormat="1" ht="12.75" customHeight="1" x14ac:dyDescent="0.3">
      <c r="A26" s="76"/>
      <c r="B26" s="110" t="s">
        <v>154</v>
      </c>
      <c r="C26" s="110"/>
      <c r="D26" s="110"/>
      <c r="E26" s="110"/>
      <c r="F26" s="110"/>
      <c r="G26" s="110"/>
      <c r="H26" s="110"/>
      <c r="I26" s="110"/>
      <c r="J26" s="110"/>
      <c r="K26" s="76"/>
      <c r="M26" s="94"/>
      <c r="N26" s="94"/>
      <c r="O26" s="94"/>
      <c r="P26" s="94"/>
      <c r="Q26" s="94"/>
      <c r="R26" s="95"/>
      <c r="S26" s="95"/>
      <c r="T26" s="91"/>
      <c r="U26" s="91"/>
      <c r="V26" s="91"/>
      <c r="W26" s="91"/>
      <c r="X26" s="91"/>
      <c r="Y26" s="91"/>
    </row>
    <row r="27" spans="1:25" s="58" customFormat="1" ht="13.8" x14ac:dyDescent="0.3">
      <c r="A27" s="76"/>
      <c r="B27" s="110"/>
      <c r="C27" s="110"/>
      <c r="D27" s="110"/>
      <c r="E27" s="110"/>
      <c r="F27" s="110"/>
      <c r="G27" s="110"/>
      <c r="H27" s="110"/>
      <c r="I27" s="110"/>
      <c r="J27" s="110"/>
      <c r="K27" s="76"/>
      <c r="M27" s="94"/>
      <c r="N27" s="94"/>
      <c r="O27" s="94"/>
      <c r="P27" s="94"/>
      <c r="Q27" s="94"/>
      <c r="R27" s="95"/>
      <c r="S27" s="95"/>
      <c r="T27" s="91"/>
      <c r="U27" s="91"/>
      <c r="V27" s="91"/>
      <c r="W27" s="91"/>
      <c r="X27" s="91"/>
      <c r="Y27" s="91"/>
    </row>
    <row r="28" spans="1:25" s="58" customFormat="1" ht="13.8" x14ac:dyDescent="0.3">
      <c r="A28" s="76"/>
      <c r="B28" s="105"/>
      <c r="C28" s="105"/>
      <c r="D28" s="105"/>
      <c r="E28" s="105"/>
      <c r="F28" s="105"/>
      <c r="G28" s="105"/>
      <c r="H28" s="105"/>
      <c r="I28" s="105"/>
      <c r="J28" s="105"/>
      <c r="K28" s="76"/>
      <c r="M28" s="94"/>
      <c r="N28" s="94"/>
      <c r="O28" s="94"/>
      <c r="P28" s="94"/>
      <c r="Q28" s="94"/>
      <c r="R28" s="95"/>
      <c r="S28" s="95"/>
      <c r="T28" s="91"/>
      <c r="U28" s="91"/>
      <c r="V28" s="91"/>
      <c r="W28" s="91"/>
      <c r="X28" s="91"/>
      <c r="Y28" s="91"/>
    </row>
    <row r="29" spans="1:25" s="58" customFormat="1" ht="12.75" customHeight="1" x14ac:dyDescent="0.3">
      <c r="A29" s="76"/>
      <c r="B29" s="110" t="s">
        <v>155</v>
      </c>
      <c r="C29" s="110"/>
      <c r="D29" s="110"/>
      <c r="E29" s="110"/>
      <c r="F29" s="110"/>
      <c r="G29" s="110"/>
      <c r="H29" s="110"/>
      <c r="I29" s="110"/>
      <c r="J29" s="110"/>
      <c r="K29" s="76"/>
      <c r="M29" s="94"/>
      <c r="N29" s="94"/>
      <c r="O29" s="94"/>
      <c r="P29" s="94"/>
      <c r="Q29" s="94"/>
      <c r="R29" s="95"/>
      <c r="S29" s="95"/>
      <c r="T29" s="91"/>
      <c r="U29" s="91"/>
      <c r="V29" s="91"/>
      <c r="W29" s="91"/>
      <c r="X29" s="91"/>
      <c r="Y29" s="91"/>
    </row>
    <row r="30" spans="1:25" s="58" customFormat="1" ht="12.75" customHeight="1" x14ac:dyDescent="0.3">
      <c r="A30" s="76"/>
      <c r="B30" s="110"/>
      <c r="C30" s="110"/>
      <c r="D30" s="110"/>
      <c r="E30" s="110"/>
      <c r="F30" s="110"/>
      <c r="G30" s="110"/>
      <c r="H30" s="110"/>
      <c r="I30" s="110"/>
      <c r="J30" s="110"/>
      <c r="K30" s="76"/>
      <c r="M30" s="94"/>
      <c r="N30" s="94"/>
      <c r="O30" s="94"/>
      <c r="P30" s="94"/>
      <c r="Q30" s="94"/>
      <c r="R30" s="95"/>
      <c r="S30" s="95"/>
      <c r="T30" s="91"/>
      <c r="U30" s="91"/>
      <c r="V30" s="91"/>
      <c r="W30" s="91"/>
      <c r="X30" s="91"/>
      <c r="Y30" s="91"/>
    </row>
    <row r="31" spans="1:25" s="58" customFormat="1" ht="12.75" customHeight="1" x14ac:dyDescent="0.3">
      <c r="A31" s="76"/>
      <c r="B31" s="110"/>
      <c r="C31" s="110"/>
      <c r="D31" s="110"/>
      <c r="E31" s="110"/>
      <c r="F31" s="110"/>
      <c r="G31" s="110"/>
      <c r="H31" s="110"/>
      <c r="I31" s="110"/>
      <c r="J31" s="110"/>
      <c r="K31" s="76"/>
      <c r="M31" s="94"/>
      <c r="N31" s="94"/>
      <c r="O31" s="94"/>
      <c r="P31" s="94"/>
      <c r="Q31" s="94"/>
      <c r="R31" s="95"/>
      <c r="S31" s="95"/>
      <c r="T31" s="91"/>
      <c r="U31" s="91"/>
      <c r="V31" s="91"/>
      <c r="W31" s="91"/>
      <c r="X31" s="91"/>
      <c r="Y31" s="91"/>
    </row>
    <row r="32" spans="1:25" s="58" customFormat="1" ht="12.75" customHeight="1" x14ac:dyDescent="0.3">
      <c r="A32" s="76"/>
      <c r="B32" s="110"/>
      <c r="C32" s="110"/>
      <c r="D32" s="110"/>
      <c r="E32" s="110"/>
      <c r="F32" s="110"/>
      <c r="G32" s="110"/>
      <c r="H32" s="110"/>
      <c r="I32" s="110"/>
      <c r="J32" s="110"/>
      <c r="K32" s="76"/>
      <c r="M32" s="94"/>
      <c r="N32" s="94"/>
      <c r="O32" s="94"/>
      <c r="P32" s="94"/>
      <c r="Q32" s="94"/>
      <c r="R32" s="95"/>
      <c r="S32" s="95"/>
      <c r="T32" s="91"/>
      <c r="U32" s="91"/>
      <c r="V32" s="91"/>
      <c r="W32" s="91"/>
      <c r="X32" s="91"/>
      <c r="Y32" s="91"/>
    </row>
    <row r="33" spans="1:25" s="58" customFormat="1" ht="12.75" customHeight="1" x14ac:dyDescent="0.3">
      <c r="A33" s="76"/>
      <c r="B33" s="110"/>
      <c r="C33" s="110"/>
      <c r="D33" s="110"/>
      <c r="E33" s="110"/>
      <c r="F33" s="110"/>
      <c r="G33" s="110"/>
      <c r="H33" s="110"/>
      <c r="I33" s="110"/>
      <c r="J33" s="110"/>
      <c r="K33" s="76"/>
      <c r="M33" s="94"/>
      <c r="N33" s="94"/>
      <c r="O33" s="94"/>
      <c r="P33" s="94"/>
      <c r="Q33" s="94"/>
      <c r="R33" s="95"/>
      <c r="S33" s="98"/>
      <c r="T33" s="91"/>
      <c r="U33" s="91"/>
      <c r="V33" s="91"/>
      <c r="W33" s="91"/>
      <c r="X33" s="91"/>
      <c r="Y33" s="91"/>
    </row>
    <row r="34" spans="1:25" s="58" customFormat="1" ht="13.8" x14ac:dyDescent="0.3">
      <c r="A34" s="76"/>
      <c r="B34" s="105"/>
      <c r="C34" s="105"/>
      <c r="D34" s="112" t="s">
        <v>108</v>
      </c>
      <c r="E34" s="112"/>
      <c r="F34" s="112"/>
      <c r="G34" s="112"/>
      <c r="H34" s="112"/>
      <c r="I34" s="105"/>
      <c r="J34" s="105"/>
      <c r="K34" s="76"/>
      <c r="M34" s="94"/>
      <c r="N34" s="94"/>
      <c r="O34" s="94"/>
      <c r="P34" s="94"/>
      <c r="Q34" s="94"/>
      <c r="R34" s="95"/>
      <c r="S34" s="98"/>
      <c r="T34" s="91"/>
      <c r="U34" s="91"/>
      <c r="V34" s="91"/>
      <c r="W34" s="91"/>
      <c r="X34" s="91"/>
      <c r="Y34" s="91"/>
    </row>
    <row r="35" spans="1:25" s="58" customFormat="1" ht="12.75" customHeight="1" x14ac:dyDescent="0.3">
      <c r="A35" s="76"/>
      <c r="B35" s="76"/>
      <c r="C35" s="76"/>
      <c r="I35" s="76"/>
      <c r="J35" s="76"/>
      <c r="K35" s="76"/>
      <c r="M35" s="94"/>
      <c r="N35" s="94"/>
      <c r="O35" s="94"/>
      <c r="P35" s="94"/>
      <c r="Q35" s="94"/>
      <c r="R35" s="95"/>
      <c r="S35" s="95"/>
      <c r="T35" s="91"/>
      <c r="U35" s="91"/>
      <c r="V35" s="91"/>
      <c r="W35" s="91"/>
      <c r="X35" s="91"/>
      <c r="Y35" s="91"/>
    </row>
    <row r="36" spans="1:25" s="58" customFormat="1" ht="12.75" customHeight="1" x14ac:dyDescent="0.3">
      <c r="A36" s="76"/>
      <c r="B36" s="77" t="s">
        <v>109</v>
      </c>
      <c r="C36" s="76"/>
      <c r="D36" s="76"/>
      <c r="E36" s="76"/>
      <c r="F36" s="107"/>
      <c r="G36" s="76"/>
      <c r="H36" s="76"/>
      <c r="I36" s="76"/>
      <c r="J36" s="76"/>
      <c r="K36" s="76"/>
      <c r="M36" s="94"/>
      <c r="N36" s="94"/>
      <c r="O36" s="94"/>
      <c r="P36" s="94"/>
      <c r="Q36" s="94"/>
      <c r="R36" s="95"/>
      <c r="S36" s="95"/>
      <c r="T36" s="91"/>
      <c r="U36" s="91"/>
      <c r="V36" s="91"/>
      <c r="W36" s="91"/>
      <c r="X36" s="91"/>
      <c r="Y36" s="91"/>
    </row>
    <row r="37" spans="1:25" s="58" customFormat="1" ht="13.8" x14ac:dyDescent="0.3">
      <c r="A37" s="76"/>
      <c r="B37" s="77"/>
      <c r="C37" s="76"/>
      <c r="D37" s="76"/>
      <c r="E37" s="76"/>
      <c r="F37" s="107"/>
      <c r="G37" s="76"/>
      <c r="H37" s="76"/>
      <c r="I37" s="76"/>
      <c r="J37" s="76"/>
      <c r="K37" s="76"/>
      <c r="M37" s="94"/>
      <c r="N37" s="94"/>
      <c r="O37" s="94"/>
      <c r="P37" s="94"/>
      <c r="Q37" s="94"/>
      <c r="R37" s="95"/>
      <c r="S37" s="95"/>
      <c r="T37" s="91"/>
      <c r="U37" s="91"/>
      <c r="V37" s="91"/>
      <c r="W37" s="91"/>
      <c r="X37" s="91"/>
      <c r="Y37" s="91"/>
    </row>
    <row r="38" spans="1:25" s="58" customFormat="1" ht="12.75" customHeight="1" x14ac:dyDescent="0.3">
      <c r="A38" s="76"/>
      <c r="B38" s="110" t="s">
        <v>156</v>
      </c>
      <c r="C38" s="110"/>
      <c r="D38" s="110"/>
      <c r="E38" s="110"/>
      <c r="F38" s="110"/>
      <c r="G38" s="110"/>
      <c r="H38" s="110"/>
      <c r="I38" s="110"/>
      <c r="J38" s="110"/>
      <c r="K38" s="76"/>
      <c r="M38" s="94"/>
      <c r="N38" s="94"/>
      <c r="O38" s="94"/>
      <c r="P38" s="94"/>
      <c r="Q38" s="94"/>
      <c r="R38" s="95"/>
      <c r="S38" s="95"/>
      <c r="T38" s="91"/>
      <c r="U38" s="91"/>
      <c r="V38" s="91"/>
      <c r="W38" s="91"/>
      <c r="X38" s="91"/>
      <c r="Y38" s="91"/>
    </row>
    <row r="39" spans="1:25" s="58" customFormat="1" ht="13.8" x14ac:dyDescent="0.3">
      <c r="A39" s="76"/>
      <c r="B39" s="110"/>
      <c r="C39" s="110"/>
      <c r="D39" s="110"/>
      <c r="E39" s="110"/>
      <c r="F39" s="110"/>
      <c r="G39" s="110"/>
      <c r="H39" s="110"/>
      <c r="I39" s="110"/>
      <c r="J39" s="110"/>
      <c r="K39" s="76"/>
      <c r="M39" s="94"/>
      <c r="N39" s="94"/>
      <c r="O39" s="94"/>
      <c r="P39" s="94"/>
      <c r="Q39" s="94"/>
      <c r="R39" s="95"/>
      <c r="S39" s="95"/>
      <c r="T39" s="91"/>
      <c r="U39" s="91"/>
      <c r="V39" s="91"/>
      <c r="W39" s="91"/>
      <c r="X39" s="91"/>
      <c r="Y39" s="91"/>
    </row>
    <row r="40" spans="1:25" s="58" customFormat="1" ht="13.8" x14ac:dyDescent="0.3">
      <c r="A40" s="76"/>
      <c r="B40" s="105"/>
      <c r="C40" s="105"/>
      <c r="D40" s="105"/>
      <c r="E40" s="105"/>
      <c r="F40" s="105"/>
      <c r="G40" s="105"/>
      <c r="H40" s="105"/>
      <c r="I40" s="105"/>
      <c r="J40" s="105"/>
      <c r="K40" s="76"/>
      <c r="M40" s="94"/>
      <c r="N40" s="94"/>
      <c r="O40" s="94"/>
      <c r="P40" s="94"/>
      <c r="Q40" s="94"/>
      <c r="R40" s="95"/>
      <c r="S40" s="95"/>
      <c r="T40" s="91"/>
      <c r="U40" s="91"/>
      <c r="V40" s="91"/>
      <c r="W40" s="91"/>
      <c r="X40" s="91"/>
      <c r="Y40" s="91"/>
    </row>
    <row r="41" spans="1:25" s="58" customFormat="1" ht="12.75" customHeight="1" x14ac:dyDescent="0.3">
      <c r="A41" s="76"/>
      <c r="B41" s="110" t="s">
        <v>157</v>
      </c>
      <c r="C41" s="110"/>
      <c r="D41" s="110"/>
      <c r="E41" s="110"/>
      <c r="F41" s="110"/>
      <c r="G41" s="110"/>
      <c r="H41" s="110"/>
      <c r="I41" s="110"/>
      <c r="J41" s="110"/>
      <c r="K41" s="76"/>
      <c r="M41" s="94"/>
      <c r="N41" s="94"/>
      <c r="O41" s="94"/>
      <c r="P41" s="94"/>
      <c r="Q41" s="94"/>
      <c r="R41" s="95"/>
      <c r="S41" s="95"/>
      <c r="T41" s="91"/>
      <c r="U41" s="91"/>
      <c r="V41" s="91"/>
      <c r="W41" s="91"/>
      <c r="X41" s="91"/>
      <c r="Y41" s="91"/>
    </row>
    <row r="42" spans="1:25" s="58" customFormat="1" ht="13.8" x14ac:dyDescent="0.3">
      <c r="A42" s="76"/>
      <c r="B42" s="110"/>
      <c r="C42" s="110"/>
      <c r="D42" s="110"/>
      <c r="E42" s="110"/>
      <c r="F42" s="110"/>
      <c r="G42" s="110"/>
      <c r="H42" s="110"/>
      <c r="I42" s="110"/>
      <c r="J42" s="110"/>
      <c r="K42" s="76"/>
      <c r="M42" s="94"/>
      <c r="N42" s="94"/>
      <c r="O42" s="94"/>
      <c r="P42" s="94"/>
      <c r="Q42" s="94"/>
      <c r="R42" s="95"/>
      <c r="S42" s="95"/>
      <c r="T42" s="91"/>
      <c r="U42" s="91"/>
      <c r="V42" s="91"/>
      <c r="W42" s="91"/>
      <c r="X42" s="91"/>
      <c r="Y42" s="91"/>
    </row>
    <row r="43" spans="1:25" s="58" customFormat="1" ht="13.8" x14ac:dyDescent="0.3">
      <c r="A43" s="76"/>
      <c r="B43" s="110"/>
      <c r="C43" s="110"/>
      <c r="D43" s="110"/>
      <c r="E43" s="110"/>
      <c r="F43" s="110"/>
      <c r="G43" s="110"/>
      <c r="H43" s="110"/>
      <c r="I43" s="110"/>
      <c r="J43" s="110"/>
      <c r="K43" s="76"/>
      <c r="M43" s="94"/>
      <c r="N43" s="94"/>
      <c r="O43" s="94"/>
      <c r="P43" s="94"/>
      <c r="Q43" s="94"/>
      <c r="R43" s="95"/>
      <c r="S43" s="95"/>
      <c r="T43" s="91"/>
      <c r="U43" s="91"/>
      <c r="V43" s="91"/>
      <c r="W43" s="91"/>
      <c r="X43" s="91"/>
      <c r="Y43" s="91"/>
    </row>
    <row r="44" spans="1:25" s="58" customFormat="1" ht="12.75" customHeight="1" x14ac:dyDescent="0.3">
      <c r="A44" s="76"/>
      <c r="B44" s="105"/>
      <c r="C44" s="105"/>
      <c r="D44" s="105"/>
      <c r="E44" s="105"/>
      <c r="F44" s="105"/>
      <c r="G44" s="105"/>
      <c r="H44" s="105"/>
      <c r="I44" s="105"/>
      <c r="J44" s="105"/>
      <c r="K44" s="76"/>
      <c r="M44" s="94"/>
      <c r="N44" s="94"/>
      <c r="O44" s="94"/>
      <c r="P44" s="94"/>
      <c r="Q44" s="94"/>
      <c r="R44" s="95"/>
      <c r="S44" s="95"/>
      <c r="T44" s="91"/>
      <c r="U44" s="91"/>
      <c r="V44" s="91"/>
      <c r="W44" s="91"/>
      <c r="X44" s="91"/>
      <c r="Y44" s="91"/>
    </row>
    <row r="45" spans="1:25" s="58" customFormat="1" ht="12.75" customHeight="1" x14ac:dyDescent="0.3">
      <c r="A45" s="76"/>
      <c r="B45" s="110" t="s">
        <v>112</v>
      </c>
      <c r="C45" s="110"/>
      <c r="D45" s="110"/>
      <c r="E45" s="110"/>
      <c r="F45" s="110"/>
      <c r="G45" s="110"/>
      <c r="H45" s="110"/>
      <c r="I45" s="110"/>
      <c r="J45" s="110"/>
      <c r="K45" s="76"/>
      <c r="M45" s="94"/>
      <c r="N45" s="94"/>
      <c r="O45" s="94"/>
      <c r="P45" s="94"/>
      <c r="Q45" s="94"/>
      <c r="R45" s="95"/>
      <c r="S45" s="95"/>
      <c r="T45" s="91"/>
      <c r="U45" s="91"/>
      <c r="V45" s="91"/>
      <c r="W45" s="91"/>
      <c r="X45" s="91"/>
      <c r="Y45" s="91"/>
    </row>
    <row r="46" spans="1:25" s="58" customFormat="1" ht="13.8" x14ac:dyDescent="0.3">
      <c r="A46" s="76"/>
      <c r="B46" s="110"/>
      <c r="C46" s="110"/>
      <c r="D46" s="110"/>
      <c r="E46" s="110"/>
      <c r="F46" s="110"/>
      <c r="G46" s="110"/>
      <c r="H46" s="110"/>
      <c r="I46" s="110"/>
      <c r="J46" s="110"/>
      <c r="K46" s="76"/>
      <c r="M46" s="94"/>
      <c r="N46" s="94"/>
      <c r="O46" s="94"/>
      <c r="P46" s="94"/>
      <c r="Q46" s="94"/>
      <c r="R46" s="95"/>
      <c r="S46" s="95"/>
      <c r="T46" s="91"/>
      <c r="U46" s="91"/>
      <c r="V46" s="91"/>
      <c r="W46" s="91"/>
      <c r="X46" s="91"/>
      <c r="Y46" s="91"/>
    </row>
    <row r="47" spans="1:25" s="58" customFormat="1" ht="13.8" x14ac:dyDescent="0.3">
      <c r="A47" s="76"/>
      <c r="B47" s="110"/>
      <c r="C47" s="110"/>
      <c r="D47" s="110"/>
      <c r="E47" s="110"/>
      <c r="F47" s="110"/>
      <c r="G47" s="110"/>
      <c r="H47" s="110"/>
      <c r="I47" s="110"/>
      <c r="J47" s="110"/>
      <c r="K47" s="76"/>
      <c r="M47" s="94"/>
      <c r="N47" s="94"/>
      <c r="O47" s="94"/>
      <c r="P47" s="94"/>
      <c r="Q47" s="94"/>
      <c r="R47" s="95"/>
      <c r="S47" s="95"/>
      <c r="T47" s="91"/>
      <c r="U47" s="91"/>
      <c r="V47" s="91"/>
      <c r="W47" s="91"/>
      <c r="X47" s="91"/>
      <c r="Y47" s="91"/>
    </row>
    <row r="48" spans="1:25" s="58" customFormat="1" ht="12.75" customHeight="1" x14ac:dyDescent="0.3">
      <c r="A48" s="76"/>
      <c r="B48" s="110"/>
      <c r="C48" s="110"/>
      <c r="D48" s="110"/>
      <c r="E48" s="110"/>
      <c r="F48" s="110"/>
      <c r="G48" s="110"/>
      <c r="H48" s="110"/>
      <c r="I48" s="110"/>
      <c r="J48" s="110"/>
      <c r="K48" s="76"/>
      <c r="M48" s="94"/>
      <c r="N48" s="94"/>
      <c r="O48" s="94"/>
      <c r="P48" s="94"/>
      <c r="Q48" s="94"/>
      <c r="R48" s="95"/>
      <c r="S48" s="95"/>
      <c r="T48" s="91"/>
      <c r="U48" s="91"/>
      <c r="V48" s="91"/>
      <c r="W48" s="91"/>
      <c r="X48" s="91"/>
      <c r="Y48" s="91"/>
    </row>
    <row r="49" spans="1:25" s="58" customFormat="1" ht="13.8" x14ac:dyDescent="0.3">
      <c r="A49" s="76"/>
      <c r="B49" s="76" t="s">
        <v>158</v>
      </c>
      <c r="C49" s="76"/>
      <c r="D49" s="76"/>
      <c r="E49" s="76"/>
      <c r="F49" s="76"/>
      <c r="G49" s="76"/>
      <c r="H49" s="76"/>
      <c r="I49" s="76"/>
      <c r="J49" s="76"/>
      <c r="K49" s="76"/>
      <c r="M49" s="94"/>
      <c r="N49" s="94"/>
      <c r="O49" s="94"/>
      <c r="P49" s="94"/>
      <c r="Q49" s="94"/>
      <c r="R49" s="95"/>
      <c r="S49" s="95"/>
      <c r="T49" s="91"/>
      <c r="U49" s="91"/>
      <c r="V49" s="91"/>
      <c r="W49" s="91"/>
      <c r="X49" s="91"/>
      <c r="Y49" s="91"/>
    </row>
    <row r="50" spans="1:25" s="58" customFormat="1" ht="13.8" x14ac:dyDescent="0.3">
      <c r="A50" s="76"/>
      <c r="B50" s="76"/>
      <c r="C50" s="76"/>
      <c r="D50" s="76"/>
      <c r="F50" s="108" t="s">
        <v>164</v>
      </c>
      <c r="G50" s="107"/>
      <c r="H50" s="76"/>
      <c r="I50" s="76"/>
      <c r="J50" s="76"/>
      <c r="K50" s="76"/>
      <c r="M50" s="94"/>
      <c r="N50" s="94"/>
      <c r="O50" s="94"/>
      <c r="P50" s="94"/>
      <c r="Q50" s="94"/>
      <c r="R50" s="95"/>
      <c r="S50" s="95"/>
      <c r="T50" s="91"/>
      <c r="U50" s="91"/>
      <c r="V50" s="91"/>
      <c r="W50" s="91"/>
      <c r="X50" s="91"/>
      <c r="Y50" s="91"/>
    </row>
    <row r="51" spans="1:25" s="58" customFormat="1" ht="13.8" x14ac:dyDescent="0.3">
      <c r="A51" s="76"/>
      <c r="B51" s="76"/>
      <c r="C51" s="76"/>
      <c r="D51" s="76"/>
      <c r="E51" s="76"/>
      <c r="F51" s="76"/>
      <c r="G51" s="76"/>
      <c r="H51" s="76"/>
      <c r="I51" s="76"/>
      <c r="J51" s="76"/>
      <c r="K51" s="76"/>
      <c r="M51" s="94"/>
      <c r="N51" s="94"/>
      <c r="O51" s="94"/>
      <c r="P51" s="94"/>
      <c r="Q51" s="94"/>
      <c r="R51" s="95"/>
      <c r="S51" s="95"/>
      <c r="T51" s="91"/>
      <c r="U51" s="91"/>
      <c r="V51" s="91"/>
      <c r="W51" s="91"/>
      <c r="X51" s="91"/>
      <c r="Y51" s="91"/>
    </row>
    <row r="52" spans="1:25" s="58" customFormat="1" ht="12.75" customHeight="1" x14ac:dyDescent="0.3">
      <c r="A52" s="76"/>
      <c r="B52" s="77" t="s">
        <v>159</v>
      </c>
      <c r="C52" s="76"/>
      <c r="D52" s="76"/>
      <c r="E52" s="76"/>
      <c r="F52" s="76"/>
      <c r="G52" s="76"/>
      <c r="H52" s="76"/>
      <c r="I52" s="76"/>
      <c r="J52" s="76"/>
      <c r="K52" s="76"/>
      <c r="M52" s="94"/>
      <c r="N52" s="94"/>
      <c r="O52" s="94"/>
      <c r="P52" s="94"/>
      <c r="Q52" s="94"/>
      <c r="R52" s="95"/>
      <c r="S52" s="95"/>
      <c r="T52" s="91"/>
      <c r="U52" s="91"/>
      <c r="V52" s="91"/>
      <c r="W52" s="91"/>
      <c r="X52" s="91"/>
      <c r="Y52" s="91"/>
    </row>
    <row r="53" spans="1:25" s="58" customFormat="1" ht="13.8" x14ac:dyDescent="0.3">
      <c r="A53" s="76"/>
      <c r="B53" s="76"/>
      <c r="C53" s="76"/>
      <c r="D53" s="76"/>
      <c r="E53" s="76"/>
      <c r="F53" s="76"/>
      <c r="G53" s="76"/>
      <c r="H53" s="76"/>
      <c r="I53" s="76"/>
      <c r="J53" s="76"/>
      <c r="K53" s="76"/>
      <c r="M53" s="94"/>
      <c r="N53" s="94"/>
      <c r="O53" s="94"/>
      <c r="P53" s="94"/>
      <c r="Q53" s="94"/>
      <c r="R53" s="95"/>
      <c r="S53" s="95"/>
      <c r="T53" s="91"/>
      <c r="U53" s="91"/>
      <c r="V53" s="91"/>
      <c r="W53" s="91"/>
      <c r="X53" s="91"/>
      <c r="Y53" s="91"/>
    </row>
    <row r="54" spans="1:25" s="58" customFormat="1" ht="12.75" customHeight="1" x14ac:dyDescent="0.3">
      <c r="A54" s="76"/>
      <c r="B54" s="111" t="s">
        <v>160</v>
      </c>
      <c r="C54" s="111"/>
      <c r="D54" s="111"/>
      <c r="E54" s="111"/>
      <c r="F54" s="111"/>
      <c r="G54" s="111"/>
      <c r="H54" s="111"/>
      <c r="I54" s="111"/>
      <c r="J54" s="111"/>
      <c r="K54" s="76"/>
      <c r="M54" s="94"/>
      <c r="N54" s="94"/>
      <c r="O54" s="94"/>
      <c r="P54" s="94"/>
      <c r="Q54" s="94"/>
      <c r="R54" s="95"/>
      <c r="S54" s="95"/>
      <c r="T54" s="91"/>
      <c r="U54" s="91"/>
      <c r="V54" s="91"/>
      <c r="W54" s="91"/>
      <c r="X54" s="91"/>
      <c r="Y54" s="91"/>
    </row>
    <row r="55" spans="1:25" s="58" customFormat="1" ht="13.8" x14ac:dyDescent="0.3">
      <c r="A55" s="76"/>
      <c r="B55" s="111"/>
      <c r="C55" s="111"/>
      <c r="D55" s="111"/>
      <c r="E55" s="111"/>
      <c r="F55" s="111"/>
      <c r="G55" s="111"/>
      <c r="H55" s="111"/>
      <c r="I55" s="111"/>
      <c r="J55" s="111"/>
      <c r="K55" s="76"/>
      <c r="M55" s="94"/>
      <c r="N55" s="94"/>
      <c r="O55" s="94"/>
      <c r="P55" s="94"/>
      <c r="Q55" s="94"/>
      <c r="R55" s="95"/>
      <c r="S55" s="95"/>
      <c r="T55" s="91"/>
      <c r="U55" s="91"/>
      <c r="V55" s="91"/>
      <c r="W55" s="91"/>
      <c r="X55" s="91"/>
      <c r="Y55" s="91"/>
    </row>
    <row r="56" spans="1:25" s="58" customFormat="1" ht="13.8" x14ac:dyDescent="0.3">
      <c r="A56" s="76"/>
      <c r="B56" s="111"/>
      <c r="C56" s="111"/>
      <c r="D56" s="111"/>
      <c r="E56" s="111"/>
      <c r="F56" s="111"/>
      <c r="G56" s="111"/>
      <c r="H56" s="111"/>
      <c r="I56" s="111"/>
      <c r="J56" s="111"/>
      <c r="K56" s="76"/>
      <c r="M56" s="94"/>
      <c r="N56" s="94"/>
      <c r="O56" s="94"/>
      <c r="P56" s="94"/>
      <c r="Q56" s="94"/>
      <c r="R56" s="95"/>
      <c r="S56" s="95"/>
      <c r="T56" s="91"/>
      <c r="U56" s="91"/>
      <c r="V56" s="91"/>
      <c r="W56" s="91"/>
      <c r="X56" s="91"/>
      <c r="Y56" s="91"/>
    </row>
    <row r="57" spans="1:25" s="58" customFormat="1" ht="13.8" x14ac:dyDescent="0.3">
      <c r="A57" s="76"/>
      <c r="B57" s="76"/>
      <c r="C57" s="76"/>
      <c r="D57" s="76"/>
      <c r="F57" s="107"/>
      <c r="G57" s="76"/>
      <c r="H57" s="76"/>
      <c r="I57" s="76"/>
      <c r="J57" s="76"/>
      <c r="K57" s="76"/>
      <c r="M57" s="94"/>
      <c r="N57" s="94"/>
      <c r="O57" s="94"/>
      <c r="P57" s="94"/>
      <c r="Q57" s="94"/>
      <c r="R57" s="95"/>
      <c r="S57" s="95"/>
      <c r="T57" s="91"/>
      <c r="U57" s="91"/>
      <c r="V57" s="91"/>
      <c r="W57" s="91"/>
      <c r="X57" s="91"/>
      <c r="Y57" s="91"/>
    </row>
    <row r="58" spans="1:25" s="58" customFormat="1" ht="13.8" x14ac:dyDescent="0.3">
      <c r="A58" s="76"/>
      <c r="B58" s="76"/>
      <c r="C58" s="76"/>
      <c r="D58" s="76"/>
      <c r="E58" s="76"/>
      <c r="F58" s="76"/>
      <c r="G58" s="76"/>
      <c r="H58" s="76"/>
      <c r="I58" s="76"/>
      <c r="J58" s="76"/>
      <c r="K58" s="76"/>
      <c r="M58" s="94"/>
      <c r="N58" s="94"/>
      <c r="O58" s="94"/>
      <c r="P58" s="94"/>
      <c r="Q58" s="94"/>
      <c r="R58" s="95"/>
      <c r="S58" s="95"/>
      <c r="T58" s="91"/>
      <c r="U58" s="91"/>
      <c r="V58" s="91"/>
      <c r="W58" s="91"/>
      <c r="X58" s="91"/>
      <c r="Y58" s="91"/>
    </row>
    <row r="59" spans="1:25" s="58" customFormat="1" ht="13.8" x14ac:dyDescent="0.3">
      <c r="K59" s="76"/>
      <c r="M59" s="94"/>
      <c r="N59" s="94"/>
      <c r="O59" s="94"/>
      <c r="P59" s="94"/>
      <c r="Q59" s="94"/>
      <c r="R59" s="95"/>
      <c r="S59" s="95"/>
      <c r="T59" s="91"/>
      <c r="U59" s="91"/>
      <c r="V59" s="91"/>
      <c r="W59" s="91"/>
      <c r="X59" s="91"/>
      <c r="Y59" s="91"/>
    </row>
    <row r="60" spans="1:25" s="58" customFormat="1" ht="13.8" x14ac:dyDescent="0.3">
      <c r="K60" s="76"/>
      <c r="M60" s="94"/>
      <c r="N60" s="94"/>
      <c r="O60" s="94"/>
      <c r="P60" s="94"/>
      <c r="Q60" s="94"/>
      <c r="R60" s="95"/>
      <c r="S60" s="95"/>
      <c r="T60" s="91"/>
      <c r="U60" s="91"/>
      <c r="V60" s="91"/>
      <c r="W60" s="91"/>
      <c r="X60" s="91"/>
      <c r="Y60" s="91"/>
    </row>
    <row r="61" spans="1:25" s="58" customFormat="1" ht="13.8" x14ac:dyDescent="0.3">
      <c r="A61" s="76"/>
      <c r="B61" s="76" t="s">
        <v>113</v>
      </c>
      <c r="C61" s="76"/>
      <c r="D61" s="76"/>
      <c r="E61" s="76"/>
      <c r="F61" s="76"/>
      <c r="G61" s="76"/>
      <c r="H61" s="76"/>
      <c r="I61" s="76"/>
      <c r="J61" s="76"/>
      <c r="K61" s="76"/>
      <c r="M61" s="94"/>
      <c r="N61" s="94"/>
      <c r="O61" s="94"/>
      <c r="P61" s="94"/>
      <c r="Q61" s="94"/>
      <c r="R61" s="95"/>
      <c r="S61" s="95"/>
      <c r="T61" s="91"/>
      <c r="U61" s="91"/>
      <c r="V61" s="91"/>
      <c r="W61" s="91"/>
      <c r="X61" s="91"/>
      <c r="Y61" s="91"/>
    </row>
    <row r="62" spans="1:25" s="58" customFormat="1" ht="13.8" x14ac:dyDescent="0.3">
      <c r="A62" s="76"/>
      <c r="C62" s="76"/>
      <c r="D62" s="76"/>
      <c r="F62" s="108" t="s">
        <v>165</v>
      </c>
      <c r="G62" s="109"/>
      <c r="H62" s="76"/>
      <c r="I62" s="76"/>
      <c r="J62" s="76"/>
      <c r="K62" s="76"/>
      <c r="M62" s="94"/>
      <c r="N62" s="94"/>
      <c r="O62" s="94"/>
      <c r="P62" s="94"/>
      <c r="Q62" s="94"/>
      <c r="R62" s="95"/>
      <c r="S62" s="95"/>
      <c r="T62" s="91"/>
      <c r="U62" s="91"/>
      <c r="V62" s="91"/>
      <c r="W62" s="91"/>
      <c r="X62" s="91"/>
      <c r="Y62" s="91"/>
    </row>
    <row r="63" spans="1:25" x14ac:dyDescent="0.3">
      <c r="A63" s="76"/>
      <c r="B63" s="76"/>
      <c r="C63" s="76"/>
      <c r="D63" s="76"/>
      <c r="E63" s="76"/>
      <c r="F63" s="76"/>
      <c r="G63" s="76"/>
      <c r="H63" s="76"/>
      <c r="I63" s="76"/>
      <c r="J63" s="76"/>
      <c r="K63" s="7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15</v>
      </c>
      <c r="DX42" s="1" t="s">
        <v>16</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F1090"/>
  <sheetViews>
    <sheetView tabSelected="1" view="pageBreakPreview" zoomScaleNormal="100" zoomScaleSheetLayoutView="100" workbookViewId="0">
      <selection activeCell="A1038" sqref="A1038:D1041"/>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58" customFormat="1" x14ac:dyDescent="0.3">
      <c r="A1" s="54"/>
      <c r="B1" s="55" t="s">
        <v>5</v>
      </c>
      <c r="C1" s="56" t="s">
        <v>3</v>
      </c>
      <c r="D1" s="54"/>
      <c r="E1" s="54"/>
      <c r="F1" s="55" t="s">
        <v>94</v>
      </c>
      <c r="G1" s="57">
        <f>X1</f>
        <v>20</v>
      </c>
      <c r="H1" s="54"/>
      <c r="I1" s="54"/>
      <c r="J1" s="54"/>
      <c r="K1" s="54"/>
      <c r="M1" s="59" t="s">
        <v>18</v>
      </c>
      <c r="N1" s="59" t="s">
        <v>19</v>
      </c>
      <c r="O1" s="59" t="s">
        <v>20</v>
      </c>
      <c r="P1" s="59" t="s">
        <v>20</v>
      </c>
      <c r="Q1" s="59" t="s">
        <v>20</v>
      </c>
      <c r="R1" s="59" t="s">
        <v>21</v>
      </c>
      <c r="S1" s="80" t="s">
        <v>22</v>
      </c>
      <c r="T1" s="81" t="s">
        <v>95</v>
      </c>
      <c r="W1" s="60" t="s">
        <v>96</v>
      </c>
      <c r="X1" s="61">
        <f>SUM(M:M)</f>
        <v>20</v>
      </c>
    </row>
    <row r="2" spans="1:185" s="58" customFormat="1" x14ac:dyDescent="0.3">
      <c r="A2" s="54"/>
      <c r="B2" s="55" t="s">
        <v>6</v>
      </c>
      <c r="C2" s="56" t="s">
        <v>7</v>
      </c>
      <c r="D2" s="54"/>
      <c r="E2" s="54"/>
      <c r="F2" s="55" t="s">
        <v>8</v>
      </c>
      <c r="G2" s="56" t="s">
        <v>13</v>
      </c>
      <c r="H2" s="54"/>
      <c r="I2" s="54"/>
      <c r="J2" s="54"/>
      <c r="K2" s="54"/>
      <c r="M2" s="62" t="s">
        <v>23</v>
      </c>
      <c r="N2" s="62" t="s">
        <v>23</v>
      </c>
      <c r="O2" s="62" t="s">
        <v>19</v>
      </c>
      <c r="P2" s="62" t="s">
        <v>19</v>
      </c>
      <c r="Q2" s="62" t="s">
        <v>19</v>
      </c>
      <c r="R2" s="62" t="s">
        <v>23</v>
      </c>
      <c r="S2" s="82" t="s">
        <v>23</v>
      </c>
      <c r="T2" s="83"/>
      <c r="W2" s="60" t="s">
        <v>97</v>
      </c>
      <c r="X2" s="61">
        <f>SUM(N:N)</f>
        <v>0</v>
      </c>
    </row>
    <row r="3" spans="1:185" s="58" customFormat="1" x14ac:dyDescent="0.3">
      <c r="A3" s="54"/>
      <c r="B3" s="55" t="s">
        <v>1</v>
      </c>
      <c r="C3" s="63" t="s">
        <v>98</v>
      </c>
      <c r="D3" s="54"/>
      <c r="E3" s="54"/>
      <c r="F3" s="55" t="s">
        <v>0</v>
      </c>
      <c r="G3" s="56" t="s">
        <v>114</v>
      </c>
      <c r="H3" s="54"/>
      <c r="I3" s="54"/>
      <c r="J3" s="54"/>
      <c r="K3" s="54"/>
      <c r="M3" s="62"/>
      <c r="N3" s="62"/>
      <c r="O3" s="62"/>
      <c r="P3" s="62"/>
      <c r="Q3" s="62"/>
      <c r="R3" s="62"/>
      <c r="S3" s="82"/>
      <c r="T3" s="83"/>
      <c r="W3" s="60" t="s">
        <v>99</v>
      </c>
      <c r="X3" s="61">
        <f>SUM(O:O)</f>
        <v>0</v>
      </c>
    </row>
    <row r="4" spans="1:185" s="58" customFormat="1" x14ac:dyDescent="0.3">
      <c r="A4" s="54"/>
      <c r="B4" s="55" t="s">
        <v>100</v>
      </c>
      <c r="C4" s="57"/>
      <c r="D4" s="54"/>
      <c r="E4" s="54"/>
      <c r="F4" s="55" t="s">
        <v>101</v>
      </c>
      <c r="G4" s="56" t="s">
        <v>110</v>
      </c>
      <c r="H4" s="54"/>
      <c r="I4" s="54"/>
      <c r="J4" s="54"/>
      <c r="K4" s="54"/>
      <c r="M4" s="62"/>
      <c r="N4" s="62"/>
      <c r="O4" s="62"/>
      <c r="P4" s="62"/>
      <c r="Q4" s="64"/>
      <c r="R4" s="65"/>
      <c r="S4" s="84"/>
      <c r="T4" s="83"/>
      <c r="W4" s="60" t="s">
        <v>99</v>
      </c>
      <c r="X4" s="61">
        <f>SUM(P:P)</f>
        <v>0</v>
      </c>
    </row>
    <row r="5" spans="1:185" s="58" customFormat="1" x14ac:dyDescent="0.3">
      <c r="A5" s="54"/>
      <c r="B5" s="55" t="s">
        <v>103</v>
      </c>
      <c r="C5" s="57" t="s">
        <v>111</v>
      </c>
      <c r="D5" s="54"/>
      <c r="E5" s="55"/>
      <c r="F5" s="54"/>
      <c r="G5" s="54"/>
      <c r="H5" s="54"/>
      <c r="I5" s="54"/>
      <c r="J5" s="54"/>
      <c r="K5" s="54"/>
      <c r="M5" s="62"/>
      <c r="N5" s="62"/>
      <c r="O5" s="62"/>
      <c r="P5" s="62"/>
      <c r="Q5" s="64"/>
      <c r="R5" s="65"/>
      <c r="S5" s="84"/>
      <c r="T5" s="83"/>
      <c r="W5" s="60" t="s">
        <v>99</v>
      </c>
      <c r="X5" s="61">
        <f>SUM(Q:Q)</f>
        <v>0</v>
      </c>
    </row>
    <row r="6" spans="1:185" s="58" customFormat="1" x14ac:dyDescent="0.3">
      <c r="A6" s="54"/>
      <c r="B6" s="54" t="s">
        <v>9</v>
      </c>
      <c r="C6" s="66"/>
      <c r="D6" s="54"/>
      <c r="E6" s="54"/>
      <c r="F6" s="54"/>
      <c r="G6" s="54"/>
      <c r="H6" s="54"/>
      <c r="I6" s="54"/>
      <c r="J6" s="54"/>
      <c r="K6" s="54"/>
      <c r="M6" s="62"/>
      <c r="N6" s="62"/>
      <c r="O6" s="62"/>
      <c r="P6" s="62"/>
      <c r="Q6" s="64"/>
      <c r="R6" s="65"/>
      <c r="S6" s="84"/>
      <c r="T6" s="83"/>
      <c r="W6" s="60" t="s">
        <v>104</v>
      </c>
      <c r="X6" s="61">
        <f>SUM(R:R)</f>
        <v>0</v>
      </c>
    </row>
    <row r="7" spans="1:185" s="58" customFormat="1" x14ac:dyDescent="0.3">
      <c r="A7" s="54"/>
      <c r="B7" s="54"/>
      <c r="C7" s="54"/>
      <c r="D7" s="54"/>
      <c r="E7" s="54"/>
      <c r="F7" s="54"/>
      <c r="G7" s="54"/>
      <c r="H7" s="54"/>
      <c r="I7" s="54"/>
      <c r="J7" s="54"/>
      <c r="K7" s="54"/>
      <c r="M7" s="62"/>
      <c r="N7" s="62"/>
      <c r="O7" s="62"/>
      <c r="P7" s="62"/>
      <c r="Q7" s="64"/>
      <c r="R7" s="65"/>
      <c r="S7" s="84"/>
      <c r="T7" s="83"/>
      <c r="W7" s="60" t="s">
        <v>105</v>
      </c>
      <c r="X7" s="61">
        <f>SUM(S:S)</f>
        <v>0</v>
      </c>
    </row>
    <row r="8" spans="1:185" x14ac:dyDescent="0.3">
      <c r="A8" s="67"/>
      <c r="B8" s="58"/>
      <c r="C8" s="58"/>
      <c r="D8" s="58"/>
      <c r="E8" s="60" t="s">
        <v>5</v>
      </c>
      <c r="F8" s="61" t="str">
        <f>$C$1</f>
        <v>R. Abbott</v>
      </c>
      <c r="G8" s="58"/>
      <c r="H8" s="68"/>
      <c r="I8" s="60" t="s">
        <v>10</v>
      </c>
      <c r="J8" s="69" t="str">
        <f>$G$2</f>
        <v>AA-SM-001-000</v>
      </c>
      <c r="K8" s="70"/>
      <c r="L8" s="71"/>
      <c r="M8" s="62"/>
      <c r="N8" s="62"/>
      <c r="O8" s="62"/>
      <c r="P8" s="5"/>
      <c r="S8" s="79"/>
      <c r="T8" s="7"/>
      <c r="AD8" s="8"/>
    </row>
    <row r="9" spans="1:185" s="10" customFormat="1" x14ac:dyDescent="0.3">
      <c r="A9" s="58"/>
      <c r="B9" s="58"/>
      <c r="C9" s="58"/>
      <c r="D9" s="58"/>
      <c r="E9" s="60" t="s">
        <v>6</v>
      </c>
      <c r="F9" s="68" t="str">
        <f>$C$2</f>
        <v xml:space="preserve"> </v>
      </c>
      <c r="G9" s="58"/>
      <c r="H9" s="68"/>
      <c r="I9" s="60" t="s">
        <v>11</v>
      </c>
      <c r="J9" s="70" t="str">
        <f>$G$3</f>
        <v>A</v>
      </c>
      <c r="K9" s="70"/>
      <c r="L9" s="71"/>
      <c r="M9" s="62">
        <v>1</v>
      </c>
      <c r="N9" s="62"/>
      <c r="O9" s="62"/>
      <c r="P9" s="5"/>
      <c r="Q9" s="9"/>
      <c r="R9" s="7"/>
      <c r="S9" s="79"/>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58"/>
      <c r="B10" s="58"/>
      <c r="C10" s="58"/>
      <c r="D10" s="58"/>
      <c r="E10" s="60" t="s">
        <v>1</v>
      </c>
      <c r="F10" s="68" t="str">
        <f>$C$3</f>
        <v>20/10/2013</v>
      </c>
      <c r="G10" s="58"/>
      <c r="H10" s="68"/>
      <c r="I10" s="60" t="s">
        <v>12</v>
      </c>
      <c r="J10" s="61" t="str">
        <f>L10&amp;" of "&amp;$G$1</f>
        <v>1 of 20</v>
      </c>
      <c r="K10" s="68"/>
      <c r="L10" s="71">
        <f>SUM($M$1:M9)</f>
        <v>1</v>
      </c>
      <c r="M10" s="62"/>
      <c r="N10" s="62"/>
      <c r="O10" s="62"/>
      <c r="P10" s="5"/>
      <c r="S10" s="79"/>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58"/>
      <c r="B11" s="58"/>
      <c r="C11" s="58"/>
      <c r="D11" s="58"/>
      <c r="E11" s="60" t="s">
        <v>106</v>
      </c>
      <c r="F11" s="68" t="str">
        <f>$C$5</f>
        <v>STANDARD SPREADSHEET METHOD</v>
      </c>
      <c r="G11" s="58"/>
      <c r="H11" s="58"/>
      <c r="I11" s="72"/>
      <c r="J11" s="61"/>
      <c r="K11" s="58"/>
      <c r="L11" s="58"/>
      <c r="M11" s="62"/>
      <c r="N11" s="62"/>
      <c r="O11" s="62"/>
      <c r="P11" s="5"/>
      <c r="S11" s="79"/>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74" t="str">
        <f>$G$4</f>
        <v>SECTION PROPERTIES</v>
      </c>
      <c r="C12" s="12"/>
      <c r="D12" s="12"/>
      <c r="E12" s="12"/>
      <c r="F12" s="12"/>
      <c r="G12" s="12"/>
      <c r="H12" s="12"/>
      <c r="I12" s="12"/>
      <c r="J12" s="12"/>
      <c r="K12" s="12"/>
      <c r="S12" s="79"/>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54"/>
      <c r="B13" s="85"/>
      <c r="C13" s="54"/>
      <c r="D13" s="54"/>
      <c r="E13" s="54"/>
      <c r="S13" s="79"/>
      <c r="T13" s="7"/>
    </row>
    <row r="14" spans="1:185" x14ac:dyDescent="0.3">
      <c r="A14" s="11"/>
      <c r="B14" s="11"/>
      <c r="C14" s="11"/>
      <c r="D14" s="15"/>
      <c r="E14" s="11"/>
      <c r="F14" s="11"/>
      <c r="G14" s="11"/>
      <c r="H14" s="11"/>
      <c r="I14" s="11"/>
      <c r="J14" s="11"/>
      <c r="K14" s="11"/>
    </row>
    <row r="15" spans="1:185" x14ac:dyDescent="0.3">
      <c r="B15" s="4" t="s">
        <v>53</v>
      </c>
    </row>
    <row r="17" spans="1:11" x14ac:dyDescent="0.3">
      <c r="A17" s="11"/>
      <c r="B17" s="4" t="s">
        <v>56</v>
      </c>
      <c r="I17" s="16"/>
    </row>
    <row r="18" spans="1:11" x14ac:dyDescent="0.3">
      <c r="A18" s="11"/>
      <c r="G18" s="17"/>
      <c r="H18" s="18"/>
      <c r="I18" s="16"/>
      <c r="J18" s="17"/>
      <c r="K18" s="18"/>
    </row>
    <row r="19" spans="1:11" x14ac:dyDescent="0.3">
      <c r="A19" s="11"/>
      <c r="B19" s="19" t="s">
        <v>54</v>
      </c>
      <c r="C19" s="16"/>
      <c r="D19" s="20"/>
      <c r="E19" s="18"/>
      <c r="F19" s="16"/>
      <c r="G19" s="21"/>
      <c r="H19" s="21"/>
      <c r="I19" s="21"/>
      <c r="J19" s="16"/>
      <c r="K19" s="11"/>
    </row>
    <row r="20" spans="1:11" x14ac:dyDescent="0.3">
      <c r="A20" s="11"/>
      <c r="B20" s="11"/>
      <c r="C20" s="16"/>
      <c r="D20" s="20"/>
      <c r="E20" s="18"/>
      <c r="F20" s="16"/>
      <c r="I20" s="16"/>
    </row>
    <row r="21" spans="1:11" x14ac:dyDescent="0.3">
      <c r="A21" s="11"/>
      <c r="B21" s="11" t="s">
        <v>55</v>
      </c>
      <c r="F21" s="21"/>
      <c r="H21" s="18"/>
      <c r="I21" s="16"/>
      <c r="J21" s="22"/>
      <c r="K21" s="18"/>
    </row>
    <row r="22" spans="1:11" x14ac:dyDescent="0.3">
      <c r="A22" s="11"/>
      <c r="B22" s="11"/>
      <c r="C22" s="16"/>
      <c r="F22" s="16"/>
      <c r="H22" s="21"/>
      <c r="I22" s="21"/>
      <c r="J22" s="16"/>
      <c r="K22" s="11"/>
    </row>
    <row r="23" spans="1:11" ht="15" x14ac:dyDescent="0.3">
      <c r="A23" s="11"/>
      <c r="B23" s="16" t="s">
        <v>85</v>
      </c>
      <c r="C23" s="23" t="s">
        <v>86</v>
      </c>
      <c r="D23" s="17"/>
      <c r="E23" s="18"/>
      <c r="F23" s="16"/>
      <c r="G23" s="21"/>
      <c r="H23" s="21"/>
      <c r="I23" s="16"/>
      <c r="J23" s="24"/>
      <c r="K23" s="11"/>
    </row>
    <row r="24" spans="1:11" x14ac:dyDescent="0.3">
      <c r="A24" s="11"/>
      <c r="B24" s="11"/>
      <c r="G24" s="21"/>
      <c r="H24" s="21"/>
      <c r="I24" s="16"/>
      <c r="J24" s="25"/>
      <c r="K24" s="18"/>
    </row>
    <row r="25" spans="1:11" x14ac:dyDescent="0.3">
      <c r="A25" s="11"/>
      <c r="B25" s="19" t="s">
        <v>58</v>
      </c>
      <c r="C25" s="16"/>
      <c r="D25" s="26"/>
      <c r="E25" s="18"/>
      <c r="F25" s="21"/>
      <c r="G25" s="27"/>
      <c r="H25" s="27"/>
      <c r="I25" s="16"/>
      <c r="J25" s="16"/>
      <c r="K25" s="11"/>
    </row>
    <row r="26" spans="1:11" x14ac:dyDescent="0.3">
      <c r="A26" s="11"/>
      <c r="B26" s="28"/>
      <c r="C26" s="16"/>
      <c r="D26" s="29"/>
      <c r="E26" s="18"/>
      <c r="F26" s="21"/>
      <c r="G26" s="30"/>
      <c r="H26" s="30"/>
      <c r="I26" s="30"/>
      <c r="J26" s="16"/>
      <c r="K26" s="11"/>
    </row>
    <row r="27" spans="1:11" ht="15" x14ac:dyDescent="0.3">
      <c r="B27" s="16" t="s">
        <v>87</v>
      </c>
      <c r="C27" s="23" t="s">
        <v>88</v>
      </c>
      <c r="F27" s="27"/>
    </row>
    <row r="29" spans="1:11" x14ac:dyDescent="0.3">
      <c r="A29" s="11"/>
      <c r="B29" s="19" t="s">
        <v>50</v>
      </c>
      <c r="C29" s="16"/>
      <c r="D29" s="20"/>
      <c r="E29" s="18"/>
      <c r="F29" s="11"/>
      <c r="G29" s="11"/>
      <c r="H29" s="11"/>
      <c r="I29" s="11"/>
      <c r="J29" s="11"/>
      <c r="K29" s="11"/>
    </row>
    <row r="30" spans="1:11" x14ac:dyDescent="0.3">
      <c r="A30" s="11"/>
      <c r="B30" s="11"/>
      <c r="C30" s="16"/>
      <c r="D30" s="20"/>
      <c r="E30" s="18"/>
      <c r="F30" s="11"/>
      <c r="G30" s="11"/>
      <c r="H30" s="11"/>
      <c r="I30" s="11"/>
      <c r="J30" s="11"/>
      <c r="K30" s="11"/>
    </row>
    <row r="31" spans="1:11" x14ac:dyDescent="0.3">
      <c r="A31" s="11"/>
      <c r="B31" s="16" t="s">
        <v>89</v>
      </c>
      <c r="C31" s="4" t="s">
        <v>57</v>
      </c>
      <c r="D31" s="31"/>
      <c r="E31" s="18"/>
      <c r="F31" s="18"/>
      <c r="G31" s="18"/>
      <c r="H31" s="18"/>
      <c r="I31" s="18"/>
      <c r="J31" s="16"/>
      <c r="K31" s="11"/>
    </row>
    <row r="32" spans="1:11" x14ac:dyDescent="0.3">
      <c r="A32" s="11"/>
      <c r="B32" s="11"/>
      <c r="K32" s="11"/>
    </row>
    <row r="33" spans="1:11" x14ac:dyDescent="0.3">
      <c r="A33" s="11"/>
      <c r="B33" s="11"/>
      <c r="C33" s="16"/>
      <c r="F33" s="21"/>
      <c r="G33" s="21"/>
      <c r="H33" s="21"/>
      <c r="I33" s="21"/>
      <c r="J33" s="15"/>
      <c r="K33" s="11"/>
    </row>
    <row r="34" spans="1:11" x14ac:dyDescent="0.3">
      <c r="A34" s="11"/>
      <c r="B34" s="11"/>
      <c r="C34" s="16"/>
      <c r="D34" s="32"/>
      <c r="E34" s="18"/>
      <c r="J34" s="16"/>
      <c r="K34" s="11"/>
    </row>
    <row r="35" spans="1:11" x14ac:dyDescent="0.3">
      <c r="A35" s="11"/>
      <c r="B35" s="11"/>
      <c r="J35" s="33"/>
      <c r="K35" s="11"/>
    </row>
    <row r="36" spans="1:11" x14ac:dyDescent="0.3">
      <c r="A36" s="11"/>
      <c r="B36" s="11"/>
      <c r="C36" s="16"/>
      <c r="F36" s="21"/>
      <c r="G36" s="21"/>
      <c r="H36" s="21"/>
      <c r="I36" s="21"/>
      <c r="J36" s="11"/>
      <c r="K36" s="11"/>
    </row>
    <row r="37" spans="1:11" x14ac:dyDescent="0.3">
      <c r="A37" s="11"/>
      <c r="B37" s="11"/>
      <c r="C37" s="16"/>
      <c r="D37" s="32"/>
      <c r="E37" s="18"/>
      <c r="K37" s="11"/>
    </row>
    <row r="38" spans="1:11" x14ac:dyDescent="0.3">
      <c r="A38" s="11"/>
      <c r="B38" s="11"/>
      <c r="K38" s="11"/>
    </row>
    <row r="39" spans="1:11" x14ac:dyDescent="0.3">
      <c r="C39" s="16"/>
      <c r="F39" s="34"/>
      <c r="G39" s="34"/>
      <c r="H39" s="34"/>
      <c r="I39" s="34"/>
      <c r="J39" s="16"/>
    </row>
    <row r="40" spans="1:11" x14ac:dyDescent="0.3">
      <c r="C40" s="16"/>
      <c r="F40" s="34"/>
      <c r="G40" s="34"/>
      <c r="H40" s="34"/>
      <c r="I40" s="34"/>
      <c r="J40" s="16"/>
    </row>
    <row r="41" spans="1:11" x14ac:dyDescent="0.3">
      <c r="C41" s="16"/>
      <c r="F41" s="34"/>
      <c r="G41" s="34"/>
      <c r="H41" s="34"/>
      <c r="I41" s="34"/>
      <c r="J41" s="16"/>
    </row>
    <row r="42" spans="1:11" x14ac:dyDescent="0.3">
      <c r="C42" s="16"/>
      <c r="F42" s="34"/>
      <c r="G42" s="34"/>
      <c r="H42" s="34"/>
      <c r="I42" s="34"/>
      <c r="J42" s="16"/>
    </row>
    <row r="43" spans="1:11" x14ac:dyDescent="0.3">
      <c r="D43" s="32"/>
      <c r="E43" s="18"/>
    </row>
    <row r="45" spans="1:11" x14ac:dyDescent="0.3">
      <c r="C45" s="16"/>
      <c r="G45" s="35"/>
      <c r="H45" s="35"/>
      <c r="I45" s="35"/>
      <c r="J45" s="16"/>
    </row>
    <row r="46" spans="1:11" x14ac:dyDescent="0.3">
      <c r="D46" s="32"/>
      <c r="E46" s="18"/>
      <c r="F46" s="35"/>
      <c r="I46" s="30"/>
    </row>
    <row r="47" spans="1:11" x14ac:dyDescent="0.3">
      <c r="I47" s="30"/>
    </row>
    <row r="48" spans="1:11" x14ac:dyDescent="0.3">
      <c r="C48" s="16"/>
      <c r="D48" s="36"/>
      <c r="E48" s="18"/>
      <c r="F48" s="30"/>
      <c r="G48" s="30"/>
      <c r="H48" s="30"/>
    </row>
    <row r="49" spans="1:185" x14ac:dyDescent="0.3">
      <c r="C49" s="16"/>
      <c r="D49" s="36"/>
      <c r="E49" s="18"/>
      <c r="F49" s="30"/>
      <c r="G49" s="30"/>
      <c r="H49" s="30"/>
    </row>
    <row r="57" spans="1:185" x14ac:dyDescent="0.3">
      <c r="A57" s="12"/>
      <c r="B57" s="3"/>
      <c r="C57" s="86"/>
      <c r="D57" s="12"/>
      <c r="E57" s="12"/>
      <c r="F57" s="12"/>
      <c r="G57" s="86"/>
      <c r="H57" s="12"/>
      <c r="I57" s="12"/>
      <c r="J57" s="12"/>
      <c r="K57" s="12"/>
    </row>
    <row r="58" spans="1:185" x14ac:dyDescent="0.3">
      <c r="A58" s="12"/>
      <c r="B58" s="87"/>
      <c r="C58" s="86"/>
      <c r="D58" s="88"/>
      <c r="E58" s="88"/>
      <c r="F58" s="89" t="s">
        <v>161</v>
      </c>
      <c r="G58" s="86"/>
      <c r="H58" s="88"/>
      <c r="I58" s="88"/>
      <c r="J58" s="88"/>
      <c r="K58" s="12"/>
    </row>
    <row r="59" spans="1:185" x14ac:dyDescent="0.3">
      <c r="A59" s="12"/>
      <c r="B59" s="88"/>
      <c r="C59" s="88"/>
      <c r="D59" s="88"/>
      <c r="E59" s="88"/>
      <c r="F59" s="104" t="s">
        <v>162</v>
      </c>
      <c r="G59" s="88"/>
      <c r="H59" s="88"/>
      <c r="I59" s="88"/>
      <c r="J59" s="88"/>
      <c r="K59" s="12"/>
    </row>
    <row r="60" spans="1:185" x14ac:dyDescent="0.3">
      <c r="A60" s="67"/>
      <c r="B60" s="58"/>
      <c r="C60" s="58"/>
      <c r="D60" s="58"/>
      <c r="E60" s="60" t="s">
        <v>5</v>
      </c>
      <c r="F60" s="61" t="str">
        <f>$C$1</f>
        <v>R. Abbott</v>
      </c>
      <c r="G60" s="58"/>
      <c r="H60" s="68"/>
      <c r="I60" s="60" t="s">
        <v>10</v>
      </c>
      <c r="J60" s="69" t="str">
        <f>$G$2</f>
        <v>AA-SM-001-000</v>
      </c>
      <c r="K60" s="70"/>
      <c r="L60" s="71"/>
      <c r="M60" s="62"/>
      <c r="N60" s="62"/>
      <c r="O60" s="62"/>
      <c r="P60" s="5"/>
      <c r="AD60" s="8"/>
    </row>
    <row r="61" spans="1:185" s="10" customFormat="1" x14ac:dyDescent="0.3">
      <c r="A61" s="58"/>
      <c r="B61" s="58"/>
      <c r="C61" s="58"/>
      <c r="D61" s="58"/>
      <c r="E61" s="60" t="s">
        <v>6</v>
      </c>
      <c r="F61" s="68" t="str">
        <f>$C$2</f>
        <v xml:space="preserve"> </v>
      </c>
      <c r="G61" s="58"/>
      <c r="H61" s="68"/>
      <c r="I61" s="60" t="s">
        <v>11</v>
      </c>
      <c r="J61" s="70" t="str">
        <f>$G$3</f>
        <v>A</v>
      </c>
      <c r="K61" s="70"/>
      <c r="L61" s="71"/>
      <c r="M61" s="62">
        <v>1</v>
      </c>
      <c r="N61" s="62"/>
      <c r="O61" s="62"/>
      <c r="P61" s="5"/>
      <c r="Q61" s="9"/>
      <c r="R61" s="7"/>
      <c r="S61" s="7"/>
      <c r="T61" s="2"/>
      <c r="U61" s="2"/>
      <c r="V61" s="2"/>
      <c r="W61" s="2"/>
      <c r="X61" s="2"/>
      <c r="Y61" s="2"/>
      <c r="Z61" s="2"/>
      <c r="AA61" s="2"/>
      <c r="AB61" s="2"/>
      <c r="AC61" s="2"/>
      <c r="AD61" s="2"/>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row>
    <row r="62" spans="1:185" x14ac:dyDescent="0.3">
      <c r="A62" s="58"/>
      <c r="B62" s="58"/>
      <c r="C62" s="58"/>
      <c r="D62" s="58"/>
      <c r="E62" s="60" t="s">
        <v>1</v>
      </c>
      <c r="F62" s="68" t="str">
        <f>$C$3</f>
        <v>20/10/2013</v>
      </c>
      <c r="G62" s="58"/>
      <c r="H62" s="68"/>
      <c r="I62" s="60" t="s">
        <v>12</v>
      </c>
      <c r="J62" s="61" t="str">
        <f>L62&amp;" of "&amp;$G$1</f>
        <v>2 of 20</v>
      </c>
      <c r="K62" s="68"/>
      <c r="L62" s="71">
        <f>SUM($M$1:M61)</f>
        <v>2</v>
      </c>
      <c r="M62" s="62"/>
      <c r="N62" s="62"/>
      <c r="O62" s="62"/>
      <c r="P62" s="5"/>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row>
    <row r="63" spans="1:185" x14ac:dyDescent="0.3">
      <c r="A63" s="58"/>
      <c r="B63" s="58"/>
      <c r="C63" s="58"/>
      <c r="D63" s="58"/>
      <c r="E63" s="60" t="s">
        <v>106</v>
      </c>
      <c r="F63" s="68" t="str">
        <f>$C$5</f>
        <v>STANDARD SPREADSHEET METHOD</v>
      </c>
      <c r="G63" s="58"/>
      <c r="H63" s="58"/>
      <c r="I63" s="72"/>
      <c r="J63" s="61"/>
      <c r="K63" s="58"/>
      <c r="L63" s="58"/>
      <c r="M63" s="62"/>
      <c r="N63" s="62"/>
      <c r="O63" s="62"/>
      <c r="P63" s="5"/>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85" ht="15.6" x14ac:dyDescent="0.3">
      <c r="A64" s="12"/>
      <c r="B64" s="74" t="str">
        <f>$G$4</f>
        <v>SECTION PROPERTIES</v>
      </c>
      <c r="C64" s="12"/>
      <c r="D64" s="12"/>
      <c r="E64" s="12"/>
      <c r="F64" s="12"/>
      <c r="G64" s="12"/>
      <c r="H64" s="12"/>
      <c r="I64" s="12"/>
      <c r="J64" s="12"/>
      <c r="K64" s="1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188" x14ac:dyDescent="0.3">
      <c r="A65" s="54"/>
      <c r="B65" s="85"/>
      <c r="C65" s="54"/>
      <c r="D65" s="54"/>
      <c r="E65" s="54"/>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row>
    <row r="66" spans="1:188" x14ac:dyDescent="0.3">
      <c r="B66" s="39" t="s">
        <v>124</v>
      </c>
      <c r="R66" s="37"/>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row>
    <row r="67" spans="1:188" x14ac:dyDescent="0.3">
      <c r="A67" s="38"/>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row>
    <row r="68" spans="1:188" x14ac:dyDescent="0.3">
      <c r="A68" s="18"/>
      <c r="B68" s="18"/>
      <c r="C68" s="18"/>
      <c r="D68" s="18"/>
      <c r="E68" s="18"/>
      <c r="F68" s="18"/>
      <c r="G68" s="18"/>
      <c r="K68" s="18"/>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row>
    <row r="69" spans="1:188" x14ac:dyDescent="0.3">
      <c r="A69" s="18"/>
      <c r="B69" s="16" t="s">
        <v>81</v>
      </c>
      <c r="C69" s="20">
        <v>15</v>
      </c>
      <c r="D69" s="18" t="s">
        <v>4</v>
      </c>
      <c r="H69" s="39" t="s">
        <v>30</v>
      </c>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row>
    <row r="70" spans="1:188" x14ac:dyDescent="0.3">
      <c r="A70" s="18"/>
      <c r="B70" s="40"/>
      <c r="C70" s="41"/>
      <c r="H70" s="16" t="s">
        <v>72</v>
      </c>
      <c r="I70" s="4" t="str">
        <f ca="1">[1]!xlv(I72)</f>
        <v>(1 / 12) × a⁴</v>
      </c>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row>
    <row r="71" spans="1:188" x14ac:dyDescent="0.3">
      <c r="A71" s="18"/>
      <c r="B71" s="18"/>
      <c r="H71" s="16" t="s">
        <v>72</v>
      </c>
      <c r="I71" s="4" t="str">
        <f>[1]!xln(I72)</f>
        <v>(1 / 12) × 15⁴</v>
      </c>
      <c r="K71" s="18"/>
      <c r="S71" s="14"/>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row>
    <row r="72" spans="1:188" x14ac:dyDescent="0.3">
      <c r="A72" s="18"/>
      <c r="B72" s="18"/>
      <c r="H72" s="16" t="s">
        <v>72</v>
      </c>
      <c r="I72" s="17">
        <f>(1/12)*C69^4</f>
        <v>4218.75</v>
      </c>
      <c r="J72" s="18" t="s">
        <v>69</v>
      </c>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row>
    <row r="73" spans="1:188" x14ac:dyDescent="0.3">
      <c r="B73" s="39" t="s">
        <v>29</v>
      </c>
      <c r="E73" s="42" t="s">
        <v>50</v>
      </c>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row>
    <row r="74" spans="1:188" x14ac:dyDescent="0.3">
      <c r="B74" s="16" t="s">
        <v>32</v>
      </c>
      <c r="C74" s="4" t="str">
        <f ca="1">[1]!xlv(C76)</f>
        <v>a²</v>
      </c>
      <c r="E74" s="16" t="s">
        <v>74</v>
      </c>
      <c r="F74" s="4" t="str">
        <f ca="1">[1]!xlv(F76)</f>
        <v>√[Iₓ / A]</v>
      </c>
      <c r="H74" s="40" t="s">
        <v>73</v>
      </c>
      <c r="I74" s="4" t="str">
        <f ca="1">[1]!xlv(I76)</f>
        <v>(1 / 12) × a⁴</v>
      </c>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row>
    <row r="75" spans="1:188" x14ac:dyDescent="0.3">
      <c r="B75" s="16" t="s">
        <v>32</v>
      </c>
      <c r="C75" s="4" t="str">
        <f>[1]!xln(C76)</f>
        <v>15²</v>
      </c>
      <c r="D75" s="11"/>
      <c r="E75" s="16" t="s">
        <v>74</v>
      </c>
      <c r="F75" s="4" t="str">
        <f>[1]!xln(F76)</f>
        <v>√[4219 / 225]</v>
      </c>
      <c r="H75" s="40" t="s">
        <v>73</v>
      </c>
      <c r="I75" s="4" t="str">
        <f>[1]!xln(I76)</f>
        <v>(1 / 12) × 15⁴</v>
      </c>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row>
    <row r="76" spans="1:188" x14ac:dyDescent="0.3">
      <c r="B76" s="16" t="s">
        <v>32</v>
      </c>
      <c r="C76" s="17">
        <f>C69^2</f>
        <v>225</v>
      </c>
      <c r="D76" s="18" t="s">
        <v>68</v>
      </c>
      <c r="E76" s="16" t="s">
        <v>74</v>
      </c>
      <c r="F76" s="43">
        <f>SQRT(I72/C76)</f>
        <v>4.3301270189221936</v>
      </c>
      <c r="G76" s="18" t="s">
        <v>4</v>
      </c>
      <c r="H76" s="40" t="s">
        <v>73</v>
      </c>
      <c r="I76" s="17">
        <f>(1/12)*C69^4</f>
        <v>4218.75</v>
      </c>
      <c r="J76" s="18" t="s">
        <v>69</v>
      </c>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row>
    <row r="77" spans="1:188" x14ac:dyDescent="0.3">
      <c r="S77" s="44"/>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45"/>
      <c r="GE77" s="45"/>
      <c r="GF77" s="45"/>
    </row>
    <row r="78" spans="1:188" x14ac:dyDescent="0.3">
      <c r="B78" s="39" t="s">
        <v>120</v>
      </c>
      <c r="E78" s="16" t="s">
        <v>75</v>
      </c>
      <c r="F78" s="4" t="str">
        <f ca="1">[1]!xlv(F80)</f>
        <v>√[Iᵧ / A]</v>
      </c>
      <c r="H78" s="16" t="s">
        <v>87</v>
      </c>
      <c r="I78" s="4" t="str">
        <f ca="1">[1]!xlv(I80)</f>
        <v>Iᵧ + Iₓ</v>
      </c>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46"/>
      <c r="FQ78" s="46"/>
      <c r="FR78" s="46"/>
      <c r="FS78" s="46"/>
      <c r="FT78" s="46"/>
      <c r="FU78" s="46"/>
      <c r="FV78" s="46"/>
      <c r="FW78" s="46"/>
      <c r="FX78" s="46"/>
      <c r="FY78" s="46"/>
      <c r="FZ78" s="46"/>
      <c r="GA78" s="46"/>
      <c r="GB78" s="46"/>
      <c r="GC78" s="46"/>
      <c r="GD78" s="46"/>
      <c r="GE78" s="46"/>
      <c r="GF78" s="46"/>
    </row>
    <row r="79" spans="1:188" ht="15" x14ac:dyDescent="0.35">
      <c r="B79" s="40" t="s">
        <v>115</v>
      </c>
      <c r="C79" s="25">
        <f>C69/2</f>
        <v>7.5</v>
      </c>
      <c r="D79" s="4" t="s">
        <v>4</v>
      </c>
      <c r="E79" s="16" t="s">
        <v>75</v>
      </c>
      <c r="F79" s="4" t="str">
        <f>[1]!xln(F80)</f>
        <v>√[4219 / 225]</v>
      </c>
      <c r="H79" s="16" t="s">
        <v>87</v>
      </c>
      <c r="I79" s="4" t="str">
        <f>[1]!xln(I80)</f>
        <v>4219 + 4219</v>
      </c>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46"/>
      <c r="FQ79" s="46"/>
      <c r="FR79" s="46"/>
      <c r="FS79" s="46"/>
      <c r="FT79" s="46"/>
      <c r="FU79" s="46"/>
      <c r="FV79" s="46"/>
      <c r="FW79" s="46"/>
      <c r="FX79" s="46"/>
      <c r="FY79" s="46"/>
      <c r="FZ79" s="46"/>
      <c r="GA79" s="46"/>
      <c r="GB79" s="46"/>
      <c r="GC79" s="46"/>
      <c r="GD79" s="46"/>
      <c r="GE79" s="46"/>
      <c r="GF79" s="46"/>
    </row>
    <row r="80" spans="1:188" ht="15" x14ac:dyDescent="0.35">
      <c r="B80" s="40" t="s">
        <v>121</v>
      </c>
      <c r="C80" s="25">
        <f>C79</f>
        <v>7.5</v>
      </c>
      <c r="D80" s="4" t="s">
        <v>4</v>
      </c>
      <c r="E80" s="16" t="s">
        <v>75</v>
      </c>
      <c r="F80" s="25">
        <f>SQRT(I76/C76)</f>
        <v>4.3301270189221936</v>
      </c>
      <c r="G80" s="18" t="s">
        <v>4</v>
      </c>
      <c r="H80" s="16" t="s">
        <v>87</v>
      </c>
      <c r="I80" s="17">
        <f>I76+I72</f>
        <v>8437.5</v>
      </c>
      <c r="J80" s="18" t="s">
        <v>69</v>
      </c>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46"/>
      <c r="FQ80" s="46"/>
      <c r="FR80" s="46"/>
      <c r="FS80" s="46"/>
      <c r="FT80" s="46"/>
      <c r="FU80" s="46"/>
      <c r="FV80" s="46"/>
      <c r="FW80" s="46"/>
      <c r="FX80" s="46"/>
      <c r="FY80" s="46"/>
      <c r="FZ80" s="46"/>
      <c r="GA80" s="46"/>
      <c r="GB80" s="46"/>
      <c r="GC80" s="46"/>
      <c r="GD80" s="46"/>
      <c r="GE80" s="46"/>
      <c r="GF80" s="46"/>
    </row>
    <row r="81" spans="2:188" x14ac:dyDescent="0.3">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46"/>
      <c r="FQ81" s="46"/>
      <c r="FR81" s="46"/>
      <c r="FS81" s="46"/>
      <c r="FT81" s="46"/>
      <c r="FU81" s="46"/>
      <c r="FV81" s="46"/>
      <c r="FW81" s="46"/>
      <c r="FX81" s="46"/>
      <c r="FY81" s="46"/>
      <c r="FZ81" s="46"/>
      <c r="GA81" s="46"/>
      <c r="GB81" s="46"/>
      <c r="GC81" s="46"/>
      <c r="GD81" s="46"/>
      <c r="GE81" s="46"/>
      <c r="GF81" s="46"/>
    </row>
    <row r="82" spans="2:188" x14ac:dyDescent="0.3">
      <c r="B82" s="39" t="s">
        <v>116</v>
      </c>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46"/>
      <c r="FQ82" s="46"/>
      <c r="FR82" s="46"/>
      <c r="FS82" s="46"/>
      <c r="FT82" s="46"/>
      <c r="FU82" s="46"/>
      <c r="FV82" s="46"/>
      <c r="FW82" s="46"/>
      <c r="FX82" s="46"/>
      <c r="FY82" s="46"/>
      <c r="FZ82" s="46"/>
      <c r="GA82" s="46"/>
      <c r="GB82" s="46"/>
      <c r="GC82" s="46"/>
      <c r="GD82" s="46"/>
      <c r="GE82" s="46"/>
      <c r="GF82" s="46"/>
    </row>
    <row r="83" spans="2:188" x14ac:dyDescent="0.3">
      <c r="B83" s="16" t="s">
        <v>117</v>
      </c>
      <c r="C83" s="4" t="str">
        <f ca="1">[1]!xlv(C85)</f>
        <v>0.25 × a³</v>
      </c>
      <c r="E83" s="40" t="s">
        <v>118</v>
      </c>
      <c r="F83" s="4" t="str">
        <f ca="1">[1]!xlv(F85)</f>
        <v>0.25 × a³</v>
      </c>
      <c r="H83" s="16" t="s">
        <v>119</v>
      </c>
      <c r="I83" s="4">
        <v>1.5</v>
      </c>
      <c r="S83" s="44"/>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46"/>
      <c r="FQ83" s="46"/>
      <c r="FR83" s="46"/>
      <c r="FS83" s="46"/>
      <c r="FT83" s="46"/>
      <c r="FU83" s="46"/>
      <c r="FV83" s="46"/>
      <c r="FW83" s="46"/>
      <c r="FX83" s="46"/>
      <c r="FY83" s="46"/>
      <c r="FZ83" s="46"/>
      <c r="GA83" s="46"/>
      <c r="GB83" s="46"/>
      <c r="GC83" s="46"/>
      <c r="GD83" s="46"/>
      <c r="GE83" s="46"/>
      <c r="GF83" s="46"/>
    </row>
    <row r="84" spans="2:188" x14ac:dyDescent="0.3">
      <c r="B84" s="16" t="s">
        <v>117</v>
      </c>
      <c r="C84" s="4" t="str">
        <f>[1]!xln(C85)</f>
        <v>0.25 × 15³</v>
      </c>
      <c r="D84" s="11"/>
      <c r="E84" s="40" t="s">
        <v>118</v>
      </c>
      <c r="F84" s="4" t="str">
        <f>[1]!xln(F85)</f>
        <v>0.25 × 15³</v>
      </c>
      <c r="H84" s="16"/>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46"/>
      <c r="FQ84" s="46"/>
      <c r="FR84" s="46"/>
      <c r="FS84" s="46"/>
      <c r="FT84" s="46"/>
      <c r="FU84" s="46"/>
      <c r="FV84" s="46"/>
      <c r="FW84" s="46"/>
      <c r="FX84" s="46"/>
      <c r="FY84" s="46"/>
      <c r="FZ84" s="46"/>
      <c r="GA84" s="46"/>
      <c r="GB84" s="46"/>
      <c r="GC84" s="46"/>
      <c r="GD84" s="46"/>
      <c r="GE84" s="46"/>
      <c r="GF84" s="46"/>
    </row>
    <row r="85" spans="2:188" x14ac:dyDescent="0.3">
      <c r="B85" s="16" t="s">
        <v>117</v>
      </c>
      <c r="C85" s="46">
        <f>0.25*C69^3</f>
        <v>843.75</v>
      </c>
      <c r="D85" s="4" t="s">
        <v>44</v>
      </c>
      <c r="E85" s="40" t="s">
        <v>118</v>
      </c>
      <c r="F85" s="46">
        <f>0.25*C69^3</f>
        <v>843.75</v>
      </c>
      <c r="G85" s="4" t="s">
        <v>44</v>
      </c>
      <c r="H85" s="16"/>
      <c r="I85" s="46"/>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46"/>
      <c r="FQ85" s="46"/>
      <c r="FR85" s="46"/>
      <c r="FS85" s="46"/>
      <c r="FT85" s="46"/>
      <c r="FU85" s="46"/>
      <c r="FV85" s="46"/>
      <c r="FW85" s="46"/>
      <c r="FX85" s="46"/>
      <c r="FY85" s="46"/>
      <c r="FZ85" s="46"/>
      <c r="GA85" s="46"/>
      <c r="GB85" s="46"/>
      <c r="GC85" s="46"/>
      <c r="GD85" s="46"/>
      <c r="GE85" s="46"/>
      <c r="GF85" s="46"/>
    </row>
    <row r="86" spans="2:188" x14ac:dyDescent="0.3">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46"/>
      <c r="FQ86" s="46"/>
      <c r="FR86" s="46"/>
    </row>
    <row r="87" spans="2:188" x14ac:dyDescent="0.3">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46"/>
      <c r="FQ87" s="46"/>
      <c r="FR87" s="46"/>
    </row>
    <row r="88" spans="2:188" x14ac:dyDescent="0.3">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row>
    <row r="89" spans="2:188" x14ac:dyDescent="0.3">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2:188" x14ac:dyDescent="0.3">
      <c r="T90" s="47"/>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c r="FH90" s="45"/>
      <c r="FI90" s="45"/>
      <c r="FJ90" s="45"/>
      <c r="FK90" s="45"/>
      <c r="FL90" s="45"/>
      <c r="FM90" s="45"/>
      <c r="FN90" s="45"/>
      <c r="FO90" s="45"/>
      <c r="FP90" s="45"/>
      <c r="FQ90" s="45"/>
      <c r="FR90" s="45"/>
    </row>
    <row r="92" spans="2:188" x14ac:dyDescent="0.3">
      <c r="AB92" s="48"/>
    </row>
    <row r="107" spans="1:183" x14ac:dyDescent="0.3">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row>
    <row r="108" spans="1:183" x14ac:dyDescent="0.3">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row>
    <row r="109" spans="1:183" x14ac:dyDescent="0.3">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row>
    <row r="110" spans="1:183" x14ac:dyDescent="0.3">
      <c r="A110" s="12"/>
      <c r="B110" s="3"/>
      <c r="C110" s="86"/>
      <c r="D110" s="12"/>
      <c r="E110" s="12"/>
      <c r="F110" s="12"/>
      <c r="G110" s="86"/>
      <c r="H110" s="12"/>
      <c r="I110" s="12"/>
      <c r="J110" s="12"/>
      <c r="K110" s="1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row>
    <row r="111" spans="1:183" x14ac:dyDescent="0.3">
      <c r="A111" s="12"/>
      <c r="B111" s="87"/>
      <c r="C111" s="86"/>
      <c r="D111" s="88"/>
      <c r="E111" s="88"/>
      <c r="F111" s="89" t="s">
        <v>161</v>
      </c>
      <c r="G111" s="86"/>
      <c r="H111" s="88"/>
      <c r="I111" s="88"/>
      <c r="J111" s="88"/>
      <c r="K111" s="1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row>
    <row r="112" spans="1:183" x14ac:dyDescent="0.3">
      <c r="A112" s="12"/>
      <c r="B112" s="88"/>
      <c r="C112" s="88"/>
      <c r="D112" s="88"/>
      <c r="E112" s="88"/>
      <c r="F112" s="104" t="s">
        <v>162</v>
      </c>
      <c r="G112" s="88"/>
      <c r="H112" s="88"/>
      <c r="I112" s="88"/>
      <c r="J112" s="88"/>
      <c r="K112" s="1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row>
    <row r="113" spans="1:185" x14ac:dyDescent="0.3">
      <c r="A113" s="67"/>
      <c r="B113" s="58"/>
      <c r="C113" s="58"/>
      <c r="D113" s="58"/>
      <c r="E113" s="60" t="s">
        <v>5</v>
      </c>
      <c r="F113" s="61" t="str">
        <f>$C$1</f>
        <v>R. Abbott</v>
      </c>
      <c r="G113" s="58"/>
      <c r="H113" s="68"/>
      <c r="I113" s="60" t="s">
        <v>10</v>
      </c>
      <c r="J113" s="69" t="str">
        <f>$G$2</f>
        <v>AA-SM-001-000</v>
      </c>
      <c r="K113" s="70"/>
      <c r="L113" s="71"/>
      <c r="M113" s="62"/>
      <c r="N113" s="62"/>
      <c r="O113" s="62"/>
      <c r="P113" s="5"/>
      <c r="AD113" s="8"/>
    </row>
    <row r="114" spans="1:185" s="10" customFormat="1" x14ac:dyDescent="0.3">
      <c r="A114" s="58"/>
      <c r="B114" s="58"/>
      <c r="C114" s="58"/>
      <c r="D114" s="58"/>
      <c r="E114" s="60" t="s">
        <v>6</v>
      </c>
      <c r="F114" s="68" t="str">
        <f>$C$2</f>
        <v xml:space="preserve"> </v>
      </c>
      <c r="G114" s="58"/>
      <c r="H114" s="68"/>
      <c r="I114" s="60" t="s">
        <v>11</v>
      </c>
      <c r="J114" s="70" t="str">
        <f>$G$3</f>
        <v>A</v>
      </c>
      <c r="K114" s="70"/>
      <c r="L114" s="71"/>
      <c r="M114" s="62">
        <v>1</v>
      </c>
      <c r="N114" s="62"/>
      <c r="O114" s="62"/>
      <c r="P114" s="5"/>
      <c r="Q114" s="9"/>
      <c r="R114" s="7"/>
      <c r="S114" s="7"/>
      <c r="T114" s="2"/>
      <c r="U114" s="2"/>
      <c r="V114" s="2"/>
      <c r="W114" s="2"/>
      <c r="X114" s="2"/>
      <c r="Y114" s="2"/>
      <c r="Z114" s="2"/>
      <c r="AA114" s="2"/>
      <c r="AB114" s="2"/>
      <c r="AC114" s="2"/>
      <c r="AD114" s="2"/>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row>
    <row r="115" spans="1:185" x14ac:dyDescent="0.3">
      <c r="A115" s="58"/>
      <c r="B115" s="58"/>
      <c r="C115" s="58"/>
      <c r="D115" s="58"/>
      <c r="E115" s="60" t="s">
        <v>1</v>
      </c>
      <c r="F115" s="68" t="str">
        <f>$C$3</f>
        <v>20/10/2013</v>
      </c>
      <c r="G115" s="58"/>
      <c r="H115" s="68"/>
      <c r="I115" s="60" t="s">
        <v>12</v>
      </c>
      <c r="J115" s="61" t="str">
        <f>L115&amp;" of "&amp;$G$1</f>
        <v>3 of 20</v>
      </c>
      <c r="K115" s="68"/>
      <c r="L115" s="71">
        <f>SUM($M$1:M114)</f>
        <v>3</v>
      </c>
      <c r="M115" s="62"/>
      <c r="N115" s="62"/>
      <c r="O115" s="62"/>
      <c r="P115" s="5"/>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row>
    <row r="116" spans="1:185" x14ac:dyDescent="0.3">
      <c r="A116" s="58"/>
      <c r="B116" s="58"/>
      <c r="C116" s="58"/>
      <c r="D116" s="58"/>
      <c r="E116" s="60" t="s">
        <v>106</v>
      </c>
      <c r="F116" s="68" t="str">
        <f>$C$5</f>
        <v>STANDARD SPREADSHEET METHOD</v>
      </c>
      <c r="G116" s="58"/>
      <c r="H116" s="58"/>
      <c r="I116" s="72"/>
      <c r="J116" s="61"/>
      <c r="K116" s="58"/>
      <c r="L116" s="58"/>
      <c r="M116" s="62"/>
      <c r="N116" s="62"/>
      <c r="O116" s="62"/>
      <c r="P116" s="5"/>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row>
    <row r="117" spans="1:185" ht="15.6" x14ac:dyDescent="0.3">
      <c r="A117" s="12"/>
      <c r="B117" s="74" t="str">
        <f>$G$4</f>
        <v>SECTION PROPERTIES</v>
      </c>
      <c r="C117" s="12"/>
      <c r="D117" s="12"/>
      <c r="E117" s="12"/>
      <c r="F117" s="12"/>
      <c r="G117" s="12"/>
      <c r="H117" s="12"/>
      <c r="I117" s="12"/>
      <c r="J117" s="12"/>
      <c r="K117" s="1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row>
    <row r="118" spans="1:185" x14ac:dyDescent="0.3">
      <c r="A118" s="54"/>
      <c r="B118" s="85"/>
      <c r="C118" s="54"/>
      <c r="D118" s="54"/>
      <c r="E118" s="54"/>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row>
    <row r="119" spans="1:185" x14ac:dyDescent="0.3">
      <c r="B119" s="39" t="s">
        <v>123</v>
      </c>
      <c r="R119" s="37"/>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row>
    <row r="120" spans="1:185" x14ac:dyDescent="0.3">
      <c r="A120" s="38"/>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row>
    <row r="121" spans="1:185" x14ac:dyDescent="0.3">
      <c r="A121" s="18"/>
      <c r="B121" s="18"/>
      <c r="C121" s="18"/>
      <c r="D121" s="18"/>
      <c r="E121" s="18"/>
      <c r="F121" s="18"/>
      <c r="G121" s="18"/>
      <c r="K121" s="18"/>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row>
    <row r="122" spans="1:185" x14ac:dyDescent="0.3">
      <c r="A122" s="18"/>
      <c r="B122" s="16" t="s">
        <v>51</v>
      </c>
      <c r="C122" s="20">
        <v>5</v>
      </c>
      <c r="D122" s="18" t="s">
        <v>4</v>
      </c>
      <c r="H122" s="39" t="s">
        <v>30</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row>
    <row r="123" spans="1:185" x14ac:dyDescent="0.3">
      <c r="A123" s="18"/>
      <c r="B123" s="40" t="s">
        <v>122</v>
      </c>
      <c r="C123" s="41">
        <v>20</v>
      </c>
      <c r="D123" s="4" t="s">
        <v>45</v>
      </c>
      <c r="H123" s="16" t="s">
        <v>72</v>
      </c>
      <c r="I123" s="4" t="str">
        <f ca="1">[1]!xlv(I125)</f>
        <v>(1 / 12) × b × d³</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row>
    <row r="124" spans="1:185" x14ac:dyDescent="0.3">
      <c r="A124" s="18"/>
      <c r="B124" s="40"/>
      <c r="C124" s="41"/>
      <c r="H124" s="16" t="s">
        <v>72</v>
      </c>
      <c r="I124" s="4" t="str">
        <f>[1]!xln(I125)</f>
        <v>(1 / 12) × 5 × 20³</v>
      </c>
      <c r="K124" s="18"/>
      <c r="S124" s="14"/>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row>
    <row r="125" spans="1:185" x14ac:dyDescent="0.3">
      <c r="A125" s="18"/>
      <c r="B125" s="18"/>
      <c r="H125" s="16" t="s">
        <v>72</v>
      </c>
      <c r="I125" s="17">
        <f>(1/12)*C122*C123^3</f>
        <v>3333.333333333333</v>
      </c>
      <c r="J125" s="18" t="s">
        <v>69</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row>
    <row r="126" spans="1:185" x14ac:dyDescent="0.3">
      <c r="B126" s="39" t="s">
        <v>29</v>
      </c>
      <c r="E126" s="42" t="s">
        <v>50</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row>
    <row r="127" spans="1:185" x14ac:dyDescent="0.3">
      <c r="B127" s="16" t="s">
        <v>32</v>
      </c>
      <c r="C127" s="4" t="str">
        <f ca="1">[1]!xlv(C129)</f>
        <v>b × d</v>
      </c>
      <c r="E127" s="16" t="s">
        <v>74</v>
      </c>
      <c r="F127" s="4" t="str">
        <f ca="1">[1]!xlv(F129)</f>
        <v>√[Iₓ / A]</v>
      </c>
      <c r="H127" s="40" t="s">
        <v>73</v>
      </c>
      <c r="I127" s="4" t="str">
        <f ca="1">[1]!xlv(I129)</f>
        <v>(1 / 12) × d × b³</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row>
    <row r="128" spans="1:185" x14ac:dyDescent="0.3">
      <c r="B128" s="16" t="s">
        <v>32</v>
      </c>
      <c r="C128" s="4" t="str">
        <f>[1]!xln(C129)</f>
        <v>5 × 20</v>
      </c>
      <c r="D128" s="11"/>
      <c r="E128" s="16" t="s">
        <v>74</v>
      </c>
      <c r="F128" s="4" t="str">
        <f>[1]!xln(F129)</f>
        <v>√[3333 / 100]</v>
      </c>
      <c r="H128" s="40" t="s">
        <v>73</v>
      </c>
      <c r="I128" s="4" t="str">
        <f>[1]!xln(I129)</f>
        <v>(1 / 12) × 20 × 5³</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row>
    <row r="129" spans="2:188" x14ac:dyDescent="0.3">
      <c r="B129" s="16" t="s">
        <v>32</v>
      </c>
      <c r="C129" s="17">
        <f>C122*C123</f>
        <v>100</v>
      </c>
      <c r="D129" s="18" t="s">
        <v>68</v>
      </c>
      <c r="E129" s="16" t="s">
        <v>74</v>
      </c>
      <c r="F129" s="43">
        <f>SQRT(I125/C129)</f>
        <v>5.7735026918962573</v>
      </c>
      <c r="G129" s="18" t="s">
        <v>4</v>
      </c>
      <c r="H129" s="40" t="s">
        <v>73</v>
      </c>
      <c r="I129" s="17">
        <f>(1/12)*C123*C122^3</f>
        <v>208.33333333333331</v>
      </c>
      <c r="J129" s="18" t="s">
        <v>69</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row>
    <row r="130" spans="2:188" x14ac:dyDescent="0.3">
      <c r="S130" s="44"/>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45"/>
      <c r="GE130" s="45"/>
      <c r="GF130" s="45"/>
    </row>
    <row r="131" spans="2:188" x14ac:dyDescent="0.3">
      <c r="B131" s="39" t="s">
        <v>120</v>
      </c>
      <c r="E131" s="16" t="s">
        <v>75</v>
      </c>
      <c r="F131" s="4" t="str">
        <f ca="1">[1]!xlv(F133)</f>
        <v>√[Iᵧ / A]</v>
      </c>
      <c r="H131" s="16" t="s">
        <v>87</v>
      </c>
      <c r="I131" s="4" t="str">
        <f ca="1">[1]!xlv(I133)</f>
        <v>Iᵧ + Iₓ</v>
      </c>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46"/>
      <c r="FQ131" s="46"/>
      <c r="FR131" s="46"/>
      <c r="FS131" s="46"/>
      <c r="FT131" s="46"/>
      <c r="FU131" s="46"/>
      <c r="FV131" s="46"/>
      <c r="FW131" s="46"/>
      <c r="FX131" s="46"/>
      <c r="FY131" s="46"/>
      <c r="FZ131" s="46"/>
      <c r="GA131" s="46"/>
      <c r="GB131" s="46"/>
      <c r="GC131" s="46"/>
      <c r="GD131" s="46"/>
      <c r="GE131" s="46"/>
      <c r="GF131" s="46"/>
    </row>
    <row r="132" spans="2:188" ht="15" x14ac:dyDescent="0.35">
      <c r="B132" s="40" t="s">
        <v>115</v>
      </c>
      <c r="C132" s="25">
        <f>C122/2</f>
        <v>2.5</v>
      </c>
      <c r="D132" s="4" t="s">
        <v>4</v>
      </c>
      <c r="E132" s="16" t="s">
        <v>75</v>
      </c>
      <c r="F132" s="4" t="str">
        <f>[1]!xln(F133)</f>
        <v>√[208 / 100]</v>
      </c>
      <c r="H132" s="16" t="s">
        <v>87</v>
      </c>
      <c r="I132" s="4" t="str">
        <f>[1]!xln(I133)</f>
        <v>208 + 3333</v>
      </c>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46"/>
      <c r="FQ132" s="46"/>
      <c r="FR132" s="46"/>
      <c r="FS132" s="46"/>
      <c r="FT132" s="46"/>
      <c r="FU132" s="46"/>
      <c r="FV132" s="46"/>
      <c r="FW132" s="46"/>
      <c r="FX132" s="46"/>
      <c r="FY132" s="46"/>
      <c r="FZ132" s="46"/>
      <c r="GA132" s="46"/>
      <c r="GB132" s="46"/>
      <c r="GC132" s="46"/>
      <c r="GD132" s="46"/>
      <c r="GE132" s="46"/>
      <c r="GF132" s="46"/>
    </row>
    <row r="133" spans="2:188" ht="15" x14ac:dyDescent="0.35">
      <c r="B133" s="40" t="s">
        <v>121</v>
      </c>
      <c r="C133" s="25">
        <f>C123/2</f>
        <v>10</v>
      </c>
      <c r="D133" s="4" t="s">
        <v>4</v>
      </c>
      <c r="E133" s="16" t="s">
        <v>75</v>
      </c>
      <c r="F133" s="25">
        <f>SQRT(I129/C129)</f>
        <v>1.4433756729740643</v>
      </c>
      <c r="G133" s="18" t="s">
        <v>4</v>
      </c>
      <c r="H133" s="16" t="s">
        <v>87</v>
      </c>
      <c r="I133" s="17">
        <f>I129+I125</f>
        <v>3541.6666666666665</v>
      </c>
      <c r="J133" s="18" t="s">
        <v>69</v>
      </c>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46"/>
      <c r="FQ133" s="46"/>
      <c r="FR133" s="46"/>
      <c r="FS133" s="46"/>
      <c r="FT133" s="46"/>
      <c r="FU133" s="46"/>
      <c r="FV133" s="46"/>
      <c r="FW133" s="46"/>
      <c r="FX133" s="46"/>
      <c r="FY133" s="46"/>
      <c r="FZ133" s="46"/>
      <c r="GA133" s="46"/>
      <c r="GB133" s="46"/>
      <c r="GC133" s="46"/>
      <c r="GD133" s="46"/>
      <c r="GE133" s="46"/>
      <c r="GF133" s="46"/>
    </row>
    <row r="134" spans="2:188" x14ac:dyDescent="0.3">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46"/>
      <c r="FQ134" s="46"/>
      <c r="FR134" s="46"/>
      <c r="FS134" s="46"/>
      <c r="FT134" s="46"/>
      <c r="FU134" s="46"/>
      <c r="FV134" s="46"/>
      <c r="FW134" s="46"/>
      <c r="FX134" s="46"/>
      <c r="FY134" s="46"/>
      <c r="FZ134" s="46"/>
      <c r="GA134" s="46"/>
      <c r="GB134" s="46"/>
      <c r="GC134" s="46"/>
      <c r="GD134" s="46"/>
      <c r="GE134" s="46"/>
      <c r="GF134" s="46"/>
    </row>
    <row r="135" spans="2:188" x14ac:dyDescent="0.3">
      <c r="B135" s="39" t="s">
        <v>116</v>
      </c>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46"/>
      <c r="FQ135" s="46"/>
      <c r="FR135" s="46"/>
      <c r="FS135" s="46"/>
      <c r="FT135" s="46"/>
      <c r="FU135" s="46"/>
      <c r="FV135" s="46"/>
      <c r="FW135" s="46"/>
      <c r="FX135" s="46"/>
      <c r="FY135" s="46"/>
      <c r="FZ135" s="46"/>
      <c r="GA135" s="46"/>
      <c r="GB135" s="46"/>
      <c r="GC135" s="46"/>
      <c r="GD135" s="46"/>
      <c r="GE135" s="46"/>
      <c r="GF135" s="46"/>
    </row>
    <row r="136" spans="2:188" x14ac:dyDescent="0.3">
      <c r="B136" s="16" t="s">
        <v>117</v>
      </c>
      <c r="C136" s="4" t="str">
        <f ca="1">[1]!xlv(C138)</f>
        <v>0.25 × b × d²</v>
      </c>
      <c r="E136" s="40" t="s">
        <v>118</v>
      </c>
      <c r="F136" s="4" t="str">
        <f ca="1">[1]!xlv(F138)</f>
        <v>0.25 × d × b²</v>
      </c>
      <c r="H136" s="16" t="s">
        <v>119</v>
      </c>
      <c r="I136" s="4">
        <v>1.5</v>
      </c>
      <c r="S136" s="44"/>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46"/>
      <c r="FQ136" s="46"/>
      <c r="FR136" s="46"/>
      <c r="FS136" s="46"/>
      <c r="FT136" s="46"/>
      <c r="FU136" s="46"/>
      <c r="FV136" s="46"/>
      <c r="FW136" s="46"/>
      <c r="FX136" s="46"/>
      <c r="FY136" s="46"/>
      <c r="FZ136" s="46"/>
      <c r="GA136" s="46"/>
      <c r="GB136" s="46"/>
      <c r="GC136" s="46"/>
      <c r="GD136" s="46"/>
      <c r="GE136" s="46"/>
      <c r="GF136" s="46"/>
    </row>
    <row r="137" spans="2:188" x14ac:dyDescent="0.3">
      <c r="B137" s="16" t="s">
        <v>117</v>
      </c>
      <c r="C137" s="4" t="str">
        <f>[1]!xln(C138)</f>
        <v>0.25 × 5 × 20²</v>
      </c>
      <c r="D137" s="11"/>
      <c r="E137" s="40" t="s">
        <v>118</v>
      </c>
      <c r="F137" s="4" t="str">
        <f>[1]!xln(F138)</f>
        <v>0.25 × 20 × 5²</v>
      </c>
      <c r="H137" s="16"/>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46"/>
      <c r="FQ137" s="46"/>
      <c r="FR137" s="46"/>
      <c r="FS137" s="46"/>
      <c r="FT137" s="46"/>
      <c r="FU137" s="46"/>
      <c r="FV137" s="46"/>
      <c r="FW137" s="46"/>
      <c r="FX137" s="46"/>
      <c r="FY137" s="46"/>
      <c r="FZ137" s="46"/>
      <c r="GA137" s="46"/>
      <c r="GB137" s="46"/>
      <c r="GC137" s="46"/>
      <c r="GD137" s="46"/>
      <c r="GE137" s="46"/>
      <c r="GF137" s="46"/>
    </row>
    <row r="138" spans="2:188" x14ac:dyDescent="0.3">
      <c r="B138" s="16" t="s">
        <v>117</v>
      </c>
      <c r="C138" s="46">
        <f>0.25*C122*C123^2</f>
        <v>500</v>
      </c>
      <c r="D138" s="4" t="s">
        <v>44</v>
      </c>
      <c r="E138" s="40" t="s">
        <v>118</v>
      </c>
      <c r="F138" s="46">
        <f>0.25*C123*C122^2</f>
        <v>125</v>
      </c>
      <c r="G138" s="4" t="s">
        <v>44</v>
      </c>
      <c r="H138" s="16"/>
      <c r="I138" s="46"/>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46"/>
      <c r="FQ138" s="46"/>
      <c r="FR138" s="46"/>
      <c r="FS138" s="46"/>
      <c r="FT138" s="46"/>
      <c r="FU138" s="46"/>
      <c r="FV138" s="46"/>
      <c r="FW138" s="46"/>
      <c r="FX138" s="46"/>
      <c r="FY138" s="46"/>
      <c r="FZ138" s="46"/>
      <c r="GA138" s="46"/>
      <c r="GB138" s="46"/>
      <c r="GC138" s="46"/>
      <c r="GD138" s="46"/>
      <c r="GE138" s="46"/>
      <c r="GF138" s="46"/>
    </row>
    <row r="139" spans="2:188" x14ac:dyDescent="0.3">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46"/>
      <c r="FQ139" s="46"/>
      <c r="FR139" s="46"/>
    </row>
    <row r="140" spans="2:188" x14ac:dyDescent="0.3">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46"/>
      <c r="FQ140" s="46"/>
      <c r="FR140" s="46"/>
    </row>
    <row r="141" spans="2:188" x14ac:dyDescent="0.3">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row>
    <row r="142" spans="2:188" x14ac:dyDescent="0.3">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2:188" x14ac:dyDescent="0.3">
      <c r="T143" s="47"/>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c r="EU143" s="45"/>
      <c r="EV143" s="45"/>
      <c r="EW143" s="45"/>
      <c r="EX143" s="45"/>
      <c r="EY143" s="45"/>
      <c r="EZ143" s="45"/>
      <c r="FA143" s="45"/>
      <c r="FB143" s="45"/>
      <c r="FC143" s="45"/>
      <c r="FD143" s="45"/>
      <c r="FE143" s="45"/>
      <c r="FF143" s="45"/>
      <c r="FG143" s="45"/>
      <c r="FH143" s="45"/>
      <c r="FI143" s="45"/>
      <c r="FJ143" s="45"/>
      <c r="FK143" s="45"/>
      <c r="FL143" s="45"/>
      <c r="FM143" s="45"/>
      <c r="FN143" s="45"/>
      <c r="FO143" s="45"/>
      <c r="FP143" s="45"/>
      <c r="FQ143" s="45"/>
      <c r="FR143" s="45"/>
    </row>
    <row r="145" spans="2:183" x14ac:dyDescent="0.3">
      <c r="AB145" s="48"/>
    </row>
    <row r="146" spans="2:183" x14ac:dyDescent="0.3">
      <c r="B146" s="16"/>
      <c r="G146" s="16"/>
    </row>
    <row r="147" spans="2:183" x14ac:dyDescent="0.3">
      <c r="B147" s="16"/>
      <c r="G147" s="16"/>
    </row>
    <row r="148" spans="2:183" x14ac:dyDescent="0.3">
      <c r="B148" s="16"/>
      <c r="C148" s="17"/>
      <c r="D148" s="18"/>
      <c r="G148" s="16"/>
      <c r="H148" s="46"/>
    </row>
    <row r="160" spans="2:183" x14ac:dyDescent="0.3">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row>
    <row r="161" spans="1:185" x14ac:dyDescent="0.3">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row>
    <row r="162" spans="1:185" x14ac:dyDescent="0.3">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row>
    <row r="163" spans="1:185" x14ac:dyDescent="0.3">
      <c r="A163" s="12"/>
      <c r="B163" s="3"/>
      <c r="C163" s="86"/>
      <c r="D163" s="12"/>
      <c r="E163" s="12"/>
      <c r="F163" s="12"/>
      <c r="G163" s="86"/>
      <c r="H163" s="12"/>
      <c r="I163" s="12"/>
      <c r="J163" s="12"/>
      <c r="K163" s="1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row>
    <row r="164" spans="1:185" x14ac:dyDescent="0.3">
      <c r="A164" s="12"/>
      <c r="B164" s="87"/>
      <c r="C164" s="86"/>
      <c r="D164" s="88"/>
      <c r="E164" s="88"/>
      <c r="F164" s="89" t="s">
        <v>161</v>
      </c>
      <c r="G164" s="86"/>
      <c r="H164" s="88"/>
      <c r="I164" s="88"/>
      <c r="J164" s="88"/>
      <c r="K164" s="1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row>
    <row r="165" spans="1:185" x14ac:dyDescent="0.3">
      <c r="A165" s="12"/>
      <c r="B165" s="88"/>
      <c r="C165" s="88"/>
      <c r="D165" s="88"/>
      <c r="E165" s="88"/>
      <c r="F165" s="104" t="s">
        <v>162</v>
      </c>
      <c r="G165" s="88"/>
      <c r="H165" s="88"/>
      <c r="I165" s="88"/>
      <c r="J165" s="88"/>
      <c r="K165" s="1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row>
    <row r="166" spans="1:185" x14ac:dyDescent="0.3">
      <c r="A166" s="67"/>
      <c r="B166" s="58"/>
      <c r="C166" s="58"/>
      <c r="D166" s="58"/>
      <c r="E166" s="60" t="s">
        <v>5</v>
      </c>
      <c r="F166" s="61" t="str">
        <f>$C$1</f>
        <v>R. Abbott</v>
      </c>
      <c r="G166" s="58"/>
      <c r="H166" s="68"/>
      <c r="I166" s="60" t="s">
        <v>10</v>
      </c>
      <c r="J166" s="69" t="str">
        <f>$G$2</f>
        <v>AA-SM-001-000</v>
      </c>
      <c r="K166" s="70"/>
      <c r="L166" s="71"/>
      <c r="M166" s="62"/>
      <c r="N166" s="62"/>
      <c r="O166" s="62"/>
      <c r="P166" s="5"/>
      <c r="AD166" s="8"/>
    </row>
    <row r="167" spans="1:185" s="10" customFormat="1" x14ac:dyDescent="0.3">
      <c r="A167" s="58"/>
      <c r="B167" s="58"/>
      <c r="C167" s="58"/>
      <c r="D167" s="58"/>
      <c r="E167" s="60" t="s">
        <v>6</v>
      </c>
      <c r="F167" s="68" t="str">
        <f>$C$2</f>
        <v xml:space="preserve"> </v>
      </c>
      <c r="G167" s="58"/>
      <c r="H167" s="68"/>
      <c r="I167" s="60" t="s">
        <v>11</v>
      </c>
      <c r="J167" s="70" t="str">
        <f>$G$3</f>
        <v>A</v>
      </c>
      <c r="K167" s="70"/>
      <c r="L167" s="71"/>
      <c r="M167" s="62">
        <v>1</v>
      </c>
      <c r="N167" s="62"/>
      <c r="O167" s="62"/>
      <c r="P167" s="5"/>
      <c r="Q167" s="9"/>
      <c r="R167" s="7"/>
      <c r="S167" s="7"/>
      <c r="T167" s="2"/>
      <c r="U167" s="2"/>
      <c r="V167" s="2"/>
      <c r="W167" s="2"/>
      <c r="X167" s="2"/>
      <c r="Y167" s="2"/>
      <c r="Z167" s="2"/>
      <c r="AA167" s="2"/>
      <c r="AB167" s="2"/>
      <c r="AC167" s="2"/>
      <c r="AD167" s="2"/>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row>
    <row r="168" spans="1:185" x14ac:dyDescent="0.3">
      <c r="A168" s="58"/>
      <c r="B168" s="58"/>
      <c r="C168" s="58"/>
      <c r="D168" s="58"/>
      <c r="E168" s="60" t="s">
        <v>1</v>
      </c>
      <c r="F168" s="68" t="str">
        <f>$C$3</f>
        <v>20/10/2013</v>
      </c>
      <c r="G168" s="58"/>
      <c r="H168" s="68"/>
      <c r="I168" s="60" t="s">
        <v>12</v>
      </c>
      <c r="J168" s="61" t="str">
        <f>L168&amp;" of "&amp;$G$1</f>
        <v>4 of 20</v>
      </c>
      <c r="K168" s="68"/>
      <c r="L168" s="71">
        <f>SUM($M$1:M167)</f>
        <v>4</v>
      </c>
      <c r="M168" s="62"/>
      <c r="N168" s="62"/>
      <c r="O168" s="62"/>
      <c r="P168" s="5"/>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row>
    <row r="169" spans="1:185" x14ac:dyDescent="0.3">
      <c r="A169" s="58"/>
      <c r="B169" s="58"/>
      <c r="C169" s="58"/>
      <c r="D169" s="58"/>
      <c r="E169" s="60" t="s">
        <v>106</v>
      </c>
      <c r="F169" s="68" t="str">
        <f>$C$5</f>
        <v>STANDARD SPREADSHEET METHOD</v>
      </c>
      <c r="G169" s="58"/>
      <c r="H169" s="58"/>
      <c r="I169" s="72"/>
      <c r="J169" s="61"/>
      <c r="K169" s="58"/>
      <c r="L169" s="58"/>
      <c r="M169" s="62"/>
      <c r="N169" s="62"/>
      <c r="O169" s="62"/>
      <c r="P169" s="5"/>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row>
    <row r="170" spans="1:185" ht="15.6" x14ac:dyDescent="0.3">
      <c r="A170" s="12"/>
      <c r="B170" s="74" t="str">
        <f>$G$4</f>
        <v>SECTION PROPERTIES</v>
      </c>
      <c r="C170" s="12"/>
      <c r="D170" s="12"/>
      <c r="E170" s="12"/>
      <c r="F170" s="12"/>
      <c r="G170" s="12"/>
      <c r="H170" s="12"/>
      <c r="I170" s="12"/>
      <c r="J170" s="12"/>
      <c r="K170" s="1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row>
    <row r="171" spans="1:185" x14ac:dyDescent="0.3">
      <c r="A171" s="54"/>
      <c r="B171" s="85"/>
      <c r="C171" s="54"/>
      <c r="D171" s="54"/>
      <c r="E171" s="54"/>
    </row>
    <row r="172" spans="1:185" x14ac:dyDescent="0.3">
      <c r="A172" s="11"/>
      <c r="B172" s="19" t="s">
        <v>128</v>
      </c>
      <c r="C172" s="11"/>
      <c r="D172" s="15"/>
      <c r="E172" s="11"/>
      <c r="F172" s="11"/>
      <c r="G172" s="11"/>
      <c r="H172" s="11"/>
      <c r="I172" s="11"/>
      <c r="J172" s="11"/>
      <c r="K172" s="11"/>
    </row>
    <row r="174" spans="1:185" x14ac:dyDescent="0.3">
      <c r="A174" s="38"/>
      <c r="B174" s="16" t="s">
        <v>51</v>
      </c>
      <c r="C174" s="20">
        <v>20</v>
      </c>
      <c r="D174" s="18" t="s">
        <v>4</v>
      </c>
      <c r="U174" s="2" t="s">
        <v>125</v>
      </c>
    </row>
    <row r="175" spans="1:185" x14ac:dyDescent="0.3">
      <c r="A175" s="18"/>
      <c r="B175" s="40" t="s">
        <v>122</v>
      </c>
      <c r="C175" s="41">
        <v>30</v>
      </c>
      <c r="D175" s="4" t="s">
        <v>4</v>
      </c>
      <c r="E175" s="18"/>
      <c r="F175" s="18"/>
      <c r="G175" s="18"/>
    </row>
    <row r="176" spans="1:185" x14ac:dyDescent="0.3">
      <c r="A176" s="18"/>
      <c r="B176" s="40" t="s">
        <v>126</v>
      </c>
      <c r="C176" s="41">
        <v>15</v>
      </c>
      <c r="D176" s="4" t="s">
        <v>4</v>
      </c>
      <c r="H176" s="39" t="s">
        <v>30</v>
      </c>
      <c r="U176" s="50"/>
    </row>
    <row r="177" spans="1:21" x14ac:dyDescent="0.3">
      <c r="A177" s="18"/>
      <c r="B177" s="40" t="s">
        <v>127</v>
      </c>
      <c r="C177" s="41">
        <v>25</v>
      </c>
      <c r="D177" s="4" t="s">
        <v>4</v>
      </c>
    </row>
    <row r="178" spans="1:21" x14ac:dyDescent="0.3">
      <c r="A178" s="18"/>
      <c r="B178" s="40"/>
      <c r="C178" s="41"/>
      <c r="H178" s="16" t="s">
        <v>72</v>
      </c>
      <c r="I178" s="4" t="str">
        <f ca="1">[1]!xlv(I180)</f>
        <v>((b × d³) - (bᵢ × dᵢ³)) / 12</v>
      </c>
    </row>
    <row r="179" spans="1:21" x14ac:dyDescent="0.3">
      <c r="A179" s="18"/>
      <c r="B179" s="18"/>
      <c r="H179" s="16" t="s">
        <v>72</v>
      </c>
      <c r="I179" s="4" t="str">
        <f>[1]!xln(I180)</f>
        <v>((20 × 30³) - (15 × 25³)) / 12</v>
      </c>
      <c r="U179" s="50"/>
    </row>
    <row r="180" spans="1:21" x14ac:dyDescent="0.3">
      <c r="A180" s="18"/>
      <c r="H180" s="16" t="s">
        <v>72</v>
      </c>
      <c r="I180" s="17">
        <f>((C174*C175^3)-(C176*C177^3))/12</f>
        <v>25468.75</v>
      </c>
      <c r="J180" s="18" t="s">
        <v>69</v>
      </c>
    </row>
    <row r="181" spans="1:21" x14ac:dyDescent="0.3">
      <c r="A181" s="11"/>
      <c r="B181" s="39" t="s">
        <v>29</v>
      </c>
      <c r="E181" s="42" t="s">
        <v>50</v>
      </c>
    </row>
    <row r="182" spans="1:21" x14ac:dyDescent="0.3">
      <c r="B182" s="16" t="s">
        <v>32</v>
      </c>
      <c r="C182" s="4" t="str">
        <f ca="1">[1]!xlv(C184)</f>
        <v>b × d - bᵢ × dᵢ</v>
      </c>
      <c r="E182" s="16" t="s">
        <v>74</v>
      </c>
      <c r="F182" s="4" t="str">
        <f ca="1">[1]!xlv(F184)</f>
        <v>(Iₓ / A)⁰·⁵</v>
      </c>
      <c r="H182" s="40" t="s">
        <v>73</v>
      </c>
      <c r="I182" s="4" t="str">
        <f ca="1">[1]!xlv(I184)</f>
        <v>((d × b³) - (dᵢ × bᵢ³)) / 12</v>
      </c>
    </row>
    <row r="183" spans="1:21" x14ac:dyDescent="0.3">
      <c r="B183" s="16" t="s">
        <v>32</v>
      </c>
      <c r="C183" s="4" t="str">
        <f>[1]!xln(C184)</f>
        <v>20 × 30 - 15 × 25</v>
      </c>
      <c r="D183" s="11"/>
      <c r="E183" s="16" t="s">
        <v>74</v>
      </c>
      <c r="F183" s="4" t="str">
        <f>[1]!xln(F184)</f>
        <v>(25469 / 225)⁰·⁵</v>
      </c>
      <c r="H183" s="40" t="s">
        <v>73</v>
      </c>
      <c r="I183" s="4" t="str">
        <f>[1]!xln(I184)</f>
        <v>((30 × 20³) - (25 × 15³)) / 12</v>
      </c>
    </row>
    <row r="184" spans="1:21" x14ac:dyDescent="0.3">
      <c r="B184" s="16" t="s">
        <v>32</v>
      </c>
      <c r="C184" s="17">
        <f>C174*C175-C176*C177</f>
        <v>225</v>
      </c>
      <c r="D184" s="18" t="s">
        <v>68</v>
      </c>
      <c r="E184" s="16" t="s">
        <v>74</v>
      </c>
      <c r="F184" s="43">
        <f>(I180/C184)^0.5</f>
        <v>10.639287779003087</v>
      </c>
      <c r="G184" s="18" t="s">
        <v>4</v>
      </c>
      <c r="H184" s="40" t="s">
        <v>73</v>
      </c>
      <c r="I184" s="46">
        <f>((C175*C174^3)-(C177*C176^3))/12</f>
        <v>12968.75</v>
      </c>
      <c r="J184" s="18" t="s">
        <v>69</v>
      </c>
    </row>
    <row r="186" spans="1:21" x14ac:dyDescent="0.3">
      <c r="B186" s="39" t="s">
        <v>120</v>
      </c>
      <c r="E186" s="16" t="s">
        <v>75</v>
      </c>
      <c r="F186" s="4" t="str">
        <f ca="1">[1]!xlv(F188)</f>
        <v>(Iᵧ / A)⁰·⁵</v>
      </c>
      <c r="H186" s="16" t="s">
        <v>87</v>
      </c>
      <c r="I186" s="4" t="str">
        <f ca="1">[1]!xlv(I188)</f>
        <v>Iᵧ + Iₓ</v>
      </c>
      <c r="U186" s="50"/>
    </row>
    <row r="187" spans="1:21" x14ac:dyDescent="0.3">
      <c r="B187" s="40" t="s">
        <v>25</v>
      </c>
      <c r="C187" s="25">
        <f>C174/2</f>
        <v>10</v>
      </c>
      <c r="D187" s="4" t="s">
        <v>4</v>
      </c>
      <c r="E187" s="16" t="s">
        <v>75</v>
      </c>
      <c r="F187" s="4" t="str">
        <f>[1]!xln(F188)</f>
        <v>(12969 / 225)⁰·⁵</v>
      </c>
      <c r="H187" s="16" t="s">
        <v>87</v>
      </c>
      <c r="I187" s="4" t="str">
        <f>[1]!xln(I188)</f>
        <v>12969 + 25469</v>
      </c>
    </row>
    <row r="188" spans="1:21" x14ac:dyDescent="0.3">
      <c r="B188" s="40" t="s">
        <v>27</v>
      </c>
      <c r="C188" s="25">
        <f>C175/2</f>
        <v>15</v>
      </c>
      <c r="D188" s="4" t="s">
        <v>4</v>
      </c>
      <c r="E188" s="16" t="s">
        <v>75</v>
      </c>
      <c r="F188" s="25">
        <f>(I184/C184)^0.5</f>
        <v>7.592027982620249</v>
      </c>
      <c r="G188" s="18" t="s">
        <v>4</v>
      </c>
      <c r="H188" s="16" t="s">
        <v>87</v>
      </c>
      <c r="I188" s="17">
        <f>I184+I180</f>
        <v>38437.5</v>
      </c>
      <c r="J188" s="18" t="s">
        <v>69</v>
      </c>
    </row>
    <row r="190" spans="1:21" x14ac:dyDescent="0.3">
      <c r="B190" s="39" t="s">
        <v>116</v>
      </c>
    </row>
    <row r="191" spans="1:21" x14ac:dyDescent="0.3">
      <c r="B191" s="16" t="s">
        <v>117</v>
      </c>
      <c r="C191" s="4" t="str">
        <f ca="1">[1]!xlv(C193)</f>
        <v>(b × d² - bᵢ × dᵢ²) / 4</v>
      </c>
      <c r="F191" s="40" t="s">
        <v>118</v>
      </c>
      <c r="G191" s="4" t="str">
        <f ca="1">[1]!xlv(G193)</f>
        <v>(d × b² - dᵢ × bᵢ²) / 4</v>
      </c>
    </row>
    <row r="192" spans="1:21" x14ac:dyDescent="0.3">
      <c r="A192" s="11"/>
      <c r="B192" s="16" t="s">
        <v>117</v>
      </c>
      <c r="C192" s="4" t="str">
        <f>[1]!xln(C193)</f>
        <v>(20 × 30² - 15 × 25²) / 4</v>
      </c>
      <c r="F192" s="40" t="s">
        <v>118</v>
      </c>
      <c r="G192" s="4" t="str">
        <f>[1]!xln(G193)</f>
        <v>(30 × 20² - 25 × 15²) / 4</v>
      </c>
      <c r="K192" s="11"/>
    </row>
    <row r="193" spans="1:11" x14ac:dyDescent="0.3">
      <c r="A193" s="11"/>
      <c r="B193" s="16" t="s">
        <v>117</v>
      </c>
      <c r="C193" s="46">
        <f>(C174*C175^2-C176*C177^2)/4</f>
        <v>2156.25</v>
      </c>
      <c r="D193" s="46" t="s">
        <v>44</v>
      </c>
      <c r="E193" s="46"/>
      <c r="F193" s="53" t="s">
        <v>118</v>
      </c>
      <c r="G193" s="46">
        <f>(C175*C174^2-C177*C176^2)/4</f>
        <v>1593.75</v>
      </c>
      <c r="H193" s="4" t="s">
        <v>44</v>
      </c>
      <c r="K193" s="11"/>
    </row>
    <row r="194" spans="1:11" x14ac:dyDescent="0.3">
      <c r="C194" s="46"/>
      <c r="D194" s="46"/>
      <c r="E194" s="46"/>
      <c r="F194" s="46"/>
      <c r="G194" s="46"/>
    </row>
    <row r="195" spans="1:11" x14ac:dyDescent="0.3">
      <c r="B195" s="16" t="s">
        <v>129</v>
      </c>
      <c r="C195" s="46" t="str">
        <f ca="1">[1]!xlv(C197)</f>
        <v>Zₓ × d / (2 × Iₓ)</v>
      </c>
      <c r="D195" s="46"/>
      <c r="E195" s="46"/>
      <c r="F195" s="40" t="s">
        <v>132</v>
      </c>
      <c r="G195" s="46" t="str">
        <f ca="1">[1]!xlv(G197)</f>
        <v>Zᵧ × b / (2 × Iᵧ)</v>
      </c>
      <c r="H195" s="46"/>
    </row>
    <row r="196" spans="1:11" x14ac:dyDescent="0.3">
      <c r="B196" s="16" t="s">
        <v>129</v>
      </c>
      <c r="C196" s="46" t="str">
        <f>[1]!xln(C197)</f>
        <v>2156 × 30 / (2 × 25469)</v>
      </c>
      <c r="D196" s="46"/>
      <c r="E196" s="46"/>
      <c r="F196" s="40" t="s">
        <v>132</v>
      </c>
      <c r="G196" s="46" t="str">
        <f>[1]!xln(G197)</f>
        <v>1594 × 20 / (2 × 12969)</v>
      </c>
      <c r="H196" s="46"/>
    </row>
    <row r="197" spans="1:11" x14ac:dyDescent="0.3">
      <c r="B197" s="16" t="s">
        <v>129</v>
      </c>
      <c r="C197" s="99">
        <f>C193*C175/(2*I180)</f>
        <v>1.2699386503067485</v>
      </c>
      <c r="D197" s="99"/>
      <c r="E197" s="99"/>
      <c r="F197" s="40" t="s">
        <v>132</v>
      </c>
      <c r="G197" s="99">
        <f>G193*C174/(2*I184)</f>
        <v>1.2289156626506024</v>
      </c>
      <c r="H197" s="46"/>
    </row>
    <row r="198" spans="1:11" x14ac:dyDescent="0.3">
      <c r="B198" s="11"/>
      <c r="C198" s="16"/>
      <c r="D198" s="32"/>
      <c r="E198" s="18"/>
    </row>
    <row r="204" spans="1:11" x14ac:dyDescent="0.3">
      <c r="B204" s="11"/>
    </row>
    <row r="206" spans="1:11" x14ac:dyDescent="0.3">
      <c r="C206" s="16"/>
      <c r="G206" s="35"/>
      <c r="H206" s="35"/>
      <c r="I206" s="35"/>
      <c r="J206" s="16"/>
    </row>
    <row r="207" spans="1:11" x14ac:dyDescent="0.3">
      <c r="I207" s="30"/>
    </row>
    <row r="208" spans="1:11" x14ac:dyDescent="0.3">
      <c r="C208" s="16"/>
      <c r="D208" s="36"/>
      <c r="E208" s="18"/>
      <c r="F208" s="30"/>
      <c r="G208" s="30"/>
      <c r="H208" s="30"/>
    </row>
    <row r="209" spans="1:185" x14ac:dyDescent="0.3">
      <c r="C209" s="16"/>
      <c r="D209" s="36"/>
      <c r="E209" s="18"/>
      <c r="F209" s="30"/>
      <c r="G209" s="30"/>
      <c r="H209" s="30"/>
    </row>
    <row r="216" spans="1:185" x14ac:dyDescent="0.3">
      <c r="A216" s="12"/>
      <c r="B216" s="3"/>
      <c r="C216" s="86"/>
      <c r="D216" s="12"/>
      <c r="E216" s="12"/>
      <c r="F216" s="12"/>
      <c r="G216" s="86"/>
      <c r="H216" s="12"/>
      <c r="I216" s="12"/>
      <c r="J216" s="12"/>
      <c r="K216" s="12"/>
    </row>
    <row r="217" spans="1:185" x14ac:dyDescent="0.3">
      <c r="A217" s="12"/>
      <c r="B217" s="87"/>
      <c r="C217" s="86"/>
      <c r="D217" s="88"/>
      <c r="E217" s="88"/>
      <c r="F217" s="89" t="s">
        <v>161</v>
      </c>
      <c r="G217" s="86"/>
      <c r="H217" s="88"/>
      <c r="I217" s="88"/>
      <c r="J217" s="88"/>
      <c r="K217" s="12"/>
    </row>
    <row r="218" spans="1:185" x14ac:dyDescent="0.3">
      <c r="A218" s="12"/>
      <c r="B218" s="88"/>
      <c r="C218" s="88"/>
      <c r="D218" s="88"/>
      <c r="E218" s="88"/>
      <c r="F218" s="104" t="s">
        <v>162</v>
      </c>
      <c r="G218" s="88"/>
      <c r="H218" s="88"/>
      <c r="I218" s="88"/>
      <c r="J218" s="88"/>
      <c r="K218" s="12"/>
    </row>
    <row r="219" spans="1:185" x14ac:dyDescent="0.3">
      <c r="A219" s="67"/>
      <c r="B219" s="58"/>
      <c r="C219" s="58"/>
      <c r="D219" s="58"/>
      <c r="E219" s="60" t="s">
        <v>5</v>
      </c>
      <c r="F219" s="61" t="str">
        <f>$C$1</f>
        <v>R. Abbott</v>
      </c>
      <c r="G219" s="58"/>
      <c r="H219" s="68"/>
      <c r="I219" s="60" t="s">
        <v>10</v>
      </c>
      <c r="J219" s="69" t="str">
        <f>$G$2</f>
        <v>AA-SM-001-000</v>
      </c>
      <c r="K219" s="70"/>
      <c r="L219" s="71"/>
      <c r="M219" s="62"/>
      <c r="N219" s="62"/>
      <c r="O219" s="62"/>
      <c r="P219" s="5"/>
      <c r="AD219" s="8"/>
    </row>
    <row r="220" spans="1:185" s="10" customFormat="1" x14ac:dyDescent="0.3">
      <c r="A220" s="58"/>
      <c r="B220" s="58"/>
      <c r="C220" s="58"/>
      <c r="D220" s="58"/>
      <c r="E220" s="60" t="s">
        <v>6</v>
      </c>
      <c r="F220" s="68" t="str">
        <f>$C$2</f>
        <v xml:space="preserve"> </v>
      </c>
      <c r="G220" s="58"/>
      <c r="H220" s="68"/>
      <c r="I220" s="60" t="s">
        <v>11</v>
      </c>
      <c r="J220" s="70" t="str">
        <f>$G$3</f>
        <v>A</v>
      </c>
      <c r="K220" s="70"/>
      <c r="L220" s="71"/>
      <c r="M220" s="62">
        <v>1</v>
      </c>
      <c r="N220" s="62"/>
      <c r="O220" s="62"/>
      <c r="P220" s="5"/>
      <c r="Q220" s="9"/>
      <c r="R220" s="7"/>
      <c r="S220" s="7"/>
      <c r="T220" s="2"/>
      <c r="U220" s="2"/>
      <c r="V220" s="2"/>
      <c r="W220" s="2"/>
      <c r="X220" s="2"/>
      <c r="Y220" s="2"/>
      <c r="Z220" s="2"/>
      <c r="AA220" s="2"/>
      <c r="AB220" s="2"/>
      <c r="AC220" s="2"/>
      <c r="AD220" s="2"/>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row>
    <row r="221" spans="1:185" x14ac:dyDescent="0.3">
      <c r="A221" s="58"/>
      <c r="B221" s="58"/>
      <c r="C221" s="58"/>
      <c r="D221" s="58"/>
      <c r="E221" s="60" t="s">
        <v>1</v>
      </c>
      <c r="F221" s="68" t="str">
        <f>$C$3</f>
        <v>20/10/2013</v>
      </c>
      <c r="G221" s="58"/>
      <c r="H221" s="68"/>
      <c r="I221" s="60" t="s">
        <v>12</v>
      </c>
      <c r="J221" s="61" t="str">
        <f>L221&amp;" of "&amp;$G$1</f>
        <v>5 of 20</v>
      </c>
      <c r="K221" s="68"/>
      <c r="L221" s="71">
        <f>SUM($M$1:M220)</f>
        <v>5</v>
      </c>
      <c r="M221" s="62"/>
      <c r="N221" s="62"/>
      <c r="O221" s="62"/>
      <c r="P221" s="5"/>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row>
    <row r="222" spans="1:185" x14ac:dyDescent="0.3">
      <c r="A222" s="58"/>
      <c r="B222" s="58"/>
      <c r="C222" s="58"/>
      <c r="D222" s="58"/>
      <c r="E222" s="60" t="s">
        <v>106</v>
      </c>
      <c r="F222" s="68" t="str">
        <f>$C$5</f>
        <v>STANDARD SPREADSHEET METHOD</v>
      </c>
      <c r="G222" s="58"/>
      <c r="H222" s="58"/>
      <c r="I222" s="72"/>
      <c r="J222" s="61"/>
      <c r="K222" s="58"/>
      <c r="L222" s="58"/>
      <c r="M222" s="62"/>
      <c r="N222" s="62"/>
      <c r="O222" s="62"/>
      <c r="P222" s="5"/>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row>
    <row r="223" spans="1:185" ht="15.6" x14ac:dyDescent="0.3">
      <c r="A223" s="12"/>
      <c r="B223" s="74" t="str">
        <f>$G$4</f>
        <v>SECTION PROPERTIES</v>
      </c>
      <c r="C223" s="12"/>
      <c r="D223" s="12"/>
      <c r="E223" s="12"/>
      <c r="F223" s="12"/>
      <c r="G223" s="12"/>
      <c r="H223" s="12"/>
      <c r="I223" s="12"/>
      <c r="J223" s="12"/>
      <c r="K223" s="1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row>
    <row r="224" spans="1:185" x14ac:dyDescent="0.3">
      <c r="A224" s="54"/>
      <c r="B224" s="85"/>
      <c r="C224" s="54"/>
      <c r="D224" s="54"/>
      <c r="E224" s="54"/>
    </row>
    <row r="225" spans="1:21" x14ac:dyDescent="0.3">
      <c r="A225" s="11"/>
      <c r="B225" s="19" t="s">
        <v>130</v>
      </c>
      <c r="C225" s="11"/>
      <c r="D225" s="15"/>
      <c r="E225" s="11"/>
      <c r="F225" s="11"/>
      <c r="G225" s="11"/>
      <c r="H225" s="11"/>
      <c r="I225" s="11"/>
      <c r="J225" s="11"/>
      <c r="K225" s="11"/>
    </row>
    <row r="227" spans="1:21" x14ac:dyDescent="0.3">
      <c r="A227" s="38"/>
      <c r="B227" s="16" t="s">
        <v>51</v>
      </c>
      <c r="C227" s="20">
        <v>10</v>
      </c>
      <c r="D227" s="18" t="s">
        <v>4</v>
      </c>
      <c r="H227" s="42" t="s">
        <v>50</v>
      </c>
      <c r="U227" s="2" t="s">
        <v>125</v>
      </c>
    </row>
    <row r="228" spans="1:21" x14ac:dyDescent="0.3">
      <c r="A228" s="18"/>
      <c r="B228" s="40" t="s">
        <v>122</v>
      </c>
      <c r="C228" s="41">
        <v>10</v>
      </c>
      <c r="D228" s="4" t="s">
        <v>4</v>
      </c>
      <c r="E228" s="18"/>
      <c r="F228" s="18"/>
      <c r="G228" s="18"/>
      <c r="H228" s="16" t="s">
        <v>74</v>
      </c>
      <c r="I228" s="4" t="str">
        <f ca="1">[1]!xlv(I230)</f>
        <v>(Iₓ / A)⁰·⁵</v>
      </c>
    </row>
    <row r="229" spans="1:21" x14ac:dyDescent="0.3">
      <c r="A229" s="18"/>
      <c r="B229" s="40" t="s">
        <v>83</v>
      </c>
      <c r="C229" s="100">
        <v>0.25</v>
      </c>
      <c r="D229" s="4" t="s">
        <v>4</v>
      </c>
      <c r="H229" s="16" t="s">
        <v>74</v>
      </c>
      <c r="I229" s="4" t="str">
        <f>[1]!xln(I230)</f>
        <v>(53.7 / 5)⁰·⁵</v>
      </c>
      <c r="U229" s="50"/>
    </row>
    <row r="230" spans="1:21" x14ac:dyDescent="0.3">
      <c r="A230" s="18"/>
      <c r="B230" s="40" t="s">
        <v>131</v>
      </c>
      <c r="C230" s="100">
        <v>0.25</v>
      </c>
      <c r="D230" s="4" t="s">
        <v>4</v>
      </c>
      <c r="H230" s="16" t="s">
        <v>74</v>
      </c>
      <c r="I230" s="43">
        <f>(C248/C237)^0.5</f>
        <v>3.2765343098056205</v>
      </c>
      <c r="J230" s="18" t="s">
        <v>4</v>
      </c>
    </row>
    <row r="231" spans="1:21" x14ac:dyDescent="0.3">
      <c r="A231" s="18"/>
      <c r="B231" s="40"/>
      <c r="C231" s="41"/>
    </row>
    <row r="232" spans="1:21" x14ac:dyDescent="0.3">
      <c r="A232" s="18"/>
      <c r="B232" s="18"/>
      <c r="H232" s="16" t="s">
        <v>75</v>
      </c>
      <c r="I232" s="4" t="str">
        <f ca="1">[1]!xlv(I234)</f>
        <v>(Iᵧ / A)⁰·⁵</v>
      </c>
      <c r="U232" s="50"/>
    </row>
    <row r="233" spans="1:21" x14ac:dyDescent="0.3">
      <c r="A233" s="18"/>
      <c r="H233" s="16" t="s">
        <v>75</v>
      </c>
      <c r="I233" s="4" t="str">
        <f>[1]!xln(I234)</f>
        <v>(20.8 / 5)⁰·⁵</v>
      </c>
    </row>
    <row r="234" spans="1:21" x14ac:dyDescent="0.3">
      <c r="A234" s="11"/>
      <c r="B234" s="39" t="s">
        <v>29</v>
      </c>
      <c r="H234" s="16" t="s">
        <v>75</v>
      </c>
      <c r="I234" s="25">
        <f>(C252/C237)^0.5</f>
        <v>2.0418792406343069</v>
      </c>
      <c r="J234" s="18" t="s">
        <v>4</v>
      </c>
    </row>
    <row r="235" spans="1:21" x14ac:dyDescent="0.3">
      <c r="B235" s="16" t="s">
        <v>32</v>
      </c>
      <c r="C235" s="4" t="str">
        <f ca="1">[1]!xlv(C237)</f>
        <v>t × b + tw × d</v>
      </c>
    </row>
    <row r="236" spans="1:21" x14ac:dyDescent="0.3">
      <c r="B236" s="16" t="s">
        <v>32</v>
      </c>
      <c r="C236" s="4" t="str">
        <f>[1]!xln(C237)</f>
        <v>0.25 × 10 + 0.25 × 10</v>
      </c>
      <c r="D236" s="11"/>
    </row>
    <row r="237" spans="1:21" x14ac:dyDescent="0.3">
      <c r="B237" s="16" t="s">
        <v>32</v>
      </c>
      <c r="C237" s="43">
        <f>C229*C227+C230*C228</f>
        <v>5</v>
      </c>
      <c r="D237" s="18" t="s">
        <v>68</v>
      </c>
    </row>
    <row r="239" spans="1:21" x14ac:dyDescent="0.3">
      <c r="B239" s="39" t="s">
        <v>120</v>
      </c>
      <c r="U239" s="50"/>
    </row>
    <row r="240" spans="1:21" x14ac:dyDescent="0.3">
      <c r="B240" s="40" t="s">
        <v>25</v>
      </c>
      <c r="C240" s="25">
        <f>C227/2</f>
        <v>5</v>
      </c>
      <c r="D240" s="4" t="s">
        <v>4</v>
      </c>
    </row>
    <row r="241" spans="1:9" x14ac:dyDescent="0.3">
      <c r="B241" s="40" t="s">
        <v>27</v>
      </c>
      <c r="C241" s="4" t="str">
        <f ca="1">[1]!xlv(C243)</f>
        <v>(b × t² + tw × d × (2 × t + d)) / (2 × (t × b + tw × d))</v>
      </c>
    </row>
    <row r="242" spans="1:9" x14ac:dyDescent="0.3">
      <c r="B242" s="40" t="s">
        <v>27</v>
      </c>
      <c r="C242" s="4" t="str">
        <f>[1]!xln(C243)</f>
        <v>(10 × 0.25² + 0.25 × 10 × (2 × 0.25 + 10)) / (2 × (0.25 × 10 + 0.25 × 10))</v>
      </c>
    </row>
    <row r="243" spans="1:9" x14ac:dyDescent="0.3">
      <c r="B243" s="40" t="s">
        <v>27</v>
      </c>
      <c r="C243" s="25">
        <f>(C227*C229^2+C230*C228*(2*C229+C228))/(2*(C229*C227+C230*C228))</f>
        <v>2.6875</v>
      </c>
      <c r="D243" s="4" t="s">
        <v>4</v>
      </c>
    </row>
    <row r="245" spans="1:9" x14ac:dyDescent="0.3">
      <c r="B245" s="39" t="s">
        <v>30</v>
      </c>
    </row>
    <row r="246" spans="1:9" x14ac:dyDescent="0.3">
      <c r="B246" s="16" t="s">
        <v>72</v>
      </c>
      <c r="C246" s="4" t="str">
        <f ca="1">[1]!xlv(C248)</f>
        <v>b / 3 × (d + t)³ - d³ / 3 × (b - tw) - A × (d + t - ẏ)²</v>
      </c>
    </row>
    <row r="247" spans="1:9" x14ac:dyDescent="0.3">
      <c r="B247" s="16" t="s">
        <v>72</v>
      </c>
      <c r="C247" s="4" t="str">
        <f>[1]!xln(C248)</f>
        <v>10 / 3 × (10 + 0.25)³ - 10³ / 3 × (10 - 0.25) - 5 × (10 + 0.25 - 2.69)²</v>
      </c>
    </row>
    <row r="248" spans="1:9" x14ac:dyDescent="0.3">
      <c r="B248" s="16" t="s">
        <v>72</v>
      </c>
      <c r="C248" s="17">
        <f>C227/3*(C228+C229)^3-C228^3/3*(C227-C230)-C237*(C228+C229-C243)^2</f>
        <v>53.67838541666697</v>
      </c>
      <c r="D248" s="18" t="s">
        <v>69</v>
      </c>
    </row>
    <row r="250" spans="1:9" x14ac:dyDescent="0.3">
      <c r="B250" s="40" t="s">
        <v>73</v>
      </c>
      <c r="C250" s="4" t="str">
        <f ca="1">[1]!xlv(C252)</f>
        <v>t × b³ / 12 + d × tw³ / 12</v>
      </c>
      <c r="G250" s="16" t="s">
        <v>87</v>
      </c>
      <c r="H250" s="4" t="str">
        <f ca="1">[1]!xlv(H252)</f>
        <v>Iᵧ + Iₓ</v>
      </c>
    </row>
    <row r="251" spans="1:9" x14ac:dyDescent="0.3">
      <c r="B251" s="40" t="s">
        <v>73</v>
      </c>
      <c r="C251" s="4" t="str">
        <f>[1]!xln(C252)</f>
        <v>0.25 × 10³ / 12 + 10 × 0.25³ / 12</v>
      </c>
      <c r="G251" s="16" t="s">
        <v>87</v>
      </c>
      <c r="H251" s="4" t="str">
        <f>[1]!xln(H252)</f>
        <v>20.8 + 53.7</v>
      </c>
    </row>
    <row r="252" spans="1:9" x14ac:dyDescent="0.3">
      <c r="B252" s="40" t="s">
        <v>73</v>
      </c>
      <c r="C252" s="46">
        <f>C229*C227^3/12+C228*C230^3/12</f>
        <v>20.846354166666664</v>
      </c>
      <c r="D252" s="18" t="s">
        <v>69</v>
      </c>
      <c r="G252" s="16" t="s">
        <v>87</v>
      </c>
      <c r="H252" s="17">
        <f>C252+C248</f>
        <v>74.524739583333627</v>
      </c>
      <c r="I252" s="18" t="s">
        <v>69</v>
      </c>
    </row>
    <row r="254" spans="1:9" x14ac:dyDescent="0.3">
      <c r="B254" s="39" t="s">
        <v>116</v>
      </c>
    </row>
    <row r="255" spans="1:9" x14ac:dyDescent="0.3">
      <c r="B255" s="4" t="s">
        <v>133</v>
      </c>
    </row>
    <row r="256" spans="1:9" x14ac:dyDescent="0.3">
      <c r="A256" s="11"/>
      <c r="B256" s="16" t="s">
        <v>117</v>
      </c>
      <c r="C256" s="4" t="str">
        <f ca="1">[1]!xlv(C258)</f>
        <v>d² × tw / 4 - b² × t² / (4 × tw) + b × t × (d + t) / 4</v>
      </c>
    </row>
    <row r="257" spans="1:30" x14ac:dyDescent="0.3">
      <c r="A257" s="11"/>
      <c r="B257" s="16" t="s">
        <v>117</v>
      </c>
      <c r="C257" s="4" t="str">
        <f>[1]!xln(C258)</f>
        <v>10² × 0.25 / 4 - 10² × 0.25² / (4 × 0.25) + 10 × 0.25 × (10 + 0.25) / 4</v>
      </c>
    </row>
    <row r="258" spans="1:30" x14ac:dyDescent="0.3">
      <c r="B258" s="16" t="s">
        <v>117</v>
      </c>
      <c r="C258" s="99">
        <f>C228^2*C230/4-C227^2*C229^2/(4*C230)+C227*C229*(C228+C229)/4</f>
        <v>6.40625</v>
      </c>
      <c r="D258" s="99" t="s">
        <v>44</v>
      </c>
      <c r="E258" s="99"/>
      <c r="F258" s="99"/>
      <c r="G258" s="99"/>
      <c r="H258" s="99"/>
      <c r="I258" s="99"/>
    </row>
    <row r="259" spans="1:30" x14ac:dyDescent="0.3">
      <c r="B259" s="4" t="s">
        <v>134</v>
      </c>
      <c r="C259" s="99"/>
      <c r="D259" s="99"/>
      <c r="E259" s="99"/>
      <c r="F259" s="99"/>
      <c r="G259" s="99"/>
      <c r="H259" s="99"/>
      <c r="I259" s="99"/>
    </row>
    <row r="260" spans="1:30" x14ac:dyDescent="0.3">
      <c r="B260" s="16" t="s">
        <v>117</v>
      </c>
      <c r="C260" s="99" t="str">
        <f ca="1">[1]!xlv(C262)</f>
        <v>t² × b / 4 + tw × d × (t + d - tw × d / (2 × b)) / 2</v>
      </c>
      <c r="D260" s="99"/>
      <c r="E260" s="99"/>
      <c r="F260" s="99"/>
      <c r="G260" s="99"/>
      <c r="H260" s="99"/>
      <c r="I260" s="99"/>
    </row>
    <row r="261" spans="1:30" x14ac:dyDescent="0.3">
      <c r="B261" s="16" t="s">
        <v>117</v>
      </c>
      <c r="C261" s="99" t="str">
        <f>[1]!xln(C262)</f>
        <v>0.25² × 10 / 4 + 0.25 × 10 × (0.25 + 10 - 0.25 × 10 / (2 × 10)) / 2</v>
      </c>
      <c r="D261" s="99"/>
      <c r="E261" s="99"/>
      <c r="F261" s="99"/>
      <c r="G261" s="99"/>
      <c r="H261" s="99"/>
      <c r="I261" s="99"/>
    </row>
    <row r="262" spans="1:30" x14ac:dyDescent="0.3">
      <c r="B262" s="16" t="s">
        <v>117</v>
      </c>
      <c r="C262" s="99">
        <f>C229^2*C227/4+C230*C228*(C229+C228-C230*C228/(2*C227))/2</f>
        <v>12.8125</v>
      </c>
      <c r="D262" s="99" t="s">
        <v>44</v>
      </c>
      <c r="E262" s="99"/>
      <c r="F262" s="99"/>
      <c r="G262" s="99"/>
      <c r="H262" s="99"/>
      <c r="I262" s="99"/>
    </row>
    <row r="263" spans="1:30" x14ac:dyDescent="0.3">
      <c r="H263" s="40" t="s">
        <v>118</v>
      </c>
      <c r="I263" s="4" t="str">
        <f ca="1">[1]!xlv(I265)</f>
        <v>(b² × t + tw² × d) / 4</v>
      </c>
    </row>
    <row r="264" spans="1:30" x14ac:dyDescent="0.3">
      <c r="B264" s="16" t="s">
        <v>117</v>
      </c>
      <c r="C264" s="99">
        <f>IF(C230*C228&gt;C229*C227,C258,C262)</f>
        <v>12.8125</v>
      </c>
      <c r="D264" s="99"/>
      <c r="E264" s="99"/>
      <c r="F264" s="99"/>
      <c r="G264" s="99"/>
      <c r="H264" s="40" t="s">
        <v>118</v>
      </c>
      <c r="I264" s="4" t="str">
        <f>[1]!xln(I265)</f>
        <v>(10² × 0.25 + 0.25² × 10) / 4</v>
      </c>
    </row>
    <row r="265" spans="1:30" x14ac:dyDescent="0.3">
      <c r="C265" s="99"/>
      <c r="D265" s="99"/>
      <c r="E265" s="99"/>
      <c r="F265" s="99"/>
      <c r="G265" s="99"/>
      <c r="H265" s="53" t="s">
        <v>118</v>
      </c>
      <c r="I265" s="25">
        <f>(C227^2*C229+C230^2*C228)/4</f>
        <v>6.40625</v>
      </c>
      <c r="J265" s="4" t="s">
        <v>44</v>
      </c>
    </row>
    <row r="266" spans="1:30" x14ac:dyDescent="0.3">
      <c r="B266" s="16" t="s">
        <v>129</v>
      </c>
      <c r="C266" s="99" t="str">
        <f ca="1">[1]!xlv(C268)</f>
        <v>Zₓ × d / (2 × Iₓ)</v>
      </c>
      <c r="D266" s="99"/>
      <c r="E266" s="99"/>
      <c r="F266" s="99"/>
      <c r="G266" s="99"/>
      <c r="H266" s="101" t="s">
        <v>132</v>
      </c>
      <c r="I266" s="99" t="str">
        <f ca="1">[1]!xlv(I268)</f>
        <v>Zᵧ × b / (2 × Iᵧ)</v>
      </c>
      <c r="J266" s="46"/>
    </row>
    <row r="267" spans="1:30" x14ac:dyDescent="0.3">
      <c r="B267" s="16" t="s">
        <v>129</v>
      </c>
      <c r="C267" s="99" t="str">
        <f>[1]!xln(C268)</f>
        <v>12.8 × 10 / (2 × 53.7)</v>
      </c>
      <c r="D267" s="99"/>
      <c r="E267" s="99"/>
      <c r="F267" s="99"/>
      <c r="G267" s="99"/>
      <c r="H267" s="101" t="s">
        <v>132</v>
      </c>
      <c r="I267" s="99" t="str">
        <f>[1]!xln(I268)</f>
        <v>6.41 × 10 / (2 × 20.8)</v>
      </c>
      <c r="J267" s="46"/>
    </row>
    <row r="268" spans="1:30" x14ac:dyDescent="0.3">
      <c r="B268" s="16" t="s">
        <v>129</v>
      </c>
      <c r="C268" s="99">
        <f>C264*C228/(2*C248)</f>
        <v>1.1934505761067247</v>
      </c>
      <c r="D268" s="99"/>
      <c r="E268" s="99"/>
      <c r="F268" s="99"/>
      <c r="G268" s="99"/>
      <c r="H268" s="101" t="s">
        <v>132</v>
      </c>
      <c r="I268" s="99">
        <f>I265*C227/(2*C252)</f>
        <v>1.5365396627108059</v>
      </c>
      <c r="J268" s="46"/>
    </row>
    <row r="269" spans="1:30" x14ac:dyDescent="0.3">
      <c r="A269" s="12"/>
      <c r="B269" s="3"/>
      <c r="C269" s="86"/>
      <c r="D269" s="12"/>
      <c r="E269" s="12"/>
      <c r="F269" s="12"/>
      <c r="G269" s="86"/>
      <c r="H269" s="12"/>
      <c r="I269" s="12"/>
      <c r="J269" s="12"/>
      <c r="K269" s="12"/>
    </row>
    <row r="270" spans="1:30" x14ac:dyDescent="0.3">
      <c r="A270" s="12"/>
      <c r="B270" s="87"/>
      <c r="C270" s="86"/>
      <c r="D270" s="88"/>
      <c r="E270" s="88"/>
      <c r="F270" s="89" t="s">
        <v>161</v>
      </c>
      <c r="G270" s="86"/>
      <c r="H270" s="88"/>
      <c r="I270" s="88"/>
      <c r="J270" s="88"/>
      <c r="K270" s="12"/>
    </row>
    <row r="271" spans="1:30" x14ac:dyDescent="0.3">
      <c r="A271" s="12"/>
      <c r="B271" s="88"/>
      <c r="C271" s="88"/>
      <c r="D271" s="88"/>
      <c r="E271" s="88"/>
      <c r="F271" s="104" t="s">
        <v>162</v>
      </c>
      <c r="G271" s="88"/>
      <c r="H271" s="88"/>
      <c r="I271" s="88"/>
      <c r="J271" s="88"/>
      <c r="K271" s="12"/>
    </row>
    <row r="272" spans="1:30" x14ac:dyDescent="0.3">
      <c r="A272" s="67"/>
      <c r="B272" s="58"/>
      <c r="C272" s="58"/>
      <c r="D272" s="58"/>
      <c r="E272" s="60" t="s">
        <v>5</v>
      </c>
      <c r="F272" s="61" t="str">
        <f>$C$1</f>
        <v>R. Abbott</v>
      </c>
      <c r="G272" s="58"/>
      <c r="H272" s="68"/>
      <c r="I272" s="60" t="s">
        <v>10</v>
      </c>
      <c r="J272" s="69" t="str">
        <f>$G$2</f>
        <v>AA-SM-001-000</v>
      </c>
      <c r="K272" s="70"/>
      <c r="L272" s="71"/>
      <c r="M272" s="62"/>
      <c r="N272" s="62"/>
      <c r="O272" s="62"/>
      <c r="P272" s="5"/>
      <c r="AD272" s="8"/>
    </row>
    <row r="273" spans="1:185" s="10" customFormat="1" x14ac:dyDescent="0.3">
      <c r="A273" s="58"/>
      <c r="B273" s="58"/>
      <c r="C273" s="58"/>
      <c r="D273" s="58"/>
      <c r="E273" s="60" t="s">
        <v>6</v>
      </c>
      <c r="F273" s="68" t="str">
        <f>$C$2</f>
        <v xml:space="preserve"> </v>
      </c>
      <c r="G273" s="58"/>
      <c r="H273" s="68"/>
      <c r="I273" s="60" t="s">
        <v>11</v>
      </c>
      <c r="J273" s="70" t="str">
        <f>$G$3</f>
        <v>A</v>
      </c>
      <c r="K273" s="70"/>
      <c r="L273" s="71"/>
      <c r="M273" s="62">
        <v>1</v>
      </c>
      <c r="N273" s="62"/>
      <c r="O273" s="62"/>
      <c r="P273" s="5"/>
      <c r="Q273" s="9"/>
      <c r="R273" s="7"/>
      <c r="S273" s="7"/>
      <c r="T273" s="2"/>
      <c r="U273" s="2"/>
      <c r="V273" s="2"/>
      <c r="W273" s="2"/>
      <c r="X273" s="2"/>
      <c r="Y273" s="2"/>
      <c r="Z273" s="2"/>
      <c r="AA273" s="2"/>
      <c r="AB273" s="2"/>
      <c r="AC273" s="2"/>
      <c r="AD273" s="2"/>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row>
    <row r="274" spans="1:185" x14ac:dyDescent="0.3">
      <c r="A274" s="58"/>
      <c r="B274" s="58"/>
      <c r="C274" s="58"/>
      <c r="D274" s="58"/>
      <c r="E274" s="60" t="s">
        <v>1</v>
      </c>
      <c r="F274" s="68" t="str">
        <f>$C$3</f>
        <v>20/10/2013</v>
      </c>
      <c r="G274" s="58"/>
      <c r="H274" s="68"/>
      <c r="I274" s="60" t="s">
        <v>12</v>
      </c>
      <c r="J274" s="61" t="str">
        <f>L274&amp;" of "&amp;$G$1</f>
        <v>6 of 20</v>
      </c>
      <c r="K274" s="68"/>
      <c r="L274" s="71">
        <f>SUM($M$1:M273)</f>
        <v>6</v>
      </c>
      <c r="M274" s="62"/>
      <c r="N274" s="62"/>
      <c r="O274" s="62"/>
      <c r="P274" s="5"/>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row>
    <row r="275" spans="1:185" x14ac:dyDescent="0.3">
      <c r="A275" s="58"/>
      <c r="B275" s="58"/>
      <c r="C275" s="58"/>
      <c r="D275" s="58"/>
      <c r="E275" s="60" t="s">
        <v>106</v>
      </c>
      <c r="F275" s="68" t="str">
        <f>$C$5</f>
        <v>STANDARD SPREADSHEET METHOD</v>
      </c>
      <c r="G275" s="58"/>
      <c r="H275" s="58"/>
      <c r="I275" s="72"/>
      <c r="J275" s="61"/>
      <c r="K275" s="58"/>
      <c r="L275" s="58"/>
      <c r="M275" s="62"/>
      <c r="N275" s="62"/>
      <c r="O275" s="62"/>
      <c r="P275" s="5"/>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row>
    <row r="276" spans="1:185" ht="15.6" x14ac:dyDescent="0.3">
      <c r="A276" s="12"/>
      <c r="B276" s="74" t="str">
        <f>$G$4</f>
        <v>SECTION PROPERTIES</v>
      </c>
      <c r="C276" s="12"/>
      <c r="D276" s="12"/>
      <c r="E276" s="12"/>
      <c r="F276" s="12"/>
      <c r="G276" s="12"/>
      <c r="H276" s="12"/>
      <c r="I276" s="12"/>
      <c r="J276" s="12"/>
      <c r="K276" s="1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row>
    <row r="277" spans="1:185" x14ac:dyDescent="0.3">
      <c r="A277" s="54"/>
      <c r="B277" s="85"/>
      <c r="C277" s="54"/>
      <c r="D277" s="54"/>
      <c r="E277" s="54"/>
    </row>
    <row r="278" spans="1:185" x14ac:dyDescent="0.3">
      <c r="A278" s="11"/>
      <c r="B278" s="19" t="s">
        <v>135</v>
      </c>
      <c r="C278" s="11"/>
      <c r="D278" s="15"/>
      <c r="E278" s="11"/>
      <c r="F278" s="11"/>
      <c r="G278" s="11"/>
      <c r="H278" s="11"/>
      <c r="I278" s="11"/>
      <c r="J278" s="11"/>
      <c r="K278" s="11"/>
    </row>
    <row r="280" spans="1:185" x14ac:dyDescent="0.3">
      <c r="A280" s="38"/>
      <c r="B280" s="16" t="s">
        <v>51</v>
      </c>
      <c r="C280" s="20">
        <v>10</v>
      </c>
      <c r="D280" s="18" t="s">
        <v>4</v>
      </c>
      <c r="H280" s="42" t="s">
        <v>50</v>
      </c>
      <c r="U280" s="2" t="s">
        <v>125</v>
      </c>
    </row>
    <row r="281" spans="1:185" x14ac:dyDescent="0.3">
      <c r="A281" s="18"/>
      <c r="B281" s="40" t="s">
        <v>122</v>
      </c>
      <c r="C281" s="41">
        <v>10</v>
      </c>
      <c r="D281" s="4" t="s">
        <v>4</v>
      </c>
      <c r="E281" s="18"/>
      <c r="F281" s="18"/>
      <c r="G281" s="18"/>
      <c r="H281" s="16" t="s">
        <v>74</v>
      </c>
      <c r="I281" s="4" t="str">
        <f ca="1">[1]!xlv(I283)</f>
        <v>(Iₓ / A)⁰·⁵</v>
      </c>
    </row>
    <row r="282" spans="1:185" x14ac:dyDescent="0.3">
      <c r="A282" s="18"/>
      <c r="B282" s="40" t="s">
        <v>83</v>
      </c>
      <c r="C282" s="100">
        <v>0.25</v>
      </c>
      <c r="D282" s="4" t="s">
        <v>4</v>
      </c>
      <c r="H282" s="16" t="s">
        <v>74</v>
      </c>
      <c r="I282" s="4" t="str">
        <f>[1]!xln(I283)</f>
        <v>(85.5 / 7.5)⁰·⁵</v>
      </c>
      <c r="U282" s="50"/>
    </row>
    <row r="283" spans="1:185" x14ac:dyDescent="0.3">
      <c r="A283" s="18"/>
      <c r="B283" s="40" t="s">
        <v>131</v>
      </c>
      <c r="C283" s="100">
        <v>0.25</v>
      </c>
      <c r="D283" s="4" t="s">
        <v>4</v>
      </c>
      <c r="H283" s="16" t="s">
        <v>74</v>
      </c>
      <c r="I283" s="43">
        <f>(C301/C290)^0.5</f>
        <v>3.3755143640965697</v>
      </c>
      <c r="J283" s="18" t="s">
        <v>4</v>
      </c>
    </row>
    <row r="284" spans="1:185" x14ac:dyDescent="0.3">
      <c r="A284" s="18"/>
      <c r="B284" s="40"/>
      <c r="C284" s="41"/>
    </row>
    <row r="285" spans="1:185" x14ac:dyDescent="0.3">
      <c r="A285" s="18"/>
      <c r="B285" s="18"/>
      <c r="H285" s="16" t="s">
        <v>75</v>
      </c>
      <c r="I285" s="4" t="str">
        <f ca="1">[1]!xlv(I287)</f>
        <v>(Iᵧ / A)⁰·⁵</v>
      </c>
      <c r="U285" s="50"/>
    </row>
    <row r="286" spans="1:185" x14ac:dyDescent="0.3">
      <c r="A286" s="18"/>
      <c r="H286" s="16" t="s">
        <v>75</v>
      </c>
      <c r="I286" s="4" t="str">
        <f>[1]!xln(I287)</f>
        <v>(140 / 7.5)⁰·⁵</v>
      </c>
    </row>
    <row r="287" spans="1:185" x14ac:dyDescent="0.3">
      <c r="A287" s="11"/>
      <c r="B287" s="39" t="s">
        <v>29</v>
      </c>
      <c r="H287" s="16" t="s">
        <v>75</v>
      </c>
      <c r="I287" s="25">
        <f>(C305/C290)^0.5</f>
        <v>4.3156691254080171</v>
      </c>
      <c r="J287" s="18" t="s">
        <v>4</v>
      </c>
    </row>
    <row r="288" spans="1:185" x14ac:dyDescent="0.3">
      <c r="B288" s="16" t="s">
        <v>32</v>
      </c>
      <c r="C288" s="4" t="str">
        <f ca="1">[1]!xlv(C290)</f>
        <v>t × b + 2 × tw × d</v>
      </c>
    </row>
    <row r="289" spans="2:21" x14ac:dyDescent="0.3">
      <c r="B289" s="16" t="s">
        <v>32</v>
      </c>
      <c r="C289" s="4" t="str">
        <f>[1]!xln(C290)</f>
        <v>0.25 × 10 + 2 × 0.25 × 10</v>
      </c>
      <c r="D289" s="11"/>
    </row>
    <row r="290" spans="2:21" x14ac:dyDescent="0.3">
      <c r="B290" s="16" t="s">
        <v>32</v>
      </c>
      <c r="C290" s="17">
        <f>C282*C280+2*C283*C281</f>
        <v>7.5</v>
      </c>
      <c r="D290" s="18" t="s">
        <v>68</v>
      </c>
    </row>
    <row r="292" spans="2:21" x14ac:dyDescent="0.3">
      <c r="B292" s="39" t="s">
        <v>120</v>
      </c>
      <c r="U292" s="50"/>
    </row>
    <row r="293" spans="2:21" x14ac:dyDescent="0.3">
      <c r="B293" s="40" t="s">
        <v>25</v>
      </c>
      <c r="C293" s="25">
        <f>C280/2</f>
        <v>5</v>
      </c>
      <c r="D293" s="4" t="s">
        <v>4</v>
      </c>
    </row>
    <row r="294" spans="2:21" x14ac:dyDescent="0.3">
      <c r="B294" s="40" t="s">
        <v>27</v>
      </c>
      <c r="C294" s="4" t="str">
        <f ca="1">[1]!xlv(C296)</f>
        <v>(b × t² + 2 × tw × d × (2 × t + d)) / (2 × (t × b + 2 × tw × d))</v>
      </c>
    </row>
    <row r="295" spans="2:21" x14ac:dyDescent="0.3">
      <c r="B295" s="40" t="s">
        <v>27</v>
      </c>
      <c r="C295" s="4" t="str">
        <f>[1]!xln(C296)</f>
        <v>(10 × 0.25² + 2 × 0.25 × 10 × (2 × 0.25 + 10)) / (2 × (0.25 × 10 + 2 × 0.25 × 10))</v>
      </c>
    </row>
    <row r="296" spans="2:21" x14ac:dyDescent="0.3">
      <c r="B296" s="40" t="s">
        <v>27</v>
      </c>
      <c r="C296" s="25">
        <f>(C280*C282^2+2*C283*C281*(2*C282+C281))/(2*(C282*C280+2*C283*C281))</f>
        <v>3.5416666666666665</v>
      </c>
      <c r="D296" s="4" t="s">
        <v>4</v>
      </c>
    </row>
    <row r="298" spans="2:21" x14ac:dyDescent="0.3">
      <c r="B298" s="39" t="s">
        <v>30</v>
      </c>
    </row>
    <row r="299" spans="2:21" x14ac:dyDescent="0.3">
      <c r="B299" s="16" t="s">
        <v>72</v>
      </c>
      <c r="C299" s="4" t="str">
        <f ca="1">[1]!xlv(C301)</f>
        <v>b / 3 × (d + t)³ - d³ / 3 × (b - 2 × tw) - A × (d + t - ẏ)²</v>
      </c>
    </row>
    <row r="300" spans="2:21" x14ac:dyDescent="0.3">
      <c r="B300" s="16" t="s">
        <v>72</v>
      </c>
      <c r="C300" s="4" t="str">
        <f>[1]!xln(C301)</f>
        <v>10 / 3 × (10 + 0.25)³ - 10³ / 3 × (10 - 2 × 0.25) - 7.5 × (10 + 0.25 - 3.54)²</v>
      </c>
    </row>
    <row r="301" spans="2:21" x14ac:dyDescent="0.3">
      <c r="B301" s="16" t="s">
        <v>72</v>
      </c>
      <c r="C301" s="17">
        <f>C280/3*(C281+C282)^3-C281^3/3*(C280-2*C283)-C290*(C281+C282-C296)^2</f>
        <v>85.455729166667027</v>
      </c>
      <c r="D301" s="18" t="s">
        <v>69</v>
      </c>
    </row>
    <row r="303" spans="2:21" x14ac:dyDescent="0.3">
      <c r="B303" s="40" t="s">
        <v>73</v>
      </c>
      <c r="C303" s="4" t="str">
        <f ca="1">[1]!xlv(C305)</f>
        <v>(d + t) × b³ / 12 - d × (b - 2 × tw)³ / 12</v>
      </c>
      <c r="G303" s="16" t="s">
        <v>87</v>
      </c>
      <c r="H303" s="4" t="str">
        <f ca="1">[1]!xlv(H305)</f>
        <v>Iᵧ + Iₓ</v>
      </c>
    </row>
    <row r="304" spans="2:21" x14ac:dyDescent="0.3">
      <c r="B304" s="40" t="s">
        <v>73</v>
      </c>
      <c r="C304" s="4" t="str">
        <f>[1]!xln(C305)</f>
        <v>(10 + 0.25) × 10³ / 12 - 10 × (10 - 2 × 0.25)³ / 12</v>
      </c>
      <c r="G304" s="16" t="s">
        <v>87</v>
      </c>
      <c r="H304" s="4" t="str">
        <f>[1]!xln(H305)</f>
        <v>140 + 85.5</v>
      </c>
    </row>
    <row r="305" spans="1:9" x14ac:dyDescent="0.3">
      <c r="B305" s="40" t="s">
        <v>73</v>
      </c>
      <c r="C305" s="46">
        <f>(C281+C282)*C280^3/12-C281*(C280-2*C283)^3/12</f>
        <v>139.6875</v>
      </c>
      <c r="D305" s="18" t="s">
        <v>69</v>
      </c>
      <c r="G305" s="16" t="s">
        <v>87</v>
      </c>
      <c r="H305" s="17">
        <f>C305+C301</f>
        <v>225.14322916666703</v>
      </c>
      <c r="I305" s="18" t="s">
        <v>69</v>
      </c>
    </row>
    <row r="307" spans="1:9" x14ac:dyDescent="0.3">
      <c r="B307" s="39" t="s">
        <v>116</v>
      </c>
    </row>
    <row r="308" spans="1:9" x14ac:dyDescent="0.3">
      <c r="B308" s="4" t="s">
        <v>136</v>
      </c>
    </row>
    <row r="309" spans="1:9" x14ac:dyDescent="0.3">
      <c r="A309" s="11"/>
      <c r="B309" s="16" t="s">
        <v>117</v>
      </c>
      <c r="C309" s="4" t="str">
        <f ca="1">[1]!xlv(C311)</f>
        <v>d² × tw / 2 - b² × t² / (8 × tw) + b × t × (d + t) / 4</v>
      </c>
    </row>
    <row r="310" spans="1:9" x14ac:dyDescent="0.3">
      <c r="A310" s="11"/>
      <c r="B310" s="16" t="s">
        <v>117</v>
      </c>
      <c r="C310" s="4" t="str">
        <f>[1]!xln(C311)</f>
        <v>10² × 0.25 / 2 - 10² × 0.25² / (8 × 0.25) + 10 × 0.25 × (10 + 0.25) / 4</v>
      </c>
    </row>
    <row r="311" spans="1:9" x14ac:dyDescent="0.3">
      <c r="B311" s="16" t="s">
        <v>117</v>
      </c>
      <c r="C311" s="99">
        <f>C281^2*C283/2-C280^2*C282^2/(8*C283)+C280*C282*(C281+C282)/4</f>
        <v>15.78125</v>
      </c>
      <c r="D311" s="99" t="s">
        <v>44</v>
      </c>
      <c r="E311" s="99"/>
      <c r="F311" s="99"/>
      <c r="G311" s="99"/>
      <c r="H311" s="99"/>
      <c r="I311" s="99"/>
    </row>
    <row r="312" spans="1:9" x14ac:dyDescent="0.3">
      <c r="B312" s="4" t="s">
        <v>137</v>
      </c>
      <c r="C312" s="99"/>
      <c r="D312" s="99"/>
      <c r="E312" s="99"/>
      <c r="F312" s="99"/>
      <c r="G312" s="99"/>
      <c r="H312" s="99"/>
      <c r="I312" s="99"/>
    </row>
    <row r="313" spans="1:9" x14ac:dyDescent="0.3">
      <c r="B313" s="16" t="s">
        <v>117</v>
      </c>
      <c r="C313" s="99" t="str">
        <f ca="1">[1]!xlv(C315)</f>
        <v>t² × b / 4 + tw × d × (t + d - tw × d / b)</v>
      </c>
      <c r="D313" s="99"/>
      <c r="E313" s="99"/>
      <c r="F313" s="99"/>
      <c r="G313" s="99"/>
      <c r="H313" s="99"/>
      <c r="I313" s="99"/>
    </row>
    <row r="314" spans="1:9" x14ac:dyDescent="0.3">
      <c r="B314" s="16" t="s">
        <v>117</v>
      </c>
      <c r="C314" s="99" t="str">
        <f>[1]!xln(C315)</f>
        <v>0.25² × 10 / 4 + 0.25 × 10 × (0.25 + 10 - 0.25 × 10 / 10)</v>
      </c>
      <c r="D314" s="99"/>
      <c r="E314" s="99"/>
      <c r="F314" s="99"/>
      <c r="G314" s="99"/>
      <c r="H314" s="99"/>
      <c r="I314" s="99"/>
    </row>
    <row r="315" spans="1:9" x14ac:dyDescent="0.3">
      <c r="B315" s="16" t="s">
        <v>117</v>
      </c>
      <c r="C315" s="99">
        <f>C282^2*C280/4+C283*C281*(C282+C281-C283*C281/C280)</f>
        <v>25.15625</v>
      </c>
      <c r="D315" s="99" t="s">
        <v>44</v>
      </c>
      <c r="E315" s="99"/>
      <c r="F315" s="99"/>
      <c r="G315" s="99"/>
      <c r="H315" s="99"/>
      <c r="I315" s="99"/>
    </row>
    <row r="316" spans="1:9" x14ac:dyDescent="0.3">
      <c r="G316" s="40" t="s">
        <v>118</v>
      </c>
      <c r="H316" s="4" t="str">
        <f ca="1">[1]!xlv(H318)</f>
        <v>b² × t / 4 + tw × d × (b - tw)</v>
      </c>
    </row>
    <row r="317" spans="1:9" x14ac:dyDescent="0.3">
      <c r="B317" s="16" t="s">
        <v>117</v>
      </c>
      <c r="C317" s="99">
        <f>IF(2*C283*C281&gt;C282*C280,C311,C315)</f>
        <v>15.78125</v>
      </c>
      <c r="D317" s="99"/>
      <c r="E317" s="99"/>
      <c r="F317" s="99"/>
      <c r="G317" s="40" t="s">
        <v>118</v>
      </c>
      <c r="H317" s="4" t="str">
        <f>[1]!xln(H318)</f>
        <v>10² × 0.25 / 4 + 0.25 × 10 × (10 - 0.25)</v>
      </c>
    </row>
    <row r="318" spans="1:9" x14ac:dyDescent="0.3">
      <c r="C318" s="99"/>
      <c r="D318" s="99"/>
      <c r="E318" s="99"/>
      <c r="F318" s="99"/>
      <c r="G318" s="53" t="s">
        <v>118</v>
      </c>
      <c r="H318" s="25">
        <f>C280^2*C282/4+C283*C281*(C280-C283)</f>
        <v>30.625</v>
      </c>
      <c r="I318" s="4" t="s">
        <v>44</v>
      </c>
    </row>
    <row r="319" spans="1:9" x14ac:dyDescent="0.3">
      <c r="B319" s="16" t="s">
        <v>129</v>
      </c>
      <c r="C319" s="99" t="str">
        <f ca="1">[1]!xlv(C321)</f>
        <v>Zₓ × (d + t - ẏ) / Iₓ</v>
      </c>
      <c r="D319" s="99"/>
      <c r="E319" s="99"/>
      <c r="F319" s="99"/>
      <c r="G319" s="101" t="s">
        <v>132</v>
      </c>
      <c r="H319" s="99" t="str">
        <f ca="1">[1]!xlv(H321)</f>
        <v>Zᵧ × b / (2 × Iᵧ)</v>
      </c>
      <c r="I319" s="46"/>
    </row>
    <row r="320" spans="1:9" x14ac:dyDescent="0.3">
      <c r="B320" s="16" t="s">
        <v>129</v>
      </c>
      <c r="C320" s="99" t="str">
        <f>[1]!xln(C321)</f>
        <v>15.8 × (10 + 0.25 - 3.54) / 85.5</v>
      </c>
      <c r="D320" s="99"/>
      <c r="E320" s="99"/>
      <c r="F320" s="99"/>
      <c r="G320" s="101" t="s">
        <v>132</v>
      </c>
      <c r="H320" s="99" t="str">
        <f>[1]!xln(H321)</f>
        <v>30.6 × 10 / (2 × 140)</v>
      </c>
      <c r="I320" s="46"/>
    </row>
    <row r="321" spans="1:185" x14ac:dyDescent="0.3">
      <c r="B321" s="16" t="s">
        <v>129</v>
      </c>
      <c r="C321" s="99">
        <f>C317*(C281+C282-C296)/C301</f>
        <v>1.2388389456041393</v>
      </c>
      <c r="D321" s="99"/>
      <c r="E321" s="99"/>
      <c r="F321" s="99"/>
      <c r="G321" s="101" t="s">
        <v>132</v>
      </c>
      <c r="H321" s="99">
        <f>H318*C280/(2*C305)</f>
        <v>1.0961968680089484</v>
      </c>
      <c r="I321" s="46"/>
    </row>
    <row r="322" spans="1:185" x14ac:dyDescent="0.3">
      <c r="A322" s="12"/>
      <c r="B322" s="3"/>
      <c r="C322" s="86"/>
      <c r="D322" s="12"/>
      <c r="E322" s="12"/>
      <c r="F322" s="12"/>
      <c r="G322" s="86"/>
      <c r="H322" s="12"/>
      <c r="I322" s="12"/>
      <c r="J322" s="12"/>
      <c r="K322" s="12"/>
    </row>
    <row r="323" spans="1:185" x14ac:dyDescent="0.3">
      <c r="A323" s="12"/>
      <c r="B323" s="87"/>
      <c r="C323" s="86"/>
      <c r="D323" s="88"/>
      <c r="E323" s="88"/>
      <c r="F323" s="89" t="s">
        <v>161</v>
      </c>
      <c r="G323" s="86"/>
      <c r="H323" s="88"/>
      <c r="I323" s="88"/>
      <c r="J323" s="88"/>
      <c r="K323" s="12"/>
    </row>
    <row r="324" spans="1:185" x14ac:dyDescent="0.3">
      <c r="A324" s="12"/>
      <c r="B324" s="88"/>
      <c r="C324" s="88"/>
      <c r="D324" s="88"/>
      <c r="E324" s="88"/>
      <c r="F324" s="104" t="s">
        <v>162</v>
      </c>
      <c r="G324" s="88"/>
      <c r="H324" s="88"/>
      <c r="I324" s="88"/>
      <c r="J324" s="88"/>
      <c r="K324" s="12"/>
    </row>
    <row r="325" spans="1:185" x14ac:dyDescent="0.3">
      <c r="A325" s="67"/>
      <c r="B325" s="58"/>
      <c r="C325" s="58"/>
      <c r="D325" s="58"/>
      <c r="E325" s="60" t="s">
        <v>5</v>
      </c>
      <c r="F325" s="61" t="str">
        <f>$C$1</f>
        <v>R. Abbott</v>
      </c>
      <c r="G325" s="58"/>
      <c r="H325" s="68"/>
      <c r="I325" s="60" t="s">
        <v>10</v>
      </c>
      <c r="J325" s="69" t="str">
        <f>$G$2</f>
        <v>AA-SM-001-000</v>
      </c>
      <c r="K325" s="70"/>
      <c r="L325" s="71"/>
      <c r="M325" s="62"/>
      <c r="N325" s="62"/>
      <c r="O325" s="62"/>
      <c r="P325" s="5"/>
      <c r="AD325" s="8"/>
    </row>
    <row r="326" spans="1:185" s="10" customFormat="1" x14ac:dyDescent="0.3">
      <c r="A326" s="58"/>
      <c r="B326" s="58"/>
      <c r="C326" s="58"/>
      <c r="D326" s="58"/>
      <c r="E326" s="60" t="s">
        <v>6</v>
      </c>
      <c r="F326" s="68" t="str">
        <f>$C$2</f>
        <v xml:space="preserve"> </v>
      </c>
      <c r="G326" s="58"/>
      <c r="H326" s="68"/>
      <c r="I326" s="60" t="s">
        <v>11</v>
      </c>
      <c r="J326" s="70" t="str">
        <f>$G$3</f>
        <v>A</v>
      </c>
      <c r="K326" s="70"/>
      <c r="L326" s="71"/>
      <c r="M326" s="62">
        <v>1</v>
      </c>
      <c r="N326" s="62"/>
      <c r="O326" s="62"/>
      <c r="P326" s="5"/>
      <c r="Q326" s="9"/>
      <c r="R326" s="7"/>
      <c r="S326" s="7"/>
      <c r="T326" s="2"/>
      <c r="U326" s="2"/>
      <c r="V326" s="2"/>
      <c r="W326" s="2"/>
      <c r="X326" s="2"/>
      <c r="Y326" s="2"/>
      <c r="Z326" s="2"/>
      <c r="AA326" s="2"/>
      <c r="AB326" s="2"/>
      <c r="AC326" s="2"/>
      <c r="AD326" s="2"/>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row>
    <row r="327" spans="1:185" x14ac:dyDescent="0.3">
      <c r="A327" s="58"/>
      <c r="B327" s="58"/>
      <c r="C327" s="58"/>
      <c r="D327" s="58"/>
      <c r="E327" s="60" t="s">
        <v>1</v>
      </c>
      <c r="F327" s="68" t="str">
        <f>$C$3</f>
        <v>20/10/2013</v>
      </c>
      <c r="G327" s="58"/>
      <c r="H327" s="68"/>
      <c r="I327" s="60" t="s">
        <v>12</v>
      </c>
      <c r="J327" s="61" t="str">
        <f>L327&amp;" of "&amp;$G$1</f>
        <v>7 of 20</v>
      </c>
      <c r="K327" s="68"/>
      <c r="L327" s="71">
        <f>SUM($M$1:M326)</f>
        <v>7</v>
      </c>
      <c r="M327" s="62"/>
      <c r="N327" s="62"/>
      <c r="O327" s="62"/>
      <c r="P327" s="5"/>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row>
    <row r="328" spans="1:185" x14ac:dyDescent="0.3">
      <c r="A328" s="58"/>
      <c r="B328" s="58"/>
      <c r="C328" s="58"/>
      <c r="D328" s="58"/>
      <c r="E328" s="60" t="s">
        <v>106</v>
      </c>
      <c r="F328" s="68" t="str">
        <f>$C$5</f>
        <v>STANDARD SPREADSHEET METHOD</v>
      </c>
      <c r="G328" s="58"/>
      <c r="H328" s="58"/>
      <c r="I328" s="72"/>
      <c r="J328" s="61"/>
      <c r="K328" s="58"/>
      <c r="L328" s="58"/>
      <c r="M328" s="62"/>
      <c r="N328" s="62"/>
      <c r="O328" s="62"/>
      <c r="P328" s="5"/>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row>
    <row r="329" spans="1:185" ht="15.6" x14ac:dyDescent="0.3">
      <c r="A329" s="12"/>
      <c r="B329" s="74" t="str">
        <f>$G$4</f>
        <v>SECTION PROPERTIES</v>
      </c>
      <c r="C329" s="12"/>
      <c r="D329" s="12"/>
      <c r="E329" s="12"/>
      <c r="F329" s="12"/>
      <c r="G329" s="12"/>
      <c r="H329" s="12"/>
      <c r="I329" s="12"/>
      <c r="J329" s="12"/>
      <c r="K329" s="1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row>
    <row r="330" spans="1:185" x14ac:dyDescent="0.3">
      <c r="A330" s="54"/>
      <c r="B330" s="85"/>
      <c r="C330" s="54"/>
      <c r="D330" s="54"/>
      <c r="E330" s="54"/>
    </row>
    <row r="331" spans="1:185" x14ac:dyDescent="0.3">
      <c r="A331" s="11"/>
      <c r="B331" s="19" t="s">
        <v>138</v>
      </c>
      <c r="C331" s="11"/>
      <c r="D331" s="15"/>
      <c r="E331" s="11"/>
      <c r="F331" s="11"/>
      <c r="G331" s="11"/>
      <c r="H331" s="11"/>
      <c r="I331" s="11"/>
      <c r="J331" s="11"/>
      <c r="K331" s="11"/>
    </row>
    <row r="333" spans="1:185" x14ac:dyDescent="0.3">
      <c r="A333" s="38"/>
      <c r="B333" s="16" t="s">
        <v>51</v>
      </c>
      <c r="C333" s="20">
        <v>10</v>
      </c>
      <c r="D333" s="18" t="s">
        <v>4</v>
      </c>
      <c r="I333" s="42" t="s">
        <v>50</v>
      </c>
      <c r="U333" s="2" t="s">
        <v>125</v>
      </c>
    </row>
    <row r="334" spans="1:185" x14ac:dyDescent="0.3">
      <c r="A334" s="18"/>
      <c r="B334" s="40" t="s">
        <v>122</v>
      </c>
      <c r="C334" s="41">
        <v>10</v>
      </c>
      <c r="D334" s="4" t="s">
        <v>4</v>
      </c>
      <c r="E334" s="18"/>
      <c r="F334" s="18"/>
      <c r="G334" s="18"/>
      <c r="I334" s="16" t="s">
        <v>74</v>
      </c>
      <c r="J334" s="4" t="str">
        <f ca="1">[1]!xlv(J336)</f>
        <v>(Iₓ / A)⁰·⁵</v>
      </c>
    </row>
    <row r="335" spans="1:185" x14ac:dyDescent="0.3">
      <c r="A335" s="18"/>
      <c r="B335" s="40" t="s">
        <v>83</v>
      </c>
      <c r="C335" s="100">
        <v>0.25</v>
      </c>
      <c r="D335" s="4" t="s">
        <v>4</v>
      </c>
      <c r="I335" s="16" t="s">
        <v>74</v>
      </c>
      <c r="J335" s="4" t="str">
        <f>[1]!xln(J336)</f>
        <v>(152 / 7.5)⁰·⁵</v>
      </c>
      <c r="U335" s="50"/>
    </row>
    <row r="336" spans="1:185" x14ac:dyDescent="0.3">
      <c r="A336" s="18"/>
      <c r="B336" s="40" t="s">
        <v>131</v>
      </c>
      <c r="C336" s="100">
        <v>0.25</v>
      </c>
      <c r="D336" s="4" t="s">
        <v>4</v>
      </c>
      <c r="I336" s="16" t="s">
        <v>74</v>
      </c>
      <c r="J336" s="43">
        <f>(C354/C343)^0.5</f>
        <v>4.5046272505798601</v>
      </c>
      <c r="K336" s="18" t="s">
        <v>4</v>
      </c>
    </row>
    <row r="337" spans="1:21" x14ac:dyDescent="0.3">
      <c r="A337" s="18"/>
      <c r="B337" s="40"/>
      <c r="C337" s="41"/>
    </row>
    <row r="338" spans="1:21" x14ac:dyDescent="0.3">
      <c r="A338" s="18"/>
      <c r="B338" s="18"/>
      <c r="I338" s="16" t="s">
        <v>75</v>
      </c>
      <c r="J338" s="4" t="str">
        <f ca="1">[1]!xlv(J340)</f>
        <v>(Iᵧ / A)⁰·⁵</v>
      </c>
      <c r="U338" s="50"/>
    </row>
    <row r="339" spans="1:21" x14ac:dyDescent="0.3">
      <c r="A339" s="18"/>
      <c r="I339" s="16" t="s">
        <v>75</v>
      </c>
      <c r="J339" s="4" t="str">
        <f>[1]!xln(J340)</f>
        <v>(41.7 / 7.5)⁰·⁵</v>
      </c>
    </row>
    <row r="340" spans="1:21" x14ac:dyDescent="0.3">
      <c r="A340" s="11"/>
      <c r="B340" s="39" t="s">
        <v>29</v>
      </c>
      <c r="I340" s="16" t="s">
        <v>75</v>
      </c>
      <c r="J340" s="25">
        <f>(C358/C343)^0.5</f>
        <v>2.3573908599692728</v>
      </c>
      <c r="K340" s="18" t="s">
        <v>4</v>
      </c>
    </row>
    <row r="341" spans="1:21" x14ac:dyDescent="0.3">
      <c r="B341" s="16" t="s">
        <v>32</v>
      </c>
      <c r="C341" s="4" t="str">
        <f ca="1">[1]!xlv(C343)</f>
        <v>2 × b × t + tw × d</v>
      </c>
    </row>
    <row r="342" spans="1:21" x14ac:dyDescent="0.3">
      <c r="B342" s="16" t="s">
        <v>32</v>
      </c>
      <c r="C342" s="4" t="str">
        <f>[1]!xln(C343)</f>
        <v>2 × 10 × 0.25 + 0.25 × 10</v>
      </c>
      <c r="D342" s="11"/>
    </row>
    <row r="343" spans="1:21" x14ac:dyDescent="0.3">
      <c r="B343" s="16" t="s">
        <v>32</v>
      </c>
      <c r="C343" s="17">
        <f>2*C333*C335+C336*C334</f>
        <v>7.5</v>
      </c>
      <c r="D343" s="18" t="s">
        <v>68</v>
      </c>
    </row>
    <row r="345" spans="1:21" x14ac:dyDescent="0.3">
      <c r="B345" s="39" t="s">
        <v>120</v>
      </c>
      <c r="U345" s="50"/>
    </row>
    <row r="346" spans="1:21" x14ac:dyDescent="0.3">
      <c r="B346" s="40" t="s">
        <v>25</v>
      </c>
      <c r="C346" s="25">
        <f>C333/2</f>
        <v>5</v>
      </c>
      <c r="D346" s="4" t="s">
        <v>4</v>
      </c>
    </row>
    <row r="347" spans="1:21" x14ac:dyDescent="0.3">
      <c r="B347" s="40" t="s">
        <v>27</v>
      </c>
      <c r="C347" s="4" t="str">
        <f ca="1">[1]!xlv(C349)</f>
        <v>d / 2 + t</v>
      </c>
    </row>
    <row r="348" spans="1:21" x14ac:dyDescent="0.3">
      <c r="B348" s="40" t="s">
        <v>27</v>
      </c>
      <c r="C348" s="4" t="str">
        <f>[1]!xln(C349)</f>
        <v>10 / 2 + 0.25</v>
      </c>
    </row>
    <row r="349" spans="1:21" x14ac:dyDescent="0.3">
      <c r="B349" s="40" t="s">
        <v>27</v>
      </c>
      <c r="C349" s="25">
        <f>C334/2+C335</f>
        <v>5.25</v>
      </c>
      <c r="D349" s="4" t="s">
        <v>4</v>
      </c>
    </row>
    <row r="351" spans="1:21" x14ac:dyDescent="0.3">
      <c r="B351" s="39" t="s">
        <v>30</v>
      </c>
    </row>
    <row r="352" spans="1:21" x14ac:dyDescent="0.3">
      <c r="B352" s="16" t="s">
        <v>72</v>
      </c>
      <c r="C352" s="4" t="str">
        <f ca="1">[1]!xlv(C354)</f>
        <v>b × (d + 2 × t)³ / 12 - (b - tw) × d³ / 12</v>
      </c>
    </row>
    <row r="353" spans="1:9" x14ac:dyDescent="0.3">
      <c r="B353" s="16" t="s">
        <v>72</v>
      </c>
      <c r="C353" s="4" t="str">
        <f>[1]!xln(C354)</f>
        <v>10 × (10 + 2 × 0.25)³ / 12 - (10 - 0.25) × 10³ / 12</v>
      </c>
    </row>
    <row r="354" spans="1:9" x14ac:dyDescent="0.3">
      <c r="B354" s="16" t="s">
        <v>72</v>
      </c>
      <c r="C354" s="17">
        <f>C333*(C334+2*C335)^3/12-(C333-C336)*C334^3/12</f>
        <v>152.1875</v>
      </c>
      <c r="D354" s="18" t="s">
        <v>69</v>
      </c>
    </row>
    <row r="356" spans="1:9" x14ac:dyDescent="0.3">
      <c r="B356" s="40" t="s">
        <v>73</v>
      </c>
      <c r="C356" s="4" t="str">
        <f ca="1">[1]!xlv(C358)</f>
        <v>b³ × t / 6 + tw³ × d / 12</v>
      </c>
      <c r="G356" s="16" t="s">
        <v>87</v>
      </c>
      <c r="H356" s="4" t="str">
        <f ca="1">[1]!xlv(H358)</f>
        <v>Iᵧ + Iₓ</v>
      </c>
    </row>
    <row r="357" spans="1:9" x14ac:dyDescent="0.3">
      <c r="B357" s="40" t="s">
        <v>73</v>
      </c>
      <c r="C357" s="4" t="str">
        <f>[1]!xln(C358)</f>
        <v>10³ × 0.25 / 6 + 0.25³ × 10 / 12</v>
      </c>
      <c r="G357" s="16" t="s">
        <v>87</v>
      </c>
      <c r="H357" s="4" t="str">
        <f>[1]!xln(H358)</f>
        <v>41.7 + 152</v>
      </c>
    </row>
    <row r="358" spans="1:9" x14ac:dyDescent="0.3">
      <c r="B358" s="40" t="s">
        <v>73</v>
      </c>
      <c r="C358" s="46">
        <f>C333^3*C335/6+C336^3*C334/12</f>
        <v>41.6796875</v>
      </c>
      <c r="D358" s="18" t="s">
        <v>69</v>
      </c>
      <c r="G358" s="16" t="s">
        <v>87</v>
      </c>
      <c r="H358" s="17">
        <f>C358+C354</f>
        <v>193.8671875</v>
      </c>
      <c r="I358" s="18" t="s">
        <v>69</v>
      </c>
    </row>
    <row r="360" spans="1:9" x14ac:dyDescent="0.3">
      <c r="B360" s="39" t="s">
        <v>116</v>
      </c>
    </row>
    <row r="361" spans="1:9" x14ac:dyDescent="0.3">
      <c r="A361" s="11"/>
      <c r="B361" s="16" t="s">
        <v>117</v>
      </c>
      <c r="C361" s="99" t="str">
        <f ca="1">[1]!xlv(C363)</f>
        <v>tw × d² / 4 + b × t × (d + t)</v>
      </c>
      <c r="D361" s="99"/>
      <c r="E361" s="99"/>
      <c r="F361" s="99"/>
      <c r="G361" s="40" t="s">
        <v>118</v>
      </c>
      <c r="H361" s="4" t="str">
        <f ca="1">[1]!xlv(H363)</f>
        <v>b² × t / 2 + tw² × d / 4</v>
      </c>
    </row>
    <row r="362" spans="1:9" x14ac:dyDescent="0.3">
      <c r="A362" s="11"/>
      <c r="B362" s="16" t="s">
        <v>117</v>
      </c>
      <c r="C362" s="99" t="str">
        <f>[1]!xln(C363)</f>
        <v>0.25 × 10² / 4 + 10 × 0.25 × (10 + 0.25)</v>
      </c>
      <c r="D362" s="99"/>
      <c r="E362" s="99"/>
      <c r="F362" s="99"/>
      <c r="G362" s="40" t="s">
        <v>118</v>
      </c>
      <c r="H362" s="4" t="str">
        <f>[1]!xln(H363)</f>
        <v>10² × 0.25 / 2 + 0.25² × 10 / 4</v>
      </c>
    </row>
    <row r="363" spans="1:9" x14ac:dyDescent="0.3">
      <c r="B363" s="16" t="s">
        <v>117</v>
      </c>
      <c r="C363" s="99">
        <f>C336*C334^2/4+C333*C335*(C334+C335)</f>
        <v>31.875</v>
      </c>
      <c r="D363" s="99" t="s">
        <v>44</v>
      </c>
      <c r="E363" s="99"/>
      <c r="F363" s="99"/>
      <c r="G363" s="53" t="s">
        <v>118</v>
      </c>
      <c r="H363" s="25">
        <f>C333^2*C335/2+C336^2*C334/4</f>
        <v>12.65625</v>
      </c>
      <c r="I363" s="4" t="s">
        <v>44</v>
      </c>
    </row>
    <row r="364" spans="1:9" x14ac:dyDescent="0.3">
      <c r="C364" s="99"/>
      <c r="D364" s="99"/>
      <c r="E364" s="99"/>
      <c r="F364" s="99"/>
      <c r="G364" s="99"/>
      <c r="H364" s="99"/>
      <c r="I364" s="99"/>
    </row>
    <row r="365" spans="1:9" x14ac:dyDescent="0.3">
      <c r="B365" s="16" t="s">
        <v>129</v>
      </c>
      <c r="C365" s="99" t="str">
        <f ca="1">[1]!xlv(C367)</f>
        <v>Zₓ × ẏ / Iₓ</v>
      </c>
      <c r="D365" s="99"/>
      <c r="G365" s="101" t="s">
        <v>132</v>
      </c>
      <c r="H365" s="99" t="str">
        <f ca="1">[1]!xlv(H367)</f>
        <v>Zᵧ × ẋ / Iᵧ</v>
      </c>
      <c r="I365" s="46"/>
    </row>
    <row r="366" spans="1:9" x14ac:dyDescent="0.3">
      <c r="B366" s="16" t="s">
        <v>129</v>
      </c>
      <c r="C366" s="99" t="str">
        <f>[1]!xln(C367)</f>
        <v>31.9 × 5.25 / 152</v>
      </c>
      <c r="D366" s="99"/>
      <c r="G366" s="101" t="s">
        <v>132</v>
      </c>
      <c r="H366" s="99" t="str">
        <f>[1]!xln(H367)</f>
        <v>12.7 × 5 / 41.7</v>
      </c>
      <c r="I366" s="46"/>
    </row>
    <row r="367" spans="1:9" x14ac:dyDescent="0.3">
      <c r="B367" s="16" t="s">
        <v>129</v>
      </c>
      <c r="C367" s="99">
        <f>C363*C349/C354</f>
        <v>1.0995893223819302</v>
      </c>
      <c r="D367" s="99"/>
      <c r="G367" s="101" t="s">
        <v>132</v>
      </c>
      <c r="H367" s="99">
        <f>H363*C346/C358</f>
        <v>1.5182755388940956</v>
      </c>
      <c r="I367" s="46"/>
    </row>
    <row r="370" spans="1:185" x14ac:dyDescent="0.3">
      <c r="B370" s="16"/>
      <c r="C370" s="99"/>
      <c r="D370" s="99"/>
      <c r="E370" s="99"/>
      <c r="F370" s="99"/>
    </row>
    <row r="371" spans="1:185" x14ac:dyDescent="0.3">
      <c r="C371" s="99"/>
      <c r="D371" s="99"/>
      <c r="E371" s="99"/>
      <c r="F371" s="99"/>
    </row>
    <row r="372" spans="1:185" x14ac:dyDescent="0.3">
      <c r="E372" s="99"/>
      <c r="F372" s="99"/>
    </row>
    <row r="373" spans="1:185" x14ac:dyDescent="0.3">
      <c r="E373" s="99"/>
      <c r="F373" s="99"/>
    </row>
    <row r="374" spans="1:185" x14ac:dyDescent="0.3">
      <c r="E374" s="99"/>
      <c r="F374" s="99"/>
    </row>
    <row r="375" spans="1:185" x14ac:dyDescent="0.3">
      <c r="A375" s="12"/>
      <c r="B375" s="3"/>
      <c r="C375" s="86"/>
      <c r="D375" s="12"/>
      <c r="E375" s="12"/>
      <c r="F375" s="12"/>
      <c r="G375" s="86"/>
      <c r="H375" s="12"/>
      <c r="I375" s="12"/>
      <c r="J375" s="12"/>
      <c r="K375" s="12"/>
    </row>
    <row r="376" spans="1:185" x14ac:dyDescent="0.3">
      <c r="A376" s="12"/>
      <c r="B376" s="87"/>
      <c r="C376" s="86"/>
      <c r="D376" s="88"/>
      <c r="E376" s="88"/>
      <c r="F376" s="89" t="s">
        <v>161</v>
      </c>
      <c r="G376" s="86"/>
      <c r="H376" s="88"/>
      <c r="I376" s="88"/>
      <c r="J376" s="88"/>
      <c r="K376" s="12"/>
    </row>
    <row r="377" spans="1:185" x14ac:dyDescent="0.3">
      <c r="A377" s="12"/>
      <c r="B377" s="88"/>
      <c r="C377" s="88"/>
      <c r="D377" s="88"/>
      <c r="E377" s="88"/>
      <c r="F377" s="104" t="s">
        <v>162</v>
      </c>
      <c r="G377" s="88"/>
      <c r="H377" s="88"/>
      <c r="I377" s="88"/>
      <c r="J377" s="88"/>
      <c r="K377" s="12"/>
    </row>
    <row r="378" spans="1:185" x14ac:dyDescent="0.3">
      <c r="A378" s="67"/>
      <c r="B378" s="58"/>
      <c r="C378" s="58"/>
      <c r="D378" s="58"/>
      <c r="E378" s="60" t="s">
        <v>5</v>
      </c>
      <c r="F378" s="61" t="str">
        <f>$C$1</f>
        <v>R. Abbott</v>
      </c>
      <c r="G378" s="58"/>
      <c r="H378" s="68"/>
      <c r="I378" s="60" t="s">
        <v>10</v>
      </c>
      <c r="J378" s="69" t="str">
        <f>$G$2</f>
        <v>AA-SM-001-000</v>
      </c>
      <c r="K378" s="70"/>
      <c r="L378" s="71"/>
      <c r="M378" s="62"/>
      <c r="N378" s="62"/>
      <c r="O378" s="62"/>
      <c r="P378" s="5"/>
      <c r="AD378" s="8"/>
    </row>
    <row r="379" spans="1:185" s="10" customFormat="1" x14ac:dyDescent="0.3">
      <c r="A379" s="58"/>
      <c r="B379" s="58"/>
      <c r="C379" s="58"/>
      <c r="D379" s="58"/>
      <c r="E379" s="60" t="s">
        <v>6</v>
      </c>
      <c r="F379" s="68" t="str">
        <f>$C$2</f>
        <v xml:space="preserve"> </v>
      </c>
      <c r="G379" s="58"/>
      <c r="H379" s="68"/>
      <c r="I379" s="60" t="s">
        <v>11</v>
      </c>
      <c r="J379" s="70" t="str">
        <f>$G$3</f>
        <v>A</v>
      </c>
      <c r="K379" s="70"/>
      <c r="L379" s="71"/>
      <c r="M379" s="62">
        <v>1</v>
      </c>
      <c r="N379" s="62"/>
      <c r="O379" s="62"/>
      <c r="P379" s="5"/>
      <c r="Q379" s="9"/>
      <c r="R379" s="7"/>
      <c r="S379" s="7"/>
      <c r="T379" s="2"/>
      <c r="U379" s="2"/>
      <c r="V379" s="2"/>
      <c r="W379" s="2"/>
      <c r="X379" s="2"/>
      <c r="Y379" s="2"/>
      <c r="Z379" s="2"/>
      <c r="AA379" s="2"/>
      <c r="AB379" s="2"/>
      <c r="AC379" s="2"/>
      <c r="AD379" s="2"/>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row>
    <row r="380" spans="1:185" x14ac:dyDescent="0.3">
      <c r="A380" s="58"/>
      <c r="B380" s="58"/>
      <c r="C380" s="58"/>
      <c r="D380" s="58"/>
      <c r="E380" s="60" t="s">
        <v>1</v>
      </c>
      <c r="F380" s="68" t="str">
        <f>$C$3</f>
        <v>20/10/2013</v>
      </c>
      <c r="G380" s="58"/>
      <c r="H380" s="68"/>
      <c r="I380" s="60" t="s">
        <v>12</v>
      </c>
      <c r="J380" s="61" t="str">
        <f>L380&amp;" of "&amp;$G$1</f>
        <v>8 of 20</v>
      </c>
      <c r="K380" s="68"/>
      <c r="L380" s="71">
        <f>SUM($M$1:M379)</f>
        <v>8</v>
      </c>
      <c r="M380" s="62"/>
      <c r="N380" s="62"/>
      <c r="O380" s="62"/>
      <c r="P380" s="5"/>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row>
    <row r="381" spans="1:185" x14ac:dyDescent="0.3">
      <c r="A381" s="58"/>
      <c r="B381" s="58"/>
      <c r="C381" s="58"/>
      <c r="D381" s="58"/>
      <c r="E381" s="60" t="s">
        <v>106</v>
      </c>
      <c r="F381" s="68" t="str">
        <f>$C$5</f>
        <v>STANDARD SPREADSHEET METHOD</v>
      </c>
      <c r="G381" s="58"/>
      <c r="H381" s="58"/>
      <c r="I381" s="72"/>
      <c r="J381" s="61"/>
      <c r="K381" s="58"/>
      <c r="L381" s="58"/>
      <c r="M381" s="62"/>
      <c r="N381" s="62"/>
      <c r="O381" s="62"/>
      <c r="P381" s="5"/>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row>
    <row r="382" spans="1:185" ht="15.6" x14ac:dyDescent="0.3">
      <c r="A382" s="12"/>
      <c r="B382" s="74" t="str">
        <f>$G$4</f>
        <v>SECTION PROPERTIES</v>
      </c>
      <c r="C382" s="12"/>
      <c r="D382" s="12"/>
      <c r="E382" s="12"/>
      <c r="F382" s="12"/>
      <c r="G382" s="12"/>
      <c r="H382" s="12"/>
      <c r="I382" s="12"/>
      <c r="J382" s="12"/>
      <c r="K382" s="1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row>
    <row r="383" spans="1:185" x14ac:dyDescent="0.3">
      <c r="A383" s="54"/>
      <c r="B383" s="85"/>
      <c r="C383" s="54"/>
      <c r="D383" s="54"/>
      <c r="E383" s="54"/>
    </row>
    <row r="384" spans="1:185" x14ac:dyDescent="0.3">
      <c r="A384" s="11"/>
      <c r="B384" s="19" t="s">
        <v>139</v>
      </c>
      <c r="C384" s="11"/>
      <c r="D384" s="15"/>
      <c r="E384" s="11"/>
      <c r="F384" s="11"/>
      <c r="G384" s="11"/>
      <c r="H384" s="11"/>
      <c r="I384" s="11"/>
      <c r="J384" s="11"/>
      <c r="K384" s="11"/>
    </row>
    <row r="386" spans="1:21" x14ac:dyDescent="0.3">
      <c r="A386" s="38"/>
      <c r="B386" s="16" t="s">
        <v>81</v>
      </c>
      <c r="C386" s="20">
        <v>10</v>
      </c>
      <c r="D386" s="18" t="s">
        <v>4</v>
      </c>
      <c r="I386" s="42" t="s">
        <v>50</v>
      </c>
      <c r="U386" s="2" t="s">
        <v>125</v>
      </c>
    </row>
    <row r="387" spans="1:21" x14ac:dyDescent="0.3">
      <c r="A387" s="18"/>
      <c r="B387" s="40" t="s">
        <v>83</v>
      </c>
      <c r="C387" s="100">
        <v>0.25</v>
      </c>
      <c r="D387" s="4" t="s">
        <v>4</v>
      </c>
      <c r="E387" s="18"/>
      <c r="F387" s="18"/>
      <c r="G387" s="18"/>
      <c r="I387" s="16" t="s">
        <v>74</v>
      </c>
      <c r="J387" s="4" t="str">
        <f ca="1">[1]!xlv(J389)</f>
        <v>(Iₓ / A)⁰·⁵</v>
      </c>
    </row>
    <row r="388" spans="1:21" x14ac:dyDescent="0.3">
      <c r="A388" s="18"/>
      <c r="B388" s="40" t="s">
        <v>51</v>
      </c>
      <c r="C388" s="99" t="str">
        <f ca="1">[1]!xlv(C389)</f>
        <v>a - t</v>
      </c>
      <c r="I388" s="16" t="s">
        <v>74</v>
      </c>
      <c r="J388" s="4" t="str">
        <f>[1]!xln(J389)</f>
        <v>(20.1 / 4.94)⁰·⁵</v>
      </c>
      <c r="U388" s="50"/>
    </row>
    <row r="389" spans="1:21" x14ac:dyDescent="0.3">
      <c r="A389" s="18"/>
      <c r="B389" s="40" t="s">
        <v>51</v>
      </c>
      <c r="C389" s="100">
        <f>C386-C387</f>
        <v>9.75</v>
      </c>
      <c r="D389" s="4" t="s">
        <v>4</v>
      </c>
      <c r="I389" s="16" t="s">
        <v>74</v>
      </c>
      <c r="J389" s="43">
        <f>(C407/C396)^0.5</f>
        <v>2.017340116436166</v>
      </c>
      <c r="K389" s="18" t="s">
        <v>4</v>
      </c>
    </row>
    <row r="390" spans="1:21" x14ac:dyDescent="0.3">
      <c r="A390" s="18"/>
      <c r="B390" s="40"/>
      <c r="C390" s="41"/>
    </row>
    <row r="391" spans="1:21" x14ac:dyDescent="0.3">
      <c r="A391" s="18"/>
      <c r="B391" s="18"/>
      <c r="I391" s="16" t="s">
        <v>75</v>
      </c>
      <c r="J391" s="4" t="str">
        <f ca="1">[1]!xlv(J393)</f>
        <v>(Iᵧ / A)⁰·⁵</v>
      </c>
      <c r="U391" s="50"/>
    </row>
    <row r="392" spans="1:21" x14ac:dyDescent="0.3">
      <c r="A392" s="18"/>
      <c r="I392" s="16" t="s">
        <v>75</v>
      </c>
      <c r="J392" s="4" t="str">
        <f>[1]!xln(J393)</f>
        <v>(80.3 / 4.94)⁰·⁵</v>
      </c>
    </row>
    <row r="393" spans="1:21" x14ac:dyDescent="0.3">
      <c r="A393" s="11"/>
      <c r="B393" s="39" t="s">
        <v>29</v>
      </c>
      <c r="I393" s="16" t="s">
        <v>75</v>
      </c>
      <c r="J393" s="25">
        <f>(C411/C396)^0.5</f>
        <v>4.0317748366362585</v>
      </c>
      <c r="K393" s="18" t="s">
        <v>4</v>
      </c>
    </row>
    <row r="394" spans="1:21" x14ac:dyDescent="0.3">
      <c r="B394" s="16" t="s">
        <v>32</v>
      </c>
      <c r="C394" s="4" t="str">
        <f ca="1">[1]!xlv(C396)</f>
        <v>t × (2 × a - t)</v>
      </c>
    </row>
    <row r="395" spans="1:21" x14ac:dyDescent="0.3">
      <c r="B395" s="16" t="s">
        <v>32</v>
      </c>
      <c r="C395" s="4" t="str">
        <f>[1]!xln(C396)</f>
        <v>0.25 × (2 × 10 - 0.25)</v>
      </c>
      <c r="D395" s="11"/>
    </row>
    <row r="396" spans="1:21" x14ac:dyDescent="0.3">
      <c r="B396" s="16" t="s">
        <v>32</v>
      </c>
      <c r="C396" s="17">
        <f>C387*(2*C386-C387)</f>
        <v>4.9375</v>
      </c>
      <c r="D396" s="18" t="s">
        <v>68</v>
      </c>
    </row>
    <row r="398" spans="1:21" x14ac:dyDescent="0.3">
      <c r="B398" s="39" t="s">
        <v>120</v>
      </c>
      <c r="U398" s="50"/>
    </row>
    <row r="399" spans="1:21" x14ac:dyDescent="0.3">
      <c r="B399" s="40" t="s">
        <v>25</v>
      </c>
      <c r="C399" s="25">
        <f>0.7071*C386</f>
        <v>7.0709999999999997</v>
      </c>
      <c r="D399" s="4" t="s">
        <v>4</v>
      </c>
    </row>
    <row r="400" spans="1:21" x14ac:dyDescent="0.3">
      <c r="B400" s="40" t="s">
        <v>141</v>
      </c>
      <c r="C400" s="4" t="str">
        <f ca="1">[1]!xlv(C402)</f>
        <v>0.707 × (a² + a × t - t²) / (2 × a - t)</v>
      </c>
      <c r="H400" s="40" t="s">
        <v>140</v>
      </c>
      <c r="I400" s="4" t="str">
        <f ca="1">[1]!xlv(I402)</f>
        <v>0.707 × a² / (2 × a - t)</v>
      </c>
    </row>
    <row r="401" spans="1:10" x14ac:dyDescent="0.3">
      <c r="B401" s="40" t="s">
        <v>141</v>
      </c>
      <c r="C401" s="4" t="str">
        <f>[1]!xln(C402)</f>
        <v>0.707 × (10² + 10 × 0.25 - 0.25²) / (2 × 10 - 0.25)</v>
      </c>
      <c r="H401" s="40" t="s">
        <v>140</v>
      </c>
      <c r="I401" s="4" t="str">
        <f>[1]!xln(I402)</f>
        <v>0.707 × 10² / (2 × 10 - 0.25)</v>
      </c>
    </row>
    <row r="402" spans="1:10" x14ac:dyDescent="0.3">
      <c r="B402" s="40" t="s">
        <v>141</v>
      </c>
      <c r="C402" s="25">
        <f>0.7071*(C386^2+C386*C387-C387^2)/(2*C386-C387)</f>
        <v>3.6675218354430377</v>
      </c>
      <c r="D402" s="4" t="s">
        <v>4</v>
      </c>
      <c r="H402" s="40" t="s">
        <v>140</v>
      </c>
      <c r="I402" s="25">
        <f>0.7071*C386^2/(2*C386-C387)</f>
        <v>3.5802531645569617</v>
      </c>
      <c r="J402" s="4" t="s">
        <v>4</v>
      </c>
    </row>
    <row r="404" spans="1:10" x14ac:dyDescent="0.3">
      <c r="B404" s="39" t="s">
        <v>30</v>
      </c>
    </row>
    <row r="405" spans="1:10" x14ac:dyDescent="0.3">
      <c r="B405" s="16" t="s">
        <v>72</v>
      </c>
      <c r="C405" s="4" t="str">
        <f ca="1">[1]!xlv(C407)</f>
        <v>(a⁴ - b⁴) / 12 - (0.5 × t × a² × b²) / (a + b)</v>
      </c>
    </row>
    <row r="406" spans="1:10" x14ac:dyDescent="0.3">
      <c r="B406" s="16" t="s">
        <v>72</v>
      </c>
      <c r="C406" s="4" t="str">
        <f>[1]!xln(C407)</f>
        <v>(10⁴ - 9.75⁴) / 12 - (0.5 × 0.25 × 10² × 9.75²) / (10 + 9.75)</v>
      </c>
    </row>
    <row r="407" spans="1:10" x14ac:dyDescent="0.3">
      <c r="B407" s="16" t="s">
        <v>72</v>
      </c>
      <c r="C407" s="17">
        <f>(C386^4-C389^4)/12-(0.5*C387*C386^2*C389^2)/(C386+C389)</f>
        <v>20.093951905326996</v>
      </c>
      <c r="D407" s="18" t="s">
        <v>69</v>
      </c>
    </row>
    <row r="409" spans="1:10" x14ac:dyDescent="0.3">
      <c r="B409" s="40" t="s">
        <v>73</v>
      </c>
      <c r="C409" s="4" t="str">
        <f ca="1">[1]!xlv(C411)</f>
        <v>(a⁴ - b⁴) / 12</v>
      </c>
      <c r="G409" s="16" t="s">
        <v>87</v>
      </c>
      <c r="H409" s="4" t="str">
        <f ca="1">[1]!xlv(H411)</f>
        <v>Iᵧ + Iₓ</v>
      </c>
    </row>
    <row r="410" spans="1:10" x14ac:dyDescent="0.3">
      <c r="B410" s="40" t="s">
        <v>73</v>
      </c>
      <c r="C410" s="4" t="str">
        <f>[1]!xln(C411)</f>
        <v>(10⁴ - 9.75⁴) / 12</v>
      </c>
      <c r="G410" s="16" t="s">
        <v>87</v>
      </c>
      <c r="H410" s="4" t="str">
        <f>[1]!xln(H411)</f>
        <v>80.3 + 20.1</v>
      </c>
    </row>
    <row r="411" spans="1:10" x14ac:dyDescent="0.3">
      <c r="B411" s="40" t="s">
        <v>73</v>
      </c>
      <c r="C411" s="46">
        <f>(C386^4-C389^4)/12</f>
        <v>80.260091145833329</v>
      </c>
      <c r="D411" s="18" t="s">
        <v>69</v>
      </c>
      <c r="G411" s="16" t="s">
        <v>87</v>
      </c>
      <c r="H411" s="17">
        <f>C411+C407</f>
        <v>100.35404305116032</v>
      </c>
      <c r="I411" s="18" t="s">
        <v>69</v>
      </c>
    </row>
    <row r="413" spans="1:10" x14ac:dyDescent="0.3">
      <c r="B413" s="39" t="s">
        <v>116</v>
      </c>
    </row>
    <row r="414" spans="1:10" x14ac:dyDescent="0.3">
      <c r="B414" s="4" t="s">
        <v>143</v>
      </c>
      <c r="G414" s="4" t="s">
        <v>144</v>
      </c>
    </row>
    <row r="415" spans="1:10" x14ac:dyDescent="0.3">
      <c r="A415" s="11"/>
      <c r="B415" s="16" t="s">
        <v>142</v>
      </c>
      <c r="C415" s="99" t="str">
        <f ca="1">[1]!xlv(C417)</f>
        <v>a × (t / a - (t / a)² / 2)⁰·⁵</v>
      </c>
      <c r="D415" s="99"/>
      <c r="E415" s="99"/>
      <c r="F415" s="99"/>
      <c r="G415" s="16" t="s">
        <v>142</v>
      </c>
      <c r="H415" s="99" t="str">
        <f ca="1">[1]!xlv(H417)</f>
        <v>0.354 × (a + 1.5 × t)</v>
      </c>
      <c r="I415" s="99"/>
      <c r="J415" s="99"/>
    </row>
    <row r="416" spans="1:10" x14ac:dyDescent="0.3">
      <c r="A416" s="11"/>
      <c r="B416" s="16" t="s">
        <v>142</v>
      </c>
      <c r="C416" s="99" t="str">
        <f>[1]!xln(C417)</f>
        <v>10 × (0.25 / 10 - (0.25 / 10)² / 2)⁰·⁵</v>
      </c>
      <c r="D416" s="99"/>
      <c r="E416" s="99"/>
      <c r="F416" s="99"/>
      <c r="G416" s="16" t="s">
        <v>142</v>
      </c>
      <c r="H416" s="99" t="str">
        <f>[1]!xln(H417)</f>
        <v>0.354 × (10 + 1.5 × 0.25)</v>
      </c>
      <c r="I416" s="99"/>
      <c r="J416" s="99"/>
    </row>
    <row r="417" spans="1:171" x14ac:dyDescent="0.3">
      <c r="B417" s="16" t="s">
        <v>142</v>
      </c>
      <c r="C417" s="99">
        <f>C386*(C387/C386-(C387/C386)^2/2)^0.5</f>
        <v>1.5712256362470669</v>
      </c>
      <c r="D417" s="99" t="s">
        <v>4</v>
      </c>
      <c r="E417" s="99"/>
      <c r="F417" s="99"/>
      <c r="G417" s="16" t="s">
        <v>142</v>
      </c>
      <c r="H417" s="99">
        <f>0.3536*(C386+1.5*C387)</f>
        <v>3.6686000000000001</v>
      </c>
      <c r="I417" s="99" t="s">
        <v>4</v>
      </c>
      <c r="J417" s="99"/>
    </row>
    <row r="418" spans="1:171" x14ac:dyDescent="0.3">
      <c r="B418" s="4" t="s">
        <v>146</v>
      </c>
      <c r="G418" s="4" t="s">
        <v>146</v>
      </c>
    </row>
    <row r="419" spans="1:171" x14ac:dyDescent="0.3">
      <c r="B419" s="16" t="s">
        <v>117</v>
      </c>
      <c r="C419" s="99" t="str">
        <f ca="1">[1]!xlv(C421)</f>
        <v>A × (ẏ₁ - 0.667 × yp)</v>
      </c>
      <c r="D419" s="99"/>
      <c r="E419" s="99"/>
      <c r="F419" s="99"/>
      <c r="G419" s="40" t="s">
        <v>118</v>
      </c>
      <c r="H419" s="4" t="str">
        <f ca="1">[1]!xlv(H421)</f>
        <v>A × ẏ₁ - 2.83 × yp² × t + 1.89 × t³</v>
      </c>
    </row>
    <row r="420" spans="1:171" x14ac:dyDescent="0.3">
      <c r="B420" s="16" t="s">
        <v>117</v>
      </c>
      <c r="C420" s="99" t="str">
        <f>[1]!xln(C421)</f>
        <v>4.94 × (3.67 - 0.667 × 3.67)</v>
      </c>
      <c r="D420" s="99"/>
      <c r="E420" s="99"/>
      <c r="F420" s="99"/>
      <c r="G420" s="40" t="s">
        <v>118</v>
      </c>
      <c r="H420" s="4" t="str">
        <f>[1]!xln(H421)</f>
        <v>4.94 × 3.67 - 2.83 × 3.67² × 0.25 + 1.89 × 0.25³</v>
      </c>
    </row>
    <row r="421" spans="1:171" x14ac:dyDescent="0.3">
      <c r="B421" s="16" t="s">
        <v>117</v>
      </c>
      <c r="C421" s="99">
        <f>C396*(C402-0.6667*C424)</f>
        <v>6.031976938749998</v>
      </c>
      <c r="D421" s="99" t="s">
        <v>44</v>
      </c>
      <c r="E421" s="99"/>
      <c r="F421" s="99"/>
      <c r="G421" s="40" t="s">
        <v>118</v>
      </c>
      <c r="H421" s="25">
        <f>C396*C402-2.82884*H417^2*C387+1.8856*C387^3</f>
        <v>8.6197766973283976</v>
      </c>
      <c r="I421" s="4" t="s">
        <v>44</v>
      </c>
    </row>
    <row r="423" spans="1:171" x14ac:dyDescent="0.3">
      <c r="B423" s="40" t="s">
        <v>145</v>
      </c>
      <c r="C423" s="4">
        <f>C387/C386</f>
        <v>2.5000000000000001E-2</v>
      </c>
    </row>
    <row r="424" spans="1:171" x14ac:dyDescent="0.3">
      <c r="B424" s="16" t="s">
        <v>142</v>
      </c>
      <c r="C424" s="99">
        <f>IF(C423&gt;0.4,C417,H417)</f>
        <v>3.6686000000000001</v>
      </c>
      <c r="D424" s="99" t="s">
        <v>4</v>
      </c>
    </row>
    <row r="425" spans="1:171" x14ac:dyDescent="0.3">
      <c r="B425" s="16" t="s">
        <v>117</v>
      </c>
      <c r="C425" s="99">
        <f>IF(C423&gt;0.4,C421,H421)</f>
        <v>8.6197766973283976</v>
      </c>
      <c r="D425" s="4" t="s">
        <v>44</v>
      </c>
      <c r="G425" s="101"/>
      <c r="H425" s="99"/>
      <c r="I425" s="46"/>
    </row>
    <row r="426" spans="1:171" x14ac:dyDescent="0.3">
      <c r="E426" s="99"/>
      <c r="F426" s="99"/>
    </row>
    <row r="427" spans="1:171" x14ac:dyDescent="0.3">
      <c r="E427" s="99"/>
      <c r="F427" s="99"/>
    </row>
    <row r="428" spans="1:171" x14ac:dyDescent="0.3">
      <c r="A428" s="12"/>
      <c r="B428" s="3"/>
      <c r="C428" s="86"/>
      <c r="D428" s="12"/>
      <c r="E428" s="12"/>
      <c r="F428" s="12"/>
      <c r="G428" s="86"/>
      <c r="H428" s="12"/>
      <c r="I428" s="12"/>
      <c r="J428" s="12"/>
      <c r="K428" s="12"/>
    </row>
    <row r="429" spans="1:171" x14ac:dyDescent="0.3">
      <c r="A429" s="12"/>
      <c r="B429" s="87"/>
      <c r="C429" s="86"/>
      <c r="D429" s="88"/>
      <c r="E429" s="88"/>
      <c r="F429" s="89" t="s">
        <v>161</v>
      </c>
      <c r="G429" s="86"/>
      <c r="H429" s="88"/>
      <c r="I429" s="88"/>
      <c r="J429" s="88"/>
      <c r="K429" s="12"/>
    </row>
    <row r="430" spans="1:171" x14ac:dyDescent="0.3">
      <c r="A430" s="12"/>
      <c r="B430" s="88"/>
      <c r="C430" s="88"/>
      <c r="D430" s="88"/>
      <c r="E430" s="88"/>
      <c r="F430" s="104" t="s">
        <v>162</v>
      </c>
      <c r="G430" s="88"/>
      <c r="H430" s="88"/>
      <c r="I430" s="88"/>
      <c r="J430" s="88"/>
      <c r="K430" s="12"/>
    </row>
    <row r="431" spans="1:171" x14ac:dyDescent="0.3">
      <c r="A431" s="67"/>
      <c r="B431" s="58"/>
      <c r="C431" s="58"/>
      <c r="D431" s="58"/>
      <c r="E431" s="60" t="s">
        <v>5</v>
      </c>
      <c r="F431" s="61" t="str">
        <f>$C$1</f>
        <v>R. Abbott</v>
      </c>
      <c r="G431" s="58"/>
      <c r="H431" s="68"/>
      <c r="I431" s="60" t="s">
        <v>10</v>
      </c>
      <c r="J431" s="69" t="str">
        <f>$G$2</f>
        <v>AA-SM-001-000</v>
      </c>
      <c r="K431" s="70"/>
      <c r="L431" s="71"/>
      <c r="M431" s="62"/>
      <c r="N431" s="62"/>
      <c r="O431" s="62"/>
      <c r="P431" s="5"/>
      <c r="AD431" s="8"/>
    </row>
    <row r="432" spans="1:171" s="10" customFormat="1" x14ac:dyDescent="0.3">
      <c r="A432" s="58"/>
      <c r="B432" s="58"/>
      <c r="C432" s="58"/>
      <c r="D432" s="58"/>
      <c r="E432" s="60" t="s">
        <v>6</v>
      </c>
      <c r="F432" s="68" t="str">
        <f>$C$2</f>
        <v xml:space="preserve"> </v>
      </c>
      <c r="G432" s="58"/>
      <c r="H432" s="68"/>
      <c r="I432" s="60" t="s">
        <v>11</v>
      </c>
      <c r="J432" s="70" t="str">
        <f>$G$3</f>
        <v>A</v>
      </c>
      <c r="K432" s="70"/>
      <c r="L432" s="71"/>
      <c r="M432" s="62">
        <v>1</v>
      </c>
      <c r="N432" s="62"/>
      <c r="O432" s="62"/>
      <c r="P432" s="5"/>
      <c r="Q432" s="9"/>
      <c r="R432" s="7"/>
      <c r="S432" s="7"/>
      <c r="T432" s="2"/>
      <c r="U432" s="2"/>
      <c r="V432" s="2"/>
      <c r="W432" s="2"/>
      <c r="X432" s="2"/>
      <c r="Y432" s="2"/>
      <c r="Z432" s="2"/>
      <c r="AA432" s="2"/>
      <c r="AB432" s="2"/>
      <c r="AC432" s="2"/>
      <c r="AD432" s="2"/>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row>
    <row r="433" spans="1:185" x14ac:dyDescent="0.3">
      <c r="A433" s="58"/>
      <c r="B433" s="58"/>
      <c r="C433" s="58"/>
      <c r="D433" s="58"/>
      <c r="E433" s="60" t="s">
        <v>1</v>
      </c>
      <c r="F433" s="68" t="str">
        <f>$C$3</f>
        <v>20/10/2013</v>
      </c>
      <c r="G433" s="58"/>
      <c r="H433" s="68"/>
      <c r="I433" s="60" t="s">
        <v>12</v>
      </c>
      <c r="J433" s="61" t="str">
        <f>L433&amp;" of "&amp;$G$1</f>
        <v>9 of 20</v>
      </c>
      <c r="K433" s="68"/>
      <c r="L433" s="71">
        <f>SUM($M$1:M432)</f>
        <v>9</v>
      </c>
      <c r="M433" s="62"/>
      <c r="N433" s="62"/>
      <c r="O433" s="62"/>
      <c r="P433" s="5"/>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row>
    <row r="434" spans="1:185" x14ac:dyDescent="0.3">
      <c r="A434" s="58"/>
      <c r="B434" s="58"/>
      <c r="C434" s="58"/>
      <c r="D434" s="58"/>
      <c r="E434" s="60" t="s">
        <v>106</v>
      </c>
      <c r="F434" s="68" t="str">
        <f>$C$5</f>
        <v>STANDARD SPREADSHEET METHOD</v>
      </c>
      <c r="G434" s="58"/>
      <c r="H434" s="58"/>
      <c r="I434" s="72"/>
      <c r="J434" s="61"/>
      <c r="K434" s="58"/>
      <c r="L434" s="58"/>
      <c r="M434" s="62"/>
      <c r="N434" s="62"/>
      <c r="O434" s="62"/>
      <c r="P434" s="5"/>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row>
    <row r="435" spans="1:185" ht="15.6" x14ac:dyDescent="0.3">
      <c r="A435" s="12"/>
      <c r="B435" s="74" t="str">
        <f>$G$4</f>
        <v>SECTION PROPERTIES</v>
      </c>
      <c r="C435" s="12"/>
      <c r="D435" s="12"/>
      <c r="E435" s="12"/>
      <c r="F435" s="12"/>
      <c r="G435" s="12"/>
      <c r="H435" s="12"/>
      <c r="I435" s="12"/>
      <c r="J435" s="12"/>
      <c r="K435" s="1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row>
    <row r="436" spans="1:185" x14ac:dyDescent="0.3">
      <c r="A436" s="54"/>
      <c r="B436" s="85"/>
      <c r="C436" s="54"/>
      <c r="D436" s="54"/>
      <c r="E436" s="54"/>
    </row>
    <row r="437" spans="1:185" x14ac:dyDescent="0.3">
      <c r="A437" s="11"/>
      <c r="B437" s="19" t="s">
        <v>147</v>
      </c>
      <c r="C437" s="11"/>
      <c r="D437" s="15"/>
      <c r="E437" s="11"/>
      <c r="F437" s="11"/>
      <c r="G437" s="11"/>
      <c r="H437" s="11"/>
      <c r="I437" s="11"/>
      <c r="J437" s="11"/>
      <c r="K437" s="11"/>
    </row>
    <row r="439" spans="1:185" x14ac:dyDescent="0.3">
      <c r="A439" s="38"/>
      <c r="B439" s="16" t="s">
        <v>122</v>
      </c>
      <c r="C439" s="20">
        <v>10</v>
      </c>
      <c r="D439" s="18" t="s">
        <v>4</v>
      </c>
      <c r="I439" s="42" t="s">
        <v>50</v>
      </c>
      <c r="U439" s="2" t="s">
        <v>125</v>
      </c>
    </row>
    <row r="440" spans="1:185" x14ac:dyDescent="0.3">
      <c r="A440" s="18"/>
      <c r="B440" s="40" t="s">
        <v>51</v>
      </c>
      <c r="C440" s="100">
        <v>5</v>
      </c>
      <c r="D440" s="4" t="s">
        <v>4</v>
      </c>
      <c r="E440" s="18"/>
      <c r="F440" s="18"/>
      <c r="G440" s="18"/>
      <c r="I440" s="16" t="s">
        <v>74</v>
      </c>
      <c r="J440" s="4" t="str">
        <f ca="1">[1]!xlv(J442)</f>
        <v>(Iₓ / A)⁰·⁵</v>
      </c>
    </row>
    <row r="441" spans="1:185" x14ac:dyDescent="0.3">
      <c r="A441" s="18"/>
      <c r="B441" s="40" t="s">
        <v>83</v>
      </c>
      <c r="C441" s="100">
        <v>0.25</v>
      </c>
      <c r="D441" s="4" t="s">
        <v>4</v>
      </c>
      <c r="I441" s="16" t="s">
        <v>74</v>
      </c>
      <c r="J441" s="4" t="str">
        <f>[1]!xln(J442)</f>
        <v>(40 / 3.69)⁰·⁵</v>
      </c>
      <c r="U441" s="50"/>
    </row>
    <row r="442" spans="1:185" x14ac:dyDescent="0.3">
      <c r="A442" s="18"/>
      <c r="I442" s="16" t="s">
        <v>74</v>
      </c>
      <c r="J442" s="43">
        <f>(C463/C449)^0.5</f>
        <v>3.2924303687293301</v>
      </c>
      <c r="K442" s="18" t="s">
        <v>4</v>
      </c>
    </row>
    <row r="443" spans="1:185" x14ac:dyDescent="0.3">
      <c r="A443" s="18"/>
      <c r="B443" s="40"/>
      <c r="C443" s="41"/>
    </row>
    <row r="444" spans="1:185" x14ac:dyDescent="0.3">
      <c r="A444" s="18"/>
      <c r="B444" s="18"/>
      <c r="I444" s="16" t="s">
        <v>75</v>
      </c>
      <c r="J444" s="4" t="str">
        <f ca="1">[1]!xlv(J446)</f>
        <v>(Iᵧ / A)⁰·⁵</v>
      </c>
      <c r="U444" s="50"/>
    </row>
    <row r="445" spans="1:185" x14ac:dyDescent="0.3">
      <c r="A445" s="18"/>
      <c r="I445" s="16" t="s">
        <v>75</v>
      </c>
      <c r="J445" s="4" t="str">
        <f>[1]!xln(J446)</f>
        <v>(7.28 / 3.69)⁰·⁵</v>
      </c>
    </row>
    <row r="446" spans="1:185" x14ac:dyDescent="0.3">
      <c r="A446" s="11"/>
      <c r="B446" s="39" t="s">
        <v>29</v>
      </c>
      <c r="I446" s="16" t="s">
        <v>75</v>
      </c>
      <c r="J446" s="25">
        <f>(C467/C449)^0.5</f>
        <v>1.4048388908349361</v>
      </c>
      <c r="K446" s="18" t="s">
        <v>4</v>
      </c>
    </row>
    <row r="447" spans="1:185" x14ac:dyDescent="0.3">
      <c r="B447" s="16" t="s">
        <v>32</v>
      </c>
      <c r="C447" s="4" t="str">
        <f ca="1">[1]!xlv(C449)</f>
        <v>t × (d + b - t)</v>
      </c>
    </row>
    <row r="448" spans="1:185" x14ac:dyDescent="0.3">
      <c r="B448" s="16" t="s">
        <v>32</v>
      </c>
      <c r="C448" s="4" t="str">
        <f>[1]!xln(C449)</f>
        <v>0.25 × (10 + 5 - 0.25)</v>
      </c>
      <c r="D448" s="11"/>
    </row>
    <row r="449" spans="2:21" x14ac:dyDescent="0.3">
      <c r="B449" s="16" t="s">
        <v>32</v>
      </c>
      <c r="C449" s="17">
        <f>C441*(C439+C440-C441)</f>
        <v>3.6875</v>
      </c>
      <c r="D449" s="18" t="s">
        <v>68</v>
      </c>
    </row>
    <row r="451" spans="2:21" x14ac:dyDescent="0.3">
      <c r="B451" s="39" t="s">
        <v>120</v>
      </c>
      <c r="U451" s="50"/>
    </row>
    <row r="452" spans="2:21" x14ac:dyDescent="0.3">
      <c r="B452" s="40" t="s">
        <v>25</v>
      </c>
      <c r="C452" s="4" t="str">
        <f ca="1">[1]!xlv(C454)</f>
        <v>(b² + d × t - t²) / (2 × (b + d - t))</v>
      </c>
    </row>
    <row r="453" spans="2:21" x14ac:dyDescent="0.3">
      <c r="B453" s="40" t="s">
        <v>25</v>
      </c>
      <c r="C453" s="4" t="str">
        <f>[1]!xln(C454)</f>
        <v>(5² + 10 × 0.25 - 0.25²) / (2 × (5 + 10 - 0.25))</v>
      </c>
    </row>
    <row r="454" spans="2:21" x14ac:dyDescent="0.3">
      <c r="B454" s="40" t="s">
        <v>25</v>
      </c>
      <c r="C454" s="25">
        <f>(C440^2+C439*C441-C441^2)/(2*(C440+C439-C441))</f>
        <v>0.93008474576271183</v>
      </c>
      <c r="D454" s="4" t="s">
        <v>4</v>
      </c>
    </row>
    <row r="455" spans="2:21" x14ac:dyDescent="0.3">
      <c r="H455" s="40"/>
      <c r="I455" s="25"/>
    </row>
    <row r="456" spans="2:21" x14ac:dyDescent="0.3">
      <c r="B456" s="40" t="s">
        <v>27</v>
      </c>
      <c r="C456" s="4" t="str">
        <f ca="1">[1]!xlv(C458)</f>
        <v>(d² + b × t - t²) / (2 × (b + d - t))</v>
      </c>
    </row>
    <row r="457" spans="2:21" x14ac:dyDescent="0.3">
      <c r="B457" s="40" t="s">
        <v>27</v>
      </c>
      <c r="C457" s="4" t="str">
        <f>[1]!xln(C458)</f>
        <v>(10² + 5 × 0.25 - 0.25²) / (2 × (5 + 10 - 0.25))</v>
      </c>
    </row>
    <row r="458" spans="2:21" x14ac:dyDescent="0.3">
      <c r="B458" s="40" t="s">
        <v>27</v>
      </c>
      <c r="C458" s="25">
        <f>(C439^2+C440*C441-C441^2)/(2*(C440+C439-C441))</f>
        <v>3.4300847457627119</v>
      </c>
      <c r="D458" s="4" t="s">
        <v>4</v>
      </c>
    </row>
    <row r="460" spans="2:21" x14ac:dyDescent="0.3">
      <c r="B460" s="39" t="s">
        <v>30</v>
      </c>
    </row>
    <row r="461" spans="2:21" x14ac:dyDescent="0.3">
      <c r="B461" s="16" t="s">
        <v>72</v>
      </c>
      <c r="C461" s="4" t="str">
        <f ca="1">[1]!xlv(C463)</f>
        <v>(1 / 3) × (b × d³ - (b - t) × (d - t)³) - A × (d - ẏ)²</v>
      </c>
    </row>
    <row r="462" spans="2:21" x14ac:dyDescent="0.3">
      <c r="B462" s="16" t="s">
        <v>72</v>
      </c>
      <c r="C462" s="4" t="str">
        <f>[1]!xln(C463)</f>
        <v>(1 / 3) × (5 × 10³ - (5 - 0.25) × (10 - 0.25)³) - 3.69 × (10 - 3.43)²</v>
      </c>
    </row>
    <row r="463" spans="2:21" x14ac:dyDescent="0.3">
      <c r="B463" s="16" t="s">
        <v>72</v>
      </c>
      <c r="C463" s="17">
        <f>(1/3)*(C440*C439^3-(C440-C441)*(C439-C441)^3)-C449*(C439-C458)^2</f>
        <v>39.972860390183627</v>
      </c>
      <c r="D463" s="18" t="s">
        <v>69</v>
      </c>
    </row>
    <row r="465" spans="1:10" x14ac:dyDescent="0.3">
      <c r="B465" s="40" t="s">
        <v>73</v>
      </c>
      <c r="C465" s="4" t="str">
        <f ca="1">[1]!xlv(C467)</f>
        <v>(1 / 3) × (d × b³ - (d - t) × (b - t)³) - A × (b - ẋ)²</v>
      </c>
    </row>
    <row r="466" spans="1:10" x14ac:dyDescent="0.3">
      <c r="B466" s="40" t="s">
        <v>73</v>
      </c>
      <c r="C466" s="4" t="str">
        <f>[1]!xln(C467)</f>
        <v>(1 / 3) × (10 × 5³ - (10 - 0.25) × (5 - 0.25)³) - 3.69 × (5 - 0.93)²</v>
      </c>
    </row>
    <row r="467" spans="1:10" x14ac:dyDescent="0.3">
      <c r="B467" s="40" t="s">
        <v>73</v>
      </c>
      <c r="C467" s="46">
        <f>(1/3)*(C439*C440^3-(C439-C441)*(C440-C441)^3)-C449*(C440-C454)^2</f>
        <v>7.2775478901836053</v>
      </c>
      <c r="D467" s="18" t="s">
        <v>69</v>
      </c>
    </row>
    <row r="468" spans="1:10" x14ac:dyDescent="0.3">
      <c r="A468" s="11"/>
      <c r="B468" s="16"/>
      <c r="C468" s="99"/>
      <c r="D468" s="99"/>
      <c r="E468" s="99"/>
      <c r="F468" s="99"/>
      <c r="G468" s="16"/>
      <c r="H468" s="99"/>
      <c r="I468" s="99"/>
      <c r="J468" s="99"/>
    </row>
    <row r="469" spans="1:10" x14ac:dyDescent="0.3">
      <c r="A469" s="11"/>
      <c r="B469" s="16" t="s">
        <v>87</v>
      </c>
      <c r="C469" s="4" t="str">
        <f ca="1">[1]!xlv(C471)</f>
        <v>Iᵧ + Iₓ</v>
      </c>
      <c r="E469" s="99"/>
      <c r="F469" s="99"/>
      <c r="G469" s="16"/>
      <c r="H469" s="99"/>
      <c r="I469" s="99"/>
      <c r="J469" s="99"/>
    </row>
    <row r="470" spans="1:10" x14ac:dyDescent="0.3">
      <c r="B470" s="16" t="s">
        <v>87</v>
      </c>
      <c r="C470" s="4" t="str">
        <f>[1]!xln(C471)</f>
        <v>7.28 + 40</v>
      </c>
      <c r="E470" s="99"/>
      <c r="F470" s="99"/>
      <c r="G470" s="16"/>
      <c r="H470" s="99"/>
      <c r="I470" s="99"/>
      <c r="J470" s="99"/>
    </row>
    <row r="471" spans="1:10" x14ac:dyDescent="0.3">
      <c r="B471" s="16" t="s">
        <v>87</v>
      </c>
      <c r="C471" s="17">
        <f>C467+C463</f>
        <v>47.250408280367232</v>
      </c>
      <c r="D471" s="18" t="s">
        <v>69</v>
      </c>
    </row>
    <row r="472" spans="1:10" x14ac:dyDescent="0.3">
      <c r="B472" s="16"/>
      <c r="C472" s="99"/>
      <c r="D472" s="99"/>
      <c r="E472" s="99"/>
      <c r="F472" s="99"/>
      <c r="G472" s="16"/>
    </row>
    <row r="473" spans="1:10" x14ac:dyDescent="0.3">
      <c r="B473" s="16"/>
      <c r="C473" s="99"/>
      <c r="D473" s="99"/>
      <c r="E473" s="99"/>
      <c r="F473" s="99"/>
      <c r="G473" s="16"/>
    </row>
    <row r="474" spans="1:10" x14ac:dyDescent="0.3">
      <c r="B474" s="16"/>
      <c r="C474" s="99"/>
      <c r="D474" s="99"/>
      <c r="E474" s="99"/>
      <c r="F474" s="99"/>
      <c r="G474" s="16"/>
      <c r="H474" s="25"/>
    </row>
    <row r="476" spans="1:10" x14ac:dyDescent="0.3">
      <c r="B476" s="40"/>
    </row>
    <row r="477" spans="1:10" x14ac:dyDescent="0.3">
      <c r="B477" s="16"/>
      <c r="C477" s="99"/>
      <c r="D477" s="99"/>
    </row>
    <row r="478" spans="1:10" x14ac:dyDescent="0.3">
      <c r="B478" s="16"/>
      <c r="C478" s="99"/>
      <c r="G478" s="101"/>
      <c r="H478" s="99"/>
      <c r="I478" s="46"/>
    </row>
    <row r="479" spans="1:10" x14ac:dyDescent="0.3">
      <c r="E479" s="99"/>
      <c r="F479" s="99"/>
    </row>
    <row r="480" spans="1:10" x14ac:dyDescent="0.3">
      <c r="E480" s="99"/>
      <c r="F480" s="99"/>
    </row>
    <row r="481" spans="1:185" x14ac:dyDescent="0.3">
      <c r="A481" s="12"/>
      <c r="B481" s="3"/>
      <c r="C481" s="86"/>
      <c r="D481" s="12"/>
      <c r="E481" s="12"/>
      <c r="F481" s="12"/>
      <c r="G481" s="86"/>
      <c r="H481" s="12"/>
      <c r="I481" s="12"/>
      <c r="J481" s="12"/>
      <c r="K481" s="12"/>
    </row>
    <row r="482" spans="1:185" x14ac:dyDescent="0.3">
      <c r="A482" s="12"/>
      <c r="B482" s="87"/>
      <c r="C482" s="86"/>
      <c r="D482" s="88"/>
      <c r="E482" s="88"/>
      <c r="F482" s="89" t="s">
        <v>161</v>
      </c>
      <c r="G482" s="86"/>
      <c r="H482" s="88"/>
      <c r="I482" s="88"/>
      <c r="J482" s="88"/>
      <c r="K482" s="12"/>
    </row>
    <row r="483" spans="1:185" x14ac:dyDescent="0.3">
      <c r="A483" s="12"/>
      <c r="B483" s="88"/>
      <c r="C483" s="88"/>
      <c r="D483" s="88"/>
      <c r="E483" s="88"/>
      <c r="F483" s="104" t="s">
        <v>162</v>
      </c>
      <c r="G483" s="88"/>
      <c r="H483" s="88"/>
      <c r="I483" s="88"/>
      <c r="J483" s="88"/>
      <c r="K483" s="12"/>
    </row>
    <row r="484" spans="1:185" x14ac:dyDescent="0.3">
      <c r="A484" s="67"/>
      <c r="B484" s="58"/>
      <c r="C484" s="58"/>
      <c r="D484" s="58"/>
      <c r="E484" s="60" t="s">
        <v>5</v>
      </c>
      <c r="F484" s="61" t="str">
        <f>$C$1</f>
        <v>R. Abbott</v>
      </c>
      <c r="G484" s="58"/>
      <c r="H484" s="68"/>
      <c r="I484" s="60" t="s">
        <v>10</v>
      </c>
      <c r="J484" s="69" t="str">
        <f>$G$2</f>
        <v>AA-SM-001-000</v>
      </c>
      <c r="K484" s="70"/>
      <c r="L484" s="71"/>
      <c r="M484" s="62"/>
      <c r="N484" s="62"/>
      <c r="O484" s="62"/>
      <c r="P484" s="5"/>
      <c r="AD484" s="8"/>
    </row>
    <row r="485" spans="1:185" s="10" customFormat="1" x14ac:dyDescent="0.3">
      <c r="A485" s="58"/>
      <c r="B485" s="58"/>
      <c r="C485" s="58"/>
      <c r="D485" s="58"/>
      <c r="E485" s="60" t="s">
        <v>6</v>
      </c>
      <c r="F485" s="68" t="str">
        <f>$C$2</f>
        <v xml:space="preserve"> </v>
      </c>
      <c r="G485" s="58"/>
      <c r="H485" s="68"/>
      <c r="I485" s="60" t="s">
        <v>11</v>
      </c>
      <c r="J485" s="70" t="str">
        <f>$G$3</f>
        <v>A</v>
      </c>
      <c r="K485" s="70"/>
      <c r="L485" s="71"/>
      <c r="M485" s="62">
        <v>1</v>
      </c>
      <c r="N485" s="62"/>
      <c r="O485" s="62"/>
      <c r="P485" s="5"/>
      <c r="Q485" s="9"/>
      <c r="R485" s="7"/>
      <c r="S485" s="7"/>
      <c r="T485" s="2"/>
      <c r="U485" s="2"/>
      <c r="V485" s="2"/>
      <c r="W485" s="2"/>
      <c r="X485" s="2"/>
      <c r="Y485" s="2"/>
      <c r="Z485" s="2"/>
      <c r="AA485" s="2"/>
      <c r="AB485" s="2"/>
      <c r="AC485" s="2"/>
      <c r="AD485" s="2"/>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row>
    <row r="486" spans="1:185" x14ac:dyDescent="0.3">
      <c r="A486" s="58"/>
      <c r="B486" s="58"/>
      <c r="C486" s="58"/>
      <c r="D486" s="58"/>
      <c r="E486" s="60" t="s">
        <v>1</v>
      </c>
      <c r="F486" s="68" t="str">
        <f>$C$3</f>
        <v>20/10/2013</v>
      </c>
      <c r="G486" s="58"/>
      <c r="H486" s="68"/>
      <c r="I486" s="60" t="s">
        <v>12</v>
      </c>
      <c r="J486" s="61" t="str">
        <f>L486&amp;" of "&amp;$G$1</f>
        <v>10 of 20</v>
      </c>
      <c r="K486" s="68"/>
      <c r="L486" s="71">
        <f>SUM($M$1:M485)</f>
        <v>10</v>
      </c>
      <c r="M486" s="62"/>
      <c r="N486" s="62"/>
      <c r="O486" s="62"/>
      <c r="P486" s="5"/>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2"/>
      <c r="FH486" s="2"/>
      <c r="FI486" s="2"/>
      <c r="FJ486" s="2"/>
      <c r="FK486" s="2"/>
      <c r="FL486" s="2"/>
      <c r="FM486" s="2"/>
      <c r="FN486" s="2"/>
      <c r="FO486" s="2"/>
      <c r="FP486" s="2"/>
      <c r="FQ486" s="2"/>
      <c r="FR486" s="2"/>
      <c r="FS486" s="2"/>
      <c r="FT486" s="2"/>
      <c r="FU486" s="2"/>
      <c r="FV486" s="2"/>
      <c r="FW486" s="2"/>
      <c r="FX486" s="2"/>
      <c r="FY486" s="2"/>
      <c r="FZ486" s="2"/>
      <c r="GA486" s="2"/>
      <c r="GB486" s="2"/>
      <c r="GC486" s="2"/>
    </row>
    <row r="487" spans="1:185" x14ac:dyDescent="0.3">
      <c r="A487" s="58"/>
      <c r="B487" s="58"/>
      <c r="C487" s="58"/>
      <c r="D487" s="58"/>
      <c r="E487" s="60" t="s">
        <v>106</v>
      </c>
      <c r="F487" s="68" t="str">
        <f>$C$5</f>
        <v>STANDARD SPREADSHEET METHOD</v>
      </c>
      <c r="G487" s="58"/>
      <c r="H487" s="58"/>
      <c r="I487" s="72"/>
      <c r="J487" s="61"/>
      <c r="K487" s="58"/>
      <c r="L487" s="58"/>
      <c r="M487" s="62"/>
      <c r="N487" s="62"/>
      <c r="O487" s="62"/>
      <c r="P487" s="5"/>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c r="FE487" s="2"/>
      <c r="FF487" s="2"/>
      <c r="FG487" s="2"/>
      <c r="FH487" s="2"/>
      <c r="FI487" s="2"/>
      <c r="FJ487" s="2"/>
      <c r="FK487" s="2"/>
      <c r="FL487" s="2"/>
      <c r="FM487" s="2"/>
      <c r="FN487" s="2"/>
      <c r="FO487" s="2"/>
      <c r="FP487" s="2"/>
      <c r="FQ487" s="2"/>
      <c r="FR487" s="2"/>
      <c r="FS487" s="2"/>
      <c r="FT487" s="2"/>
      <c r="FU487" s="2"/>
      <c r="FV487" s="2"/>
      <c r="FW487" s="2"/>
      <c r="FX487" s="2"/>
      <c r="FY487" s="2"/>
      <c r="FZ487" s="2"/>
      <c r="GA487" s="2"/>
      <c r="GB487" s="2"/>
      <c r="GC487" s="2"/>
    </row>
    <row r="488" spans="1:185" ht="15.6" x14ac:dyDescent="0.3">
      <c r="A488" s="12"/>
      <c r="B488" s="74" t="str">
        <f>$G$4</f>
        <v>SECTION PROPERTIES</v>
      </c>
      <c r="C488" s="12"/>
      <c r="D488" s="12"/>
      <c r="E488" s="12"/>
      <c r="F488" s="12"/>
      <c r="G488" s="12"/>
      <c r="H488" s="12"/>
      <c r="I488" s="12"/>
      <c r="J488" s="12"/>
      <c r="K488" s="1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c r="FE488" s="2"/>
      <c r="FF488" s="2"/>
      <c r="FG488" s="2"/>
      <c r="FH488" s="2"/>
      <c r="FI488" s="2"/>
      <c r="FJ488" s="2"/>
      <c r="FK488" s="2"/>
      <c r="FL488" s="2"/>
      <c r="FM488" s="2"/>
      <c r="FN488" s="2"/>
      <c r="FO488" s="2"/>
      <c r="FP488" s="2"/>
      <c r="FQ488" s="2"/>
      <c r="FR488" s="2"/>
      <c r="FS488" s="2"/>
      <c r="FT488" s="2"/>
      <c r="FU488" s="2"/>
      <c r="FV488" s="2"/>
      <c r="FW488" s="2"/>
      <c r="FX488" s="2"/>
      <c r="FY488" s="2"/>
      <c r="FZ488" s="2"/>
      <c r="GA488" s="2"/>
      <c r="GB488" s="2"/>
      <c r="GC488" s="2"/>
    </row>
    <row r="489" spans="1:185" x14ac:dyDescent="0.3">
      <c r="A489" s="54"/>
      <c r="B489" s="85"/>
      <c r="C489" s="54"/>
      <c r="D489" s="54"/>
      <c r="E489" s="54"/>
    </row>
    <row r="490" spans="1:185" x14ac:dyDescent="0.3">
      <c r="A490" s="11"/>
      <c r="B490" s="19" t="s">
        <v>148</v>
      </c>
      <c r="C490" s="11"/>
      <c r="D490" s="15"/>
      <c r="E490" s="11"/>
      <c r="F490" s="11"/>
      <c r="G490" s="11"/>
      <c r="H490" s="11"/>
      <c r="I490" s="11"/>
      <c r="J490" s="11"/>
      <c r="K490" s="11"/>
    </row>
    <row r="492" spans="1:185" x14ac:dyDescent="0.3">
      <c r="A492" s="38"/>
      <c r="B492" s="16" t="s">
        <v>81</v>
      </c>
      <c r="C492" s="20">
        <v>5</v>
      </c>
      <c r="D492" s="18" t="s">
        <v>4</v>
      </c>
      <c r="I492" s="42" t="s">
        <v>50</v>
      </c>
      <c r="U492" s="2" t="s">
        <v>125</v>
      </c>
    </row>
    <row r="493" spans="1:185" x14ac:dyDescent="0.3">
      <c r="A493" s="18"/>
      <c r="B493" s="40"/>
      <c r="C493" s="100"/>
      <c r="E493" s="18"/>
      <c r="F493" s="18"/>
      <c r="G493" s="18"/>
      <c r="I493" s="16" t="s">
        <v>74</v>
      </c>
      <c r="J493" s="4" t="str">
        <f ca="1">[1]!xlv(J495)</f>
        <v>(Iₓ / A)⁰·⁵</v>
      </c>
    </row>
    <row r="494" spans="1:185" x14ac:dyDescent="0.3">
      <c r="A494" s="18"/>
      <c r="B494" s="40"/>
      <c r="C494" s="100"/>
      <c r="I494" s="16" t="s">
        <v>74</v>
      </c>
      <c r="J494" s="4" t="str">
        <f>[1]!xln(J495)</f>
        <v>(11.3 / 10.8)⁰·⁵</v>
      </c>
      <c r="U494" s="50"/>
    </row>
    <row r="495" spans="1:185" x14ac:dyDescent="0.3">
      <c r="A495" s="18"/>
      <c r="I495" s="16" t="s">
        <v>74</v>
      </c>
      <c r="J495" s="43">
        <f>(C512/C502)^0.5</f>
        <v>1.0205735832359548</v>
      </c>
      <c r="K495" s="18" t="s">
        <v>4</v>
      </c>
    </row>
    <row r="496" spans="1:185" x14ac:dyDescent="0.3">
      <c r="A496" s="18"/>
      <c r="B496" s="40"/>
      <c r="C496" s="41"/>
      <c r="J496" s="25"/>
    </row>
    <row r="497" spans="1:21" x14ac:dyDescent="0.3">
      <c r="A497" s="18"/>
      <c r="B497" s="18"/>
      <c r="I497" s="16" t="s">
        <v>75</v>
      </c>
      <c r="J497" s="25" t="str">
        <f ca="1">[1]!xlv(J499)</f>
        <v>(Iᵧ / A)⁰·⁵</v>
      </c>
      <c r="U497" s="50"/>
    </row>
    <row r="498" spans="1:21" x14ac:dyDescent="0.3">
      <c r="A498" s="18"/>
      <c r="I498" s="16" t="s">
        <v>75</v>
      </c>
      <c r="J498" s="25" t="str">
        <f>[1]!xln(J499)</f>
        <v>(11.3 / 10.8)⁰·⁵</v>
      </c>
    </row>
    <row r="499" spans="1:21" x14ac:dyDescent="0.3">
      <c r="A499" s="11"/>
      <c r="B499" s="39" t="s">
        <v>29</v>
      </c>
      <c r="I499" s="16" t="s">
        <v>75</v>
      </c>
      <c r="J499" s="25">
        <f>(F512/C502)^0.5</f>
        <v>1.0205735832359548</v>
      </c>
      <c r="K499" s="18" t="s">
        <v>4</v>
      </c>
    </row>
    <row r="500" spans="1:21" x14ac:dyDescent="0.3">
      <c r="B500" s="16" t="s">
        <v>32</v>
      </c>
      <c r="C500" s="4" t="str">
        <f ca="1">[1]!xlv(C502)</f>
        <v>0.433 × a²</v>
      </c>
    </row>
    <row r="501" spans="1:21" x14ac:dyDescent="0.3">
      <c r="B501" s="16" t="s">
        <v>32</v>
      </c>
      <c r="C501" s="4" t="str">
        <f>[1]!xln(C502)</f>
        <v>0.433 × 5²</v>
      </c>
      <c r="D501" s="11"/>
    </row>
    <row r="502" spans="1:21" x14ac:dyDescent="0.3">
      <c r="B502" s="16" t="s">
        <v>32</v>
      </c>
      <c r="C502" s="17">
        <f>0.433*C492^2</f>
        <v>10.824999999999999</v>
      </c>
      <c r="D502" s="18" t="s">
        <v>68</v>
      </c>
    </row>
    <row r="504" spans="1:21" x14ac:dyDescent="0.3">
      <c r="B504" s="39" t="s">
        <v>120</v>
      </c>
      <c r="U504" s="50"/>
    </row>
    <row r="505" spans="1:21" x14ac:dyDescent="0.3">
      <c r="B505" s="40" t="s">
        <v>25</v>
      </c>
      <c r="C505" s="4" t="str">
        <f ca="1">[1]!xlv(C507)</f>
        <v>0.5 × a</v>
      </c>
      <c r="E505" s="40" t="s">
        <v>27</v>
      </c>
      <c r="F505" s="4" t="str">
        <f ca="1">[1]!xlv(F507)</f>
        <v>0.577 × a</v>
      </c>
    </row>
    <row r="506" spans="1:21" x14ac:dyDescent="0.3">
      <c r="B506" s="40" t="s">
        <v>25</v>
      </c>
      <c r="C506" s="4" t="str">
        <f>[1]!xln(C507)</f>
        <v>0.5 × 5</v>
      </c>
      <c r="E506" s="40" t="s">
        <v>27</v>
      </c>
      <c r="F506" s="4" t="str">
        <f>[1]!xln(F507)</f>
        <v>0.577 × 5</v>
      </c>
    </row>
    <row r="507" spans="1:21" x14ac:dyDescent="0.3">
      <c r="B507" s="40" t="s">
        <v>25</v>
      </c>
      <c r="C507" s="25">
        <f>0.5*C492</f>
        <v>2.5</v>
      </c>
      <c r="D507" s="4" t="s">
        <v>4</v>
      </c>
      <c r="E507" s="40" t="s">
        <v>27</v>
      </c>
      <c r="F507" s="25">
        <f>0.5774*C492</f>
        <v>2.887</v>
      </c>
      <c r="G507" s="4" t="s">
        <v>4</v>
      </c>
    </row>
    <row r="508" spans="1:21" x14ac:dyDescent="0.3">
      <c r="H508" s="40"/>
      <c r="I508" s="25"/>
    </row>
    <row r="509" spans="1:21" x14ac:dyDescent="0.3">
      <c r="B509" s="39" t="s">
        <v>30</v>
      </c>
    </row>
    <row r="510" spans="1:21" x14ac:dyDescent="0.3">
      <c r="B510" s="16" t="s">
        <v>72</v>
      </c>
      <c r="C510" s="4" t="str">
        <f ca="1">[1]!xlv(C512)</f>
        <v>0.018 × a⁴</v>
      </c>
      <c r="E510" s="40" t="s">
        <v>149</v>
      </c>
      <c r="F510" s="4" t="str">
        <f ca="1">[1]!xlv(F512)</f>
        <v>0.018 × a⁴</v>
      </c>
      <c r="H510" s="16" t="s">
        <v>87</v>
      </c>
      <c r="I510" s="4" t="str">
        <f ca="1">[1]!xlv(I512)</f>
        <v>Iₓ + Iᵧ</v>
      </c>
    </row>
    <row r="511" spans="1:21" x14ac:dyDescent="0.3">
      <c r="B511" s="16" t="s">
        <v>72</v>
      </c>
      <c r="C511" s="4" t="str">
        <f>[1]!xln(C512)</f>
        <v>0.018 × 5⁴</v>
      </c>
      <c r="E511" s="40" t="s">
        <v>149</v>
      </c>
      <c r="F511" s="4" t="str">
        <f>[1]!xln(F512)</f>
        <v>0.018 × 5⁴</v>
      </c>
      <c r="H511" s="16" t="s">
        <v>87</v>
      </c>
      <c r="I511" s="4" t="str">
        <f>[1]!xln(I512)</f>
        <v>11.3 + 11.3</v>
      </c>
    </row>
    <row r="512" spans="1:21" x14ac:dyDescent="0.3">
      <c r="B512" s="16" t="s">
        <v>72</v>
      </c>
      <c r="C512" s="43">
        <f>0.01804*C492^4</f>
        <v>11.275</v>
      </c>
      <c r="D512" s="102" t="s">
        <v>69</v>
      </c>
      <c r="E512" s="103" t="s">
        <v>149</v>
      </c>
      <c r="F512" s="43">
        <f>0.01804*C492^4</f>
        <v>11.275</v>
      </c>
      <c r="G512" s="102" t="s">
        <v>69</v>
      </c>
      <c r="H512" s="43" t="s">
        <v>87</v>
      </c>
      <c r="I512" s="43">
        <f>C512+F512</f>
        <v>22.55</v>
      </c>
      <c r="J512" s="18" t="s">
        <v>69</v>
      </c>
    </row>
    <row r="514" spans="1:10" x14ac:dyDescent="0.3">
      <c r="B514" s="39" t="s">
        <v>116</v>
      </c>
    </row>
    <row r="515" spans="1:10" x14ac:dyDescent="0.3">
      <c r="B515" s="16" t="s">
        <v>117</v>
      </c>
      <c r="C515" s="99" t="str">
        <f ca="1">[1]!xlv(C517)</f>
        <v>0.0732 × a³</v>
      </c>
      <c r="D515" s="99"/>
      <c r="E515" s="99"/>
      <c r="F515" s="99"/>
      <c r="G515" s="40" t="s">
        <v>118</v>
      </c>
      <c r="H515" s="4" t="str">
        <f ca="1">[1]!xlv(H517)</f>
        <v>0.0722 × a³</v>
      </c>
    </row>
    <row r="516" spans="1:10" x14ac:dyDescent="0.3">
      <c r="A516" s="11"/>
      <c r="B516" s="16" t="s">
        <v>117</v>
      </c>
      <c r="C516" s="99" t="str">
        <f>[1]!xln(C517)</f>
        <v>0.0732 × 5³</v>
      </c>
      <c r="D516" s="99"/>
      <c r="E516" s="99"/>
      <c r="F516" s="99"/>
      <c r="G516" s="40" t="s">
        <v>118</v>
      </c>
      <c r="H516" s="4" t="str">
        <f>[1]!xln(H517)</f>
        <v>0.0722 × 5³</v>
      </c>
    </row>
    <row r="517" spans="1:10" x14ac:dyDescent="0.3">
      <c r="A517" s="11"/>
      <c r="B517" s="16" t="s">
        <v>117</v>
      </c>
      <c r="C517" s="99">
        <f>0.0732*C492^3</f>
        <v>9.15</v>
      </c>
      <c r="D517" s="99" t="s">
        <v>44</v>
      </c>
      <c r="E517" s="99"/>
      <c r="F517" s="99"/>
      <c r="G517" s="40" t="s">
        <v>118</v>
      </c>
      <c r="H517" s="25">
        <f>0.0722*C492^3</f>
        <v>9.0250000000000004</v>
      </c>
      <c r="I517" s="4" t="s">
        <v>44</v>
      </c>
    </row>
    <row r="518" spans="1:10" x14ac:dyDescent="0.3">
      <c r="E518" s="99"/>
      <c r="F518" s="99"/>
      <c r="G518" s="16"/>
      <c r="H518" s="99"/>
      <c r="I518" s="99"/>
      <c r="J518" s="99"/>
    </row>
    <row r="519" spans="1:10" x14ac:dyDescent="0.3">
      <c r="B519" s="16" t="s">
        <v>129</v>
      </c>
      <c r="C519" s="99">
        <v>2.343</v>
      </c>
      <c r="D519" s="99"/>
      <c r="G519" s="101" t="s">
        <v>132</v>
      </c>
      <c r="H519" s="99">
        <v>2</v>
      </c>
      <c r="I519" s="46"/>
    </row>
    <row r="525" spans="1:10" x14ac:dyDescent="0.3">
      <c r="B525" s="16"/>
      <c r="C525" s="99"/>
      <c r="D525" s="99"/>
      <c r="G525" s="101"/>
      <c r="H525" s="99"/>
      <c r="I525" s="46"/>
    </row>
    <row r="527" spans="1:10" x14ac:dyDescent="0.3">
      <c r="B527" s="16"/>
      <c r="C527" s="99"/>
      <c r="D527" s="99"/>
      <c r="E527" s="99"/>
      <c r="F527" s="99"/>
      <c r="G527" s="16"/>
      <c r="H527" s="25"/>
    </row>
    <row r="529" spans="1:185" x14ac:dyDescent="0.3">
      <c r="B529" s="40"/>
    </row>
    <row r="530" spans="1:185" x14ac:dyDescent="0.3">
      <c r="B530" s="16"/>
      <c r="C530" s="99"/>
      <c r="D530" s="99"/>
    </row>
    <row r="531" spans="1:185" x14ac:dyDescent="0.3">
      <c r="B531" s="16"/>
      <c r="C531" s="99"/>
      <c r="G531" s="101"/>
      <c r="H531" s="99"/>
      <c r="I531" s="46"/>
    </row>
    <row r="532" spans="1:185" x14ac:dyDescent="0.3">
      <c r="E532" s="99"/>
      <c r="F532" s="99"/>
    </row>
    <row r="533" spans="1:185" x14ac:dyDescent="0.3">
      <c r="E533" s="99"/>
      <c r="F533" s="99"/>
    </row>
    <row r="534" spans="1:185" x14ac:dyDescent="0.3">
      <c r="A534" s="12"/>
      <c r="B534" s="3"/>
      <c r="C534" s="86"/>
      <c r="D534" s="12"/>
      <c r="E534" s="12"/>
      <c r="F534" s="12"/>
      <c r="G534" s="86"/>
      <c r="H534" s="12"/>
      <c r="I534" s="12"/>
      <c r="J534" s="12"/>
      <c r="K534" s="12"/>
    </row>
    <row r="535" spans="1:185" x14ac:dyDescent="0.3">
      <c r="A535" s="12"/>
      <c r="B535" s="87"/>
      <c r="C535" s="86"/>
      <c r="D535" s="88"/>
      <c r="E535" s="88"/>
      <c r="F535" s="89" t="s">
        <v>161</v>
      </c>
      <c r="G535" s="86"/>
      <c r="H535" s="88"/>
      <c r="I535" s="88"/>
      <c r="J535" s="88"/>
      <c r="K535" s="12"/>
    </row>
    <row r="536" spans="1:185" x14ac:dyDescent="0.3">
      <c r="A536" s="12"/>
      <c r="B536" s="88"/>
      <c r="C536" s="88"/>
      <c r="D536" s="88"/>
      <c r="E536" s="88"/>
      <c r="F536" s="104" t="s">
        <v>162</v>
      </c>
      <c r="G536" s="88"/>
      <c r="H536" s="88"/>
      <c r="I536" s="88"/>
      <c r="J536" s="88"/>
      <c r="K536" s="12"/>
    </row>
    <row r="537" spans="1:185" x14ac:dyDescent="0.3">
      <c r="A537" s="67"/>
      <c r="B537" s="58"/>
      <c r="C537" s="58"/>
      <c r="D537" s="58"/>
      <c r="E537" s="60" t="s">
        <v>5</v>
      </c>
      <c r="F537" s="61" t="str">
        <f>$C$1</f>
        <v>R. Abbott</v>
      </c>
      <c r="G537" s="58"/>
      <c r="H537" s="68"/>
      <c r="I537" s="60" t="s">
        <v>10</v>
      </c>
      <c r="J537" s="69" t="str">
        <f>$G$2</f>
        <v>AA-SM-001-000</v>
      </c>
      <c r="K537" s="70"/>
      <c r="L537" s="71"/>
      <c r="M537" s="62"/>
      <c r="N537" s="62"/>
      <c r="O537" s="62"/>
      <c r="P537" s="5"/>
      <c r="AD537" s="8"/>
    </row>
    <row r="538" spans="1:185" s="10" customFormat="1" x14ac:dyDescent="0.3">
      <c r="A538" s="58"/>
      <c r="B538" s="58"/>
      <c r="C538" s="58"/>
      <c r="D538" s="58"/>
      <c r="E538" s="60" t="s">
        <v>6</v>
      </c>
      <c r="F538" s="68" t="str">
        <f>$C$2</f>
        <v xml:space="preserve"> </v>
      </c>
      <c r="G538" s="58"/>
      <c r="H538" s="68"/>
      <c r="I538" s="60" t="s">
        <v>11</v>
      </c>
      <c r="J538" s="70" t="str">
        <f>$G$3</f>
        <v>A</v>
      </c>
      <c r="K538" s="70"/>
      <c r="L538" s="71"/>
      <c r="M538" s="62">
        <v>1</v>
      </c>
      <c r="N538" s="62"/>
      <c r="O538" s="62"/>
      <c r="P538" s="5"/>
      <c r="Q538" s="9"/>
      <c r="R538" s="7"/>
      <c r="S538" s="7"/>
      <c r="T538" s="2"/>
      <c r="U538" s="2"/>
      <c r="V538" s="2"/>
      <c r="W538" s="2"/>
      <c r="X538" s="2"/>
      <c r="Y538" s="2"/>
      <c r="Z538" s="2"/>
      <c r="AA538" s="2"/>
      <c r="AB538" s="2"/>
      <c r="AC538" s="2"/>
      <c r="AD538" s="2"/>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row>
    <row r="539" spans="1:185" x14ac:dyDescent="0.3">
      <c r="A539" s="58"/>
      <c r="B539" s="58"/>
      <c r="C539" s="58"/>
      <c r="D539" s="58"/>
      <c r="E539" s="60" t="s">
        <v>1</v>
      </c>
      <c r="F539" s="68" t="str">
        <f>$C$3</f>
        <v>20/10/2013</v>
      </c>
      <c r="G539" s="58"/>
      <c r="H539" s="68"/>
      <c r="I539" s="60" t="s">
        <v>12</v>
      </c>
      <c r="J539" s="61" t="str">
        <f>L539&amp;" of "&amp;$G$1</f>
        <v>11 of 20</v>
      </c>
      <c r="K539" s="68"/>
      <c r="L539" s="71">
        <f>SUM($M$1:M538)</f>
        <v>11</v>
      </c>
      <c r="M539" s="62"/>
      <c r="N539" s="62"/>
      <c r="O539" s="62"/>
      <c r="P539" s="5"/>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row>
    <row r="540" spans="1:185" x14ac:dyDescent="0.3">
      <c r="A540" s="58"/>
      <c r="B540" s="58"/>
      <c r="C540" s="58"/>
      <c r="D540" s="58"/>
      <c r="E540" s="60" t="s">
        <v>106</v>
      </c>
      <c r="F540" s="68" t="str">
        <f>$C$5</f>
        <v>STANDARD SPREADSHEET METHOD</v>
      </c>
      <c r="G540" s="58"/>
      <c r="H540" s="58"/>
      <c r="I540" s="72"/>
      <c r="J540" s="61"/>
      <c r="K540" s="58"/>
      <c r="L540" s="58"/>
      <c r="M540" s="62"/>
      <c r="N540" s="62"/>
      <c r="O540" s="62"/>
      <c r="P540" s="5"/>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row>
    <row r="541" spans="1:185" ht="15.6" x14ac:dyDescent="0.3">
      <c r="A541" s="12"/>
      <c r="B541" s="74" t="str">
        <f>$G$4</f>
        <v>SECTION PROPERTIES</v>
      </c>
      <c r="C541" s="12"/>
      <c r="D541" s="12"/>
      <c r="E541" s="12"/>
      <c r="F541" s="12"/>
      <c r="G541" s="12"/>
      <c r="H541" s="12"/>
      <c r="I541" s="12"/>
      <c r="J541" s="12"/>
      <c r="K541" s="1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c r="FE541" s="2"/>
      <c r="FF541" s="2"/>
      <c r="FG541" s="2"/>
      <c r="FH541" s="2"/>
      <c r="FI541" s="2"/>
      <c r="FJ541" s="2"/>
      <c r="FK541" s="2"/>
      <c r="FL541" s="2"/>
      <c r="FM541" s="2"/>
      <c r="FN541" s="2"/>
      <c r="FO541" s="2"/>
      <c r="FP541" s="2"/>
      <c r="FQ541" s="2"/>
      <c r="FR541" s="2"/>
      <c r="FS541" s="2"/>
      <c r="FT541" s="2"/>
      <c r="FU541" s="2"/>
      <c r="FV541" s="2"/>
      <c r="FW541" s="2"/>
      <c r="FX541" s="2"/>
      <c r="FY541" s="2"/>
      <c r="FZ541" s="2"/>
      <c r="GA541" s="2"/>
      <c r="GB541" s="2"/>
      <c r="GC541" s="2"/>
    </row>
    <row r="542" spans="1:185" x14ac:dyDescent="0.3">
      <c r="A542" s="54"/>
      <c r="B542" s="85"/>
      <c r="C542" s="54"/>
      <c r="D542" s="54"/>
      <c r="E542" s="54"/>
    </row>
    <row r="543" spans="1:185" x14ac:dyDescent="0.3">
      <c r="A543" s="11"/>
      <c r="B543" s="19" t="s">
        <v>150</v>
      </c>
      <c r="C543" s="11"/>
      <c r="D543" s="15"/>
      <c r="E543" s="11"/>
      <c r="F543" s="11"/>
      <c r="G543" s="11"/>
      <c r="H543" s="11"/>
      <c r="I543" s="11"/>
      <c r="J543" s="11"/>
      <c r="K543" s="11"/>
    </row>
    <row r="545" spans="1:21" x14ac:dyDescent="0.3">
      <c r="A545" s="38"/>
      <c r="B545" s="16" t="s">
        <v>122</v>
      </c>
      <c r="C545" s="20">
        <v>4.3</v>
      </c>
      <c r="D545" s="18" t="s">
        <v>4</v>
      </c>
      <c r="I545" s="42" t="s">
        <v>50</v>
      </c>
      <c r="U545" s="2" t="s">
        <v>125</v>
      </c>
    </row>
    <row r="546" spans="1:21" x14ac:dyDescent="0.3">
      <c r="A546" s="18"/>
      <c r="B546" s="40" t="s">
        <v>51</v>
      </c>
      <c r="C546" s="100">
        <v>5</v>
      </c>
      <c r="D546" s="4" t="s">
        <v>4</v>
      </c>
      <c r="E546" s="18"/>
      <c r="F546" s="18"/>
      <c r="G546" s="18"/>
      <c r="I546" s="16" t="s">
        <v>74</v>
      </c>
      <c r="J546" s="4" t="str">
        <f ca="1">[1]!xlv(J548)</f>
        <v>(Iₓ / A)⁰·⁵</v>
      </c>
    </row>
    <row r="547" spans="1:21" x14ac:dyDescent="0.3">
      <c r="A547" s="18"/>
      <c r="B547" s="40"/>
      <c r="C547" s="100"/>
      <c r="I547" s="16" t="s">
        <v>74</v>
      </c>
      <c r="J547" s="4" t="str">
        <f>[1]!xln(J548)</f>
        <v>(11 / 10.8)⁰·⁵</v>
      </c>
      <c r="U547" s="50"/>
    </row>
    <row r="548" spans="1:21" x14ac:dyDescent="0.3">
      <c r="A548" s="18"/>
      <c r="I548" s="16" t="s">
        <v>74</v>
      </c>
      <c r="J548" s="43">
        <f>(C565/C555)^0.5</f>
        <v>1.013519719700718</v>
      </c>
      <c r="K548" s="18" t="s">
        <v>4</v>
      </c>
    </row>
    <row r="549" spans="1:21" x14ac:dyDescent="0.3">
      <c r="A549" s="18"/>
      <c r="B549" s="40"/>
      <c r="C549" s="41"/>
    </row>
    <row r="550" spans="1:21" x14ac:dyDescent="0.3">
      <c r="A550" s="18"/>
      <c r="B550" s="18"/>
      <c r="I550" s="16" t="s">
        <v>75</v>
      </c>
      <c r="J550" s="4" t="str">
        <f ca="1">[1]!xlv(J552)</f>
        <v>(Iᵧ / A)⁰·⁵</v>
      </c>
      <c r="U550" s="50"/>
    </row>
    <row r="551" spans="1:21" x14ac:dyDescent="0.3">
      <c r="A551" s="18"/>
      <c r="I551" s="16" t="s">
        <v>75</v>
      </c>
      <c r="J551" s="4" t="str">
        <f>[1]!xln(J552)</f>
        <v>(11.2 / 10.8)⁰·⁵</v>
      </c>
    </row>
    <row r="552" spans="1:21" x14ac:dyDescent="0.3">
      <c r="A552" s="11"/>
      <c r="B552" s="39" t="s">
        <v>29</v>
      </c>
      <c r="I552" s="16" t="s">
        <v>75</v>
      </c>
      <c r="J552" s="25">
        <f>(F565/C555)^0.5</f>
        <v>1.0206207261596574</v>
      </c>
      <c r="K552" s="18" t="s">
        <v>4</v>
      </c>
    </row>
    <row r="553" spans="1:21" x14ac:dyDescent="0.3">
      <c r="B553" s="16" t="s">
        <v>32</v>
      </c>
      <c r="C553" s="4" t="str">
        <f ca="1">[1]!xlv(C555)</f>
        <v>d × b / 2</v>
      </c>
    </row>
    <row r="554" spans="1:21" x14ac:dyDescent="0.3">
      <c r="B554" s="16" t="s">
        <v>32</v>
      </c>
      <c r="C554" s="4" t="str">
        <f>[1]!xln(C555)</f>
        <v>4.3 × 5 / 2</v>
      </c>
      <c r="D554" s="11"/>
    </row>
    <row r="555" spans="1:21" x14ac:dyDescent="0.3">
      <c r="B555" s="16" t="s">
        <v>32</v>
      </c>
      <c r="C555" s="17">
        <f>C545*C546/2</f>
        <v>10.75</v>
      </c>
      <c r="D555" s="18" t="s">
        <v>68</v>
      </c>
    </row>
    <row r="557" spans="1:21" x14ac:dyDescent="0.3">
      <c r="B557" s="39" t="s">
        <v>120</v>
      </c>
      <c r="U557" s="50"/>
    </row>
    <row r="558" spans="1:21" x14ac:dyDescent="0.3">
      <c r="B558" s="40" t="s">
        <v>25</v>
      </c>
      <c r="C558" s="4" t="str">
        <f ca="1">[1]!xlv(C560)</f>
        <v>0.5 × b</v>
      </c>
      <c r="E558" s="40" t="s">
        <v>27</v>
      </c>
      <c r="F558" s="4" t="str">
        <f ca="1">[1]!xlv(F560)</f>
        <v>2 / 3 × d</v>
      </c>
    </row>
    <row r="559" spans="1:21" x14ac:dyDescent="0.3">
      <c r="B559" s="40" t="s">
        <v>25</v>
      </c>
      <c r="C559" s="4" t="str">
        <f>[1]!xln(C560)</f>
        <v>0.5 × 5</v>
      </c>
      <c r="E559" s="40" t="s">
        <v>27</v>
      </c>
      <c r="F559" s="4" t="str">
        <f>[1]!xln(F560)</f>
        <v>2 / 3 × 4.3</v>
      </c>
    </row>
    <row r="560" spans="1:21" x14ac:dyDescent="0.3">
      <c r="B560" s="40" t="s">
        <v>25</v>
      </c>
      <c r="C560" s="25">
        <f>0.5*C546</f>
        <v>2.5</v>
      </c>
      <c r="D560" s="4" t="s">
        <v>4</v>
      </c>
      <c r="E560" s="40" t="s">
        <v>27</v>
      </c>
      <c r="F560" s="25">
        <f>2/3*C545</f>
        <v>2.8666666666666663</v>
      </c>
      <c r="G560" s="4" t="s">
        <v>4</v>
      </c>
    </row>
    <row r="561" spans="1:10" x14ac:dyDescent="0.3">
      <c r="H561" s="40"/>
      <c r="I561" s="25"/>
    </row>
    <row r="562" spans="1:10" x14ac:dyDescent="0.3">
      <c r="B562" s="39" t="s">
        <v>30</v>
      </c>
    </row>
    <row r="563" spans="1:10" x14ac:dyDescent="0.3">
      <c r="B563" s="16" t="s">
        <v>72</v>
      </c>
      <c r="C563" s="4" t="str">
        <f ca="1">[1]!xlv(C565)</f>
        <v>(1 / 36) × b × d³</v>
      </c>
      <c r="E563" s="40" t="s">
        <v>149</v>
      </c>
      <c r="F563" s="4" t="str">
        <f ca="1">[1]!xlv(F565)</f>
        <v>(1 / 48) × d × b³</v>
      </c>
      <c r="H563" s="16" t="s">
        <v>87</v>
      </c>
      <c r="I563" s="4" t="str">
        <f ca="1">[1]!xlv(I565)</f>
        <v>Iₓ + Iᵧ</v>
      </c>
    </row>
    <row r="564" spans="1:10" x14ac:dyDescent="0.3">
      <c r="B564" s="16" t="s">
        <v>72</v>
      </c>
      <c r="C564" s="4" t="str">
        <f>[1]!xln(C565)</f>
        <v>(1 / 36) × 5 × 4.3³</v>
      </c>
      <c r="E564" s="40" t="s">
        <v>149</v>
      </c>
      <c r="F564" s="4" t="str">
        <f>[1]!xln(F565)</f>
        <v>(1 / 48) × 4.3 × 5³</v>
      </c>
      <c r="H564" s="16" t="s">
        <v>87</v>
      </c>
      <c r="I564" s="4" t="str">
        <f>[1]!xln(I565)</f>
        <v>11 + 11.2</v>
      </c>
    </row>
    <row r="565" spans="1:10" x14ac:dyDescent="0.3">
      <c r="B565" s="16" t="s">
        <v>72</v>
      </c>
      <c r="C565" s="43">
        <f>(1/36)*C546*C545^3</f>
        <v>11.042638888888888</v>
      </c>
      <c r="D565" s="102" t="s">
        <v>69</v>
      </c>
      <c r="E565" s="103" t="s">
        <v>149</v>
      </c>
      <c r="F565" s="43">
        <f>(1/48)*C545*C546^3</f>
        <v>11.197916666666664</v>
      </c>
      <c r="G565" s="102" t="s">
        <v>69</v>
      </c>
      <c r="H565" s="43" t="s">
        <v>87</v>
      </c>
      <c r="I565" s="43">
        <f>C565+F565</f>
        <v>22.240555555555552</v>
      </c>
      <c r="J565" s="18" t="s">
        <v>69</v>
      </c>
    </row>
    <row r="567" spans="1:10" x14ac:dyDescent="0.3">
      <c r="B567" s="39" t="s">
        <v>116</v>
      </c>
    </row>
    <row r="568" spans="1:10" x14ac:dyDescent="0.3">
      <c r="B568" s="16" t="s">
        <v>117</v>
      </c>
      <c r="C568" s="99" t="str">
        <f ca="1">[1]!xlv(C570)</f>
        <v>0.098 × b × d²</v>
      </c>
      <c r="D568" s="99"/>
      <c r="E568" s="99"/>
      <c r="F568" s="99"/>
      <c r="G568" s="40" t="s">
        <v>118</v>
      </c>
      <c r="H568" s="4" t="str">
        <f ca="1">[1]!xlv(H570)</f>
        <v>0.0833 × d × b²</v>
      </c>
    </row>
    <row r="569" spans="1:10" x14ac:dyDescent="0.3">
      <c r="A569" s="11"/>
      <c r="B569" s="16" t="s">
        <v>117</v>
      </c>
      <c r="C569" s="99" t="str">
        <f>[1]!xln(C570)</f>
        <v>0.098 × 5 × 4.3²</v>
      </c>
      <c r="D569" s="99"/>
      <c r="E569" s="99"/>
      <c r="F569" s="99"/>
      <c r="G569" s="40" t="s">
        <v>118</v>
      </c>
      <c r="H569" s="4" t="str">
        <f>[1]!xln(H570)</f>
        <v>0.0833 × 4.3 × 5²</v>
      </c>
    </row>
    <row r="570" spans="1:10" x14ac:dyDescent="0.3">
      <c r="A570" s="11"/>
      <c r="B570" s="16" t="s">
        <v>117</v>
      </c>
      <c r="C570" s="99">
        <f>0.098*C546*C545^2</f>
        <v>9.0600999999999985</v>
      </c>
      <c r="D570" s="99" t="s">
        <v>44</v>
      </c>
      <c r="E570" s="99"/>
      <c r="F570" s="99"/>
      <c r="G570" s="40" t="s">
        <v>118</v>
      </c>
      <c r="H570" s="25">
        <f>0.0833*C545*C546^2</f>
        <v>8.9547500000000007</v>
      </c>
      <c r="I570" s="4" t="s">
        <v>44</v>
      </c>
    </row>
    <row r="571" spans="1:10" x14ac:dyDescent="0.3">
      <c r="E571" s="99"/>
      <c r="F571" s="99"/>
      <c r="G571" s="16"/>
      <c r="H571" s="99"/>
      <c r="I571" s="99"/>
      <c r="J571" s="99"/>
    </row>
    <row r="572" spans="1:10" x14ac:dyDescent="0.3">
      <c r="B572" s="16" t="s">
        <v>129</v>
      </c>
      <c r="C572" s="99">
        <v>2.343</v>
      </c>
      <c r="D572" s="99"/>
      <c r="G572" s="101" t="s">
        <v>132</v>
      </c>
      <c r="H572" s="99">
        <v>2</v>
      </c>
      <c r="I572" s="46"/>
    </row>
    <row r="578" spans="1:185" x14ac:dyDescent="0.3">
      <c r="B578" s="16"/>
      <c r="C578" s="99"/>
      <c r="D578" s="99"/>
      <c r="G578" s="101"/>
      <c r="H578" s="99"/>
      <c r="I578" s="46"/>
    </row>
    <row r="580" spans="1:185" x14ac:dyDescent="0.3">
      <c r="B580" s="16"/>
      <c r="C580" s="99"/>
      <c r="D580" s="99"/>
      <c r="E580" s="99"/>
      <c r="F580" s="99"/>
      <c r="G580" s="16"/>
      <c r="H580" s="25"/>
    </row>
    <row r="582" spans="1:185" x14ac:dyDescent="0.3">
      <c r="B582" s="40"/>
    </row>
    <row r="583" spans="1:185" x14ac:dyDescent="0.3">
      <c r="B583" s="16"/>
      <c r="C583" s="99"/>
      <c r="D583" s="99"/>
    </row>
    <row r="584" spans="1:185" x14ac:dyDescent="0.3">
      <c r="B584" s="16"/>
      <c r="C584" s="99"/>
      <c r="G584" s="101"/>
      <c r="H584" s="99"/>
      <c r="I584" s="46"/>
    </row>
    <row r="585" spans="1:185" x14ac:dyDescent="0.3">
      <c r="E585" s="99"/>
      <c r="F585" s="99"/>
    </row>
    <row r="586" spans="1:185" x14ac:dyDescent="0.3">
      <c r="E586" s="99"/>
      <c r="F586" s="99"/>
    </row>
    <row r="587" spans="1:185" x14ac:dyDescent="0.3">
      <c r="A587" s="12"/>
      <c r="B587" s="3"/>
      <c r="C587" s="86"/>
      <c r="D587" s="12"/>
      <c r="E587" s="12"/>
      <c r="F587" s="12"/>
      <c r="G587" s="86"/>
      <c r="H587" s="12"/>
      <c r="I587" s="12"/>
      <c r="J587" s="12"/>
      <c r="K587" s="12"/>
    </row>
    <row r="588" spans="1:185" x14ac:dyDescent="0.3">
      <c r="A588" s="12"/>
      <c r="B588" s="87"/>
      <c r="C588" s="86"/>
      <c r="D588" s="88"/>
      <c r="E588" s="88"/>
      <c r="F588" s="89" t="s">
        <v>161</v>
      </c>
      <c r="G588" s="86"/>
      <c r="H588" s="88"/>
      <c r="I588" s="88"/>
      <c r="J588" s="88"/>
      <c r="K588" s="12"/>
    </row>
    <row r="589" spans="1:185" x14ac:dyDescent="0.3">
      <c r="A589" s="12"/>
      <c r="B589" s="88"/>
      <c r="C589" s="88"/>
      <c r="D589" s="88"/>
      <c r="E589" s="88"/>
      <c r="F589" s="104" t="s">
        <v>162</v>
      </c>
      <c r="G589" s="88"/>
      <c r="H589" s="88"/>
      <c r="I589" s="88"/>
      <c r="J589" s="88"/>
      <c r="K589" s="12"/>
    </row>
    <row r="590" spans="1:185" x14ac:dyDescent="0.3">
      <c r="A590" s="67"/>
      <c r="B590" s="58"/>
      <c r="C590" s="58"/>
      <c r="D590" s="58"/>
      <c r="E590" s="60" t="s">
        <v>5</v>
      </c>
      <c r="F590" s="61" t="str">
        <f>$C$1</f>
        <v>R. Abbott</v>
      </c>
      <c r="G590" s="58"/>
      <c r="H590" s="68"/>
      <c r="I590" s="60" t="s">
        <v>10</v>
      </c>
      <c r="J590" s="69" t="str">
        <f>$G$2</f>
        <v>AA-SM-001-000</v>
      </c>
      <c r="K590" s="70"/>
      <c r="L590" s="71"/>
      <c r="M590" s="62"/>
      <c r="N590" s="62"/>
      <c r="O590" s="62"/>
      <c r="P590" s="5"/>
      <c r="AD590" s="8"/>
    </row>
    <row r="591" spans="1:185" s="10" customFormat="1" x14ac:dyDescent="0.3">
      <c r="A591" s="58"/>
      <c r="B591" s="58"/>
      <c r="C591" s="58"/>
      <c r="D591" s="58"/>
      <c r="E591" s="60" t="s">
        <v>6</v>
      </c>
      <c r="F591" s="68" t="str">
        <f>$C$2</f>
        <v xml:space="preserve"> </v>
      </c>
      <c r="G591" s="58"/>
      <c r="H591" s="68"/>
      <c r="I591" s="60" t="s">
        <v>11</v>
      </c>
      <c r="J591" s="70" t="str">
        <f>$G$3</f>
        <v>A</v>
      </c>
      <c r="K591" s="70"/>
      <c r="L591" s="71"/>
      <c r="M591" s="62">
        <v>1</v>
      </c>
      <c r="N591" s="62"/>
      <c r="O591" s="62"/>
      <c r="P591" s="5"/>
      <c r="Q591" s="9"/>
      <c r="R591" s="7"/>
      <c r="S591" s="7"/>
      <c r="T591" s="2"/>
      <c r="U591" s="2"/>
      <c r="V591" s="2"/>
      <c r="W591" s="2"/>
      <c r="X591" s="2"/>
      <c r="Y591" s="2"/>
      <c r="Z591" s="2"/>
      <c r="AA591" s="2"/>
      <c r="AB591" s="2"/>
      <c r="AC591" s="2"/>
      <c r="AD591" s="2"/>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c r="EG591" s="3"/>
      <c r="EH591" s="3"/>
      <c r="EI591" s="3"/>
      <c r="EJ591" s="3"/>
      <c r="EK591" s="3"/>
      <c r="EL591" s="3"/>
      <c r="EM591" s="3"/>
      <c r="EN591" s="3"/>
      <c r="EO591" s="3"/>
      <c r="EP591" s="3"/>
      <c r="EQ591" s="3"/>
      <c r="ER591" s="3"/>
      <c r="ES591" s="3"/>
      <c r="ET591" s="3"/>
      <c r="EU591" s="3"/>
      <c r="EV591" s="3"/>
      <c r="EW591" s="3"/>
      <c r="EX591" s="3"/>
      <c r="EY591" s="3"/>
      <c r="EZ591" s="3"/>
      <c r="FA591" s="3"/>
      <c r="FB591" s="3"/>
      <c r="FC591" s="3"/>
      <c r="FD591" s="3"/>
      <c r="FE591" s="3"/>
      <c r="FF591" s="3"/>
      <c r="FG591" s="3"/>
      <c r="FH591" s="3"/>
      <c r="FI591" s="3"/>
      <c r="FJ591" s="3"/>
      <c r="FK591" s="3"/>
      <c r="FL591" s="3"/>
      <c r="FM591" s="3"/>
      <c r="FN591" s="3"/>
      <c r="FO591" s="3"/>
    </row>
    <row r="592" spans="1:185" x14ac:dyDescent="0.3">
      <c r="A592" s="58"/>
      <c r="B592" s="58"/>
      <c r="C592" s="58"/>
      <c r="D592" s="58"/>
      <c r="E592" s="60" t="s">
        <v>1</v>
      </c>
      <c r="F592" s="68" t="str">
        <f>$C$3</f>
        <v>20/10/2013</v>
      </c>
      <c r="G592" s="58"/>
      <c r="H592" s="68"/>
      <c r="I592" s="60" t="s">
        <v>12</v>
      </c>
      <c r="J592" s="61" t="str">
        <f>L592&amp;" of "&amp;$G$1</f>
        <v>12 of 20</v>
      </c>
      <c r="K592" s="68"/>
      <c r="L592" s="71">
        <f>SUM($M$1:M591)</f>
        <v>12</v>
      </c>
      <c r="M592" s="62"/>
      <c r="N592" s="62"/>
      <c r="O592" s="62"/>
      <c r="P592" s="5"/>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c r="FE592" s="2"/>
      <c r="FF592" s="2"/>
      <c r="FG592" s="2"/>
      <c r="FH592" s="2"/>
      <c r="FI592" s="2"/>
      <c r="FJ592" s="2"/>
      <c r="FK592" s="2"/>
      <c r="FL592" s="2"/>
      <c r="FM592" s="2"/>
      <c r="FN592" s="2"/>
      <c r="FO592" s="2"/>
      <c r="FP592" s="2"/>
      <c r="FQ592" s="2"/>
      <c r="FR592" s="2"/>
      <c r="FS592" s="2"/>
      <c r="FT592" s="2"/>
      <c r="FU592" s="2"/>
      <c r="FV592" s="2"/>
      <c r="FW592" s="2"/>
      <c r="FX592" s="2"/>
      <c r="FY592" s="2"/>
      <c r="FZ592" s="2"/>
      <c r="GA592" s="2"/>
      <c r="GB592" s="2"/>
      <c r="GC592" s="2"/>
    </row>
    <row r="593" spans="1:185" x14ac:dyDescent="0.3">
      <c r="A593" s="58"/>
      <c r="B593" s="58"/>
      <c r="C593" s="58"/>
      <c r="D593" s="58"/>
      <c r="E593" s="60" t="s">
        <v>106</v>
      </c>
      <c r="F593" s="68" t="str">
        <f>$C$5</f>
        <v>STANDARD SPREADSHEET METHOD</v>
      </c>
      <c r="G593" s="58"/>
      <c r="H593" s="58"/>
      <c r="I593" s="72"/>
      <c r="J593" s="61"/>
      <c r="K593" s="58"/>
      <c r="L593" s="58"/>
      <c r="M593" s="62"/>
      <c r="N593" s="62"/>
      <c r="O593" s="62"/>
      <c r="P593" s="5"/>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c r="FE593" s="2"/>
      <c r="FF593" s="2"/>
      <c r="FG593" s="2"/>
      <c r="FH593" s="2"/>
      <c r="FI593" s="2"/>
      <c r="FJ593" s="2"/>
      <c r="FK593" s="2"/>
      <c r="FL593" s="2"/>
      <c r="FM593" s="2"/>
      <c r="FN593" s="2"/>
      <c r="FO593" s="2"/>
      <c r="FP593" s="2"/>
      <c r="FQ593" s="2"/>
      <c r="FR593" s="2"/>
      <c r="FS593" s="2"/>
      <c r="FT593" s="2"/>
      <c r="FU593" s="2"/>
      <c r="FV593" s="2"/>
      <c r="FW593" s="2"/>
      <c r="FX593" s="2"/>
      <c r="FY593" s="2"/>
      <c r="FZ593" s="2"/>
      <c r="GA593" s="2"/>
      <c r="GB593" s="2"/>
      <c r="GC593" s="2"/>
    </row>
    <row r="594" spans="1:185" ht="15.6" x14ac:dyDescent="0.3">
      <c r="A594" s="12"/>
      <c r="B594" s="74" t="str">
        <f>$G$4</f>
        <v>SECTION PROPERTIES</v>
      </c>
      <c r="C594" s="12"/>
      <c r="D594" s="12"/>
      <c r="E594" s="12"/>
      <c r="F594" s="12"/>
      <c r="G594" s="12"/>
      <c r="H594" s="12"/>
      <c r="I594" s="12"/>
      <c r="J594" s="12"/>
      <c r="K594" s="1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c r="FE594" s="2"/>
      <c r="FF594" s="2"/>
      <c r="FG594" s="2"/>
      <c r="FH594" s="2"/>
      <c r="FI594" s="2"/>
      <c r="FJ594" s="2"/>
      <c r="FK594" s="2"/>
      <c r="FL594" s="2"/>
      <c r="FM594" s="2"/>
      <c r="FN594" s="2"/>
      <c r="FO594" s="2"/>
      <c r="FP594" s="2"/>
      <c r="FQ594" s="2"/>
      <c r="FR594" s="2"/>
      <c r="FS594" s="2"/>
      <c r="FT594" s="2"/>
      <c r="FU594" s="2"/>
      <c r="FV594" s="2"/>
      <c r="FW594" s="2"/>
      <c r="FX594" s="2"/>
      <c r="FY594" s="2"/>
      <c r="FZ594" s="2"/>
      <c r="GA594" s="2"/>
      <c r="GB594" s="2"/>
      <c r="GC594" s="2"/>
    </row>
    <row r="595" spans="1:185" x14ac:dyDescent="0.3">
      <c r="A595" s="54"/>
      <c r="B595" s="85"/>
      <c r="C595" s="54"/>
      <c r="D595" s="54"/>
      <c r="E595" s="54"/>
    </row>
    <row r="596" spans="1:185" x14ac:dyDescent="0.3">
      <c r="A596" s="11"/>
      <c r="B596" s="11"/>
      <c r="C596" s="11"/>
      <c r="D596" s="15"/>
      <c r="E596" s="11"/>
      <c r="F596" s="11"/>
      <c r="G596" s="11"/>
      <c r="H596" s="11"/>
      <c r="I596" s="11"/>
      <c r="J596" s="11"/>
      <c r="K596" s="11"/>
    </row>
    <row r="597" spans="1:185" x14ac:dyDescent="0.3">
      <c r="A597" s="38"/>
      <c r="B597" s="39" t="s">
        <v>17</v>
      </c>
    </row>
    <row r="598" spans="1:185" x14ac:dyDescent="0.3">
      <c r="B598" s="18"/>
      <c r="C598" s="16"/>
      <c r="D598" s="16"/>
      <c r="E598" s="18"/>
      <c r="F598" s="18"/>
      <c r="G598" s="18"/>
      <c r="H598" s="18"/>
      <c r="I598" s="18"/>
      <c r="J598" s="18"/>
      <c r="K598" s="18"/>
    </row>
    <row r="599" spans="1:185" x14ac:dyDescent="0.3">
      <c r="B599" s="16" t="s">
        <v>26</v>
      </c>
      <c r="C599" s="20">
        <v>50</v>
      </c>
      <c r="D599" s="18" t="s">
        <v>4</v>
      </c>
    </row>
    <row r="600" spans="1:185" x14ac:dyDescent="0.3">
      <c r="B600" s="16" t="s">
        <v>2</v>
      </c>
      <c r="C600" s="20">
        <v>49</v>
      </c>
      <c r="D600" s="18" t="s">
        <v>4</v>
      </c>
    </row>
    <row r="601" spans="1:185" x14ac:dyDescent="0.3">
      <c r="B601" s="40" t="s">
        <v>28</v>
      </c>
      <c r="C601" s="41">
        <v>10</v>
      </c>
      <c r="D601" s="4" t="s">
        <v>45</v>
      </c>
      <c r="I601" s="21"/>
      <c r="J601" s="16"/>
      <c r="K601" s="18"/>
    </row>
    <row r="602" spans="1:185" x14ac:dyDescent="0.3">
      <c r="B602" s="18"/>
      <c r="I602" s="21"/>
      <c r="J602" s="16"/>
      <c r="K602" s="18"/>
    </row>
    <row r="603" spans="1:185" x14ac:dyDescent="0.3">
      <c r="B603" s="39" t="s">
        <v>29</v>
      </c>
      <c r="G603" s="42" t="s">
        <v>50</v>
      </c>
    </row>
    <row r="604" spans="1:185" x14ac:dyDescent="0.3">
      <c r="B604" s="16"/>
      <c r="C604" s="43"/>
      <c r="D604" s="18"/>
    </row>
    <row r="605" spans="1:185" x14ac:dyDescent="0.3">
      <c r="B605" s="16" t="s">
        <v>32</v>
      </c>
      <c r="C605" s="4" t="str">
        <f ca="1">[1]!xlv(C607)</f>
        <v>π × (R² - r²)</v>
      </c>
      <c r="G605" s="16" t="s">
        <v>74</v>
      </c>
      <c r="H605" s="4" t="str">
        <f ca="1">[1]!xlv(H607)</f>
        <v>(Iₓ / A)⁰·⁵</v>
      </c>
    </row>
    <row r="606" spans="1:185" x14ac:dyDescent="0.3">
      <c r="B606" s="16" t="s">
        <v>32</v>
      </c>
      <c r="C606" s="4" t="str">
        <f>[1]!xln(C607,1)</f>
        <v>π × (50² - 49²)</v>
      </c>
      <c r="G606" s="16" t="s">
        <v>74</v>
      </c>
      <c r="H606" s="4" t="str">
        <f>[1]!xln(H607)</f>
        <v>(381074 / 311)⁰·⁵</v>
      </c>
    </row>
    <row r="607" spans="1:185" x14ac:dyDescent="0.3">
      <c r="B607" s="16" t="s">
        <v>32</v>
      </c>
      <c r="C607" s="17">
        <f>PI()*(C599^2-C600^2)</f>
        <v>311.01767270538954</v>
      </c>
      <c r="D607" s="18" t="s">
        <v>70</v>
      </c>
      <c r="G607" s="16" t="s">
        <v>74</v>
      </c>
      <c r="H607" s="43">
        <f>(C617/C607)^0.5</f>
        <v>35.003571246374278</v>
      </c>
      <c r="I607" s="18" t="s">
        <v>4</v>
      </c>
    </row>
    <row r="609" spans="1:11" x14ac:dyDescent="0.3">
      <c r="B609" s="40" t="s">
        <v>25</v>
      </c>
      <c r="C609" s="25">
        <f>C599</f>
        <v>50</v>
      </c>
      <c r="D609" s="4" t="s">
        <v>4</v>
      </c>
      <c r="G609" s="16" t="s">
        <v>75</v>
      </c>
      <c r="H609" s="4" t="str">
        <f ca="1">[1]!xlv(H611)</f>
        <v>(Iᵧ / A)⁰·⁵</v>
      </c>
    </row>
    <row r="610" spans="1:11" x14ac:dyDescent="0.3">
      <c r="G610" s="16" t="s">
        <v>75</v>
      </c>
      <c r="H610" s="4" t="str">
        <f>[1]!xln(H611)</f>
        <v>(381074 / 311)⁰·⁵</v>
      </c>
    </row>
    <row r="611" spans="1:11" x14ac:dyDescent="0.3">
      <c r="B611" s="40" t="s">
        <v>27</v>
      </c>
      <c r="C611" s="25">
        <f>C599</f>
        <v>50</v>
      </c>
      <c r="D611" s="4" t="s">
        <v>4</v>
      </c>
      <c r="G611" s="16" t="s">
        <v>75</v>
      </c>
      <c r="H611" s="25">
        <f>(C621/C607)^0.5</f>
        <v>35.003571246374278</v>
      </c>
      <c r="I611" s="18" t="s">
        <v>4</v>
      </c>
    </row>
    <row r="613" spans="1:11" x14ac:dyDescent="0.3">
      <c r="B613" s="39" t="s">
        <v>30</v>
      </c>
      <c r="G613" s="39" t="s">
        <v>31</v>
      </c>
      <c r="H613" s="16"/>
      <c r="I613" s="18"/>
    </row>
    <row r="614" spans="1:11" x14ac:dyDescent="0.3">
      <c r="B614" s="21"/>
      <c r="C614" s="21"/>
      <c r="D614" s="21"/>
      <c r="H614" s="16"/>
      <c r="I614" s="18"/>
    </row>
    <row r="615" spans="1:11" x14ac:dyDescent="0.3">
      <c r="B615" s="16" t="s">
        <v>72</v>
      </c>
      <c r="C615" s="4" t="str">
        <f ca="1">[1]!xlv(C617)</f>
        <v>π × (R⁴ - r⁴) / 4</v>
      </c>
      <c r="G615" s="16" t="s">
        <v>72</v>
      </c>
      <c r="H615" s="4" t="str">
        <f ca="1">[1]!xlv(H617)</f>
        <v>W / A × Iₓ</v>
      </c>
    </row>
    <row r="616" spans="1:11" x14ac:dyDescent="0.3">
      <c r="B616" s="16" t="s">
        <v>72</v>
      </c>
      <c r="C616" s="4" t="str">
        <f>[1]!xln(C617)</f>
        <v>π × (50⁴ - 49⁴) / 4</v>
      </c>
      <c r="G616" s="16" t="s">
        <v>72</v>
      </c>
      <c r="H616" s="4" t="str">
        <f>[1]!xln(H617)</f>
        <v>10 / 311 × 381074</v>
      </c>
      <c r="I616" s="11"/>
    </row>
    <row r="617" spans="1:11" x14ac:dyDescent="0.3">
      <c r="B617" s="16" t="s">
        <v>72</v>
      </c>
      <c r="C617" s="17">
        <f>PI()*(C599^4-C600^4)/4</f>
        <v>381074.40348227852</v>
      </c>
      <c r="D617" s="18" t="s">
        <v>71</v>
      </c>
      <c r="G617" s="16" t="s">
        <v>72</v>
      </c>
      <c r="H617" s="46">
        <f>C601/C607*C617</f>
        <v>12252.5</v>
      </c>
      <c r="I617" s="4" t="s">
        <v>46</v>
      </c>
    </row>
    <row r="619" spans="1:11" x14ac:dyDescent="0.3">
      <c r="A619" s="11"/>
      <c r="B619" s="40" t="s">
        <v>73</v>
      </c>
      <c r="C619" s="4" t="str">
        <f ca="1">[1]!xlv(C621)</f>
        <v>π × (R⁴ - r⁴) / 4</v>
      </c>
      <c r="G619" s="40" t="s">
        <v>73</v>
      </c>
      <c r="H619" s="4" t="str">
        <f ca="1">[1]!xlv(H621)</f>
        <v>W / A × Iᵧ</v>
      </c>
    </row>
    <row r="620" spans="1:11" x14ac:dyDescent="0.3">
      <c r="A620" s="11"/>
      <c r="B620" s="40" t="s">
        <v>73</v>
      </c>
      <c r="C620" s="4" t="str">
        <f>[1]!xln(C621)</f>
        <v>π × (50⁴ - 49⁴) / 4</v>
      </c>
      <c r="G620" s="40" t="s">
        <v>73</v>
      </c>
      <c r="H620" s="4" t="str">
        <f>[1]!xln(H621)</f>
        <v>10 / 311 × 381074</v>
      </c>
    </row>
    <row r="621" spans="1:11" x14ac:dyDescent="0.3">
      <c r="B621" s="40" t="s">
        <v>73</v>
      </c>
      <c r="C621" s="4">
        <f>PI()*(C599^4-C600^4)/4</f>
        <v>381074.40348227852</v>
      </c>
      <c r="D621" s="18" t="s">
        <v>71</v>
      </c>
      <c r="G621" s="40" t="s">
        <v>73</v>
      </c>
      <c r="H621" s="46">
        <f>C601/C607*C621</f>
        <v>12252.5</v>
      </c>
      <c r="I621" s="4" t="s">
        <v>46</v>
      </c>
      <c r="K621" s="11"/>
    </row>
    <row r="622" spans="1:11" x14ac:dyDescent="0.3">
      <c r="K622" s="11"/>
    </row>
    <row r="623" spans="1:11" x14ac:dyDescent="0.3">
      <c r="B623" s="16" t="s">
        <v>87</v>
      </c>
      <c r="C623" s="4" t="str">
        <f ca="1">[1]!xlv(C625)</f>
        <v>Iₓ + Iₓ</v>
      </c>
      <c r="G623" s="16" t="s">
        <v>87</v>
      </c>
      <c r="H623" s="4" t="str">
        <f ca="1">[1]!xlv(H625)</f>
        <v>Iᵧ + Iₓ</v>
      </c>
    </row>
    <row r="624" spans="1:11" x14ac:dyDescent="0.3">
      <c r="B624" s="16" t="s">
        <v>87</v>
      </c>
      <c r="C624" s="4" t="str">
        <f>[1]!xln(C625)</f>
        <v>381074 + 381074</v>
      </c>
      <c r="G624" s="16" t="s">
        <v>87</v>
      </c>
      <c r="H624" s="4" t="str">
        <f>[1]!xln(H625)</f>
        <v>12252 + 12252</v>
      </c>
    </row>
    <row r="625" spans="2:9" x14ac:dyDescent="0.3">
      <c r="B625" s="16" t="s">
        <v>87</v>
      </c>
      <c r="C625" s="17">
        <f>C617+C617</f>
        <v>762148.80696455704</v>
      </c>
      <c r="D625" s="18" t="s">
        <v>71</v>
      </c>
      <c r="G625" s="16" t="s">
        <v>87</v>
      </c>
      <c r="H625" s="46">
        <f>H621+H617</f>
        <v>24505</v>
      </c>
      <c r="I625" s="4" t="s">
        <v>46</v>
      </c>
    </row>
    <row r="627" spans="2:9" x14ac:dyDescent="0.3">
      <c r="D627" s="32"/>
      <c r="E627" s="18"/>
    </row>
    <row r="629" spans="2:9" x14ac:dyDescent="0.3">
      <c r="I629" s="30"/>
    </row>
    <row r="630" spans="2:9" x14ac:dyDescent="0.3">
      <c r="C630" s="16"/>
      <c r="D630" s="36"/>
      <c r="E630" s="18"/>
      <c r="F630" s="30"/>
      <c r="G630" s="30"/>
      <c r="H630" s="30"/>
    </row>
    <row r="631" spans="2:9" x14ac:dyDescent="0.3">
      <c r="C631" s="16"/>
      <c r="D631" s="36"/>
      <c r="E631" s="18"/>
      <c r="F631" s="30"/>
      <c r="G631" s="30"/>
      <c r="H631" s="30"/>
    </row>
    <row r="643" spans="1:185" x14ac:dyDescent="0.3">
      <c r="A643" s="12"/>
      <c r="B643" s="3"/>
      <c r="C643" s="86"/>
      <c r="D643" s="12"/>
      <c r="E643" s="12"/>
      <c r="F643" s="12"/>
      <c r="G643" s="86"/>
      <c r="H643" s="12"/>
      <c r="I643" s="12"/>
      <c r="J643" s="12"/>
      <c r="K643" s="12"/>
    </row>
    <row r="644" spans="1:185" x14ac:dyDescent="0.3">
      <c r="A644" s="12"/>
      <c r="B644" s="87"/>
      <c r="C644" s="86"/>
      <c r="D644" s="88"/>
      <c r="E644" s="88"/>
      <c r="F644" s="89" t="s">
        <v>161</v>
      </c>
      <c r="G644" s="86"/>
      <c r="H644" s="88"/>
      <c r="I644" s="88"/>
      <c r="J644" s="88"/>
      <c r="K644" s="12"/>
    </row>
    <row r="645" spans="1:185" x14ac:dyDescent="0.3">
      <c r="A645" s="12"/>
      <c r="B645" s="88"/>
      <c r="C645" s="88"/>
      <c r="D645" s="88"/>
      <c r="E645" s="88"/>
      <c r="F645" s="104" t="s">
        <v>162</v>
      </c>
      <c r="G645" s="88"/>
      <c r="H645" s="88"/>
      <c r="I645" s="88"/>
      <c r="J645" s="88"/>
      <c r="K645" s="12"/>
    </row>
    <row r="646" spans="1:185" x14ac:dyDescent="0.3">
      <c r="A646" s="67"/>
      <c r="B646" s="58"/>
      <c r="C646" s="58"/>
      <c r="D646" s="58"/>
      <c r="E646" s="60" t="s">
        <v>5</v>
      </c>
      <c r="F646" s="61" t="str">
        <f>$C$1</f>
        <v>R. Abbott</v>
      </c>
      <c r="G646" s="58"/>
      <c r="H646" s="68"/>
      <c r="I646" s="60" t="s">
        <v>10</v>
      </c>
      <c r="J646" s="69" t="str">
        <f>$G$2</f>
        <v>AA-SM-001-000</v>
      </c>
      <c r="K646" s="70"/>
      <c r="L646" s="71"/>
      <c r="M646" s="62"/>
      <c r="N646" s="62"/>
      <c r="O646" s="62"/>
      <c r="P646" s="5"/>
      <c r="AD646" s="8"/>
    </row>
    <row r="647" spans="1:185" s="10" customFormat="1" x14ac:dyDescent="0.3">
      <c r="A647" s="58"/>
      <c r="B647" s="58"/>
      <c r="C647" s="58"/>
      <c r="D647" s="58"/>
      <c r="E647" s="60" t="s">
        <v>6</v>
      </c>
      <c r="F647" s="68" t="str">
        <f>$C$2</f>
        <v xml:space="preserve"> </v>
      </c>
      <c r="G647" s="58"/>
      <c r="H647" s="68"/>
      <c r="I647" s="60" t="s">
        <v>11</v>
      </c>
      <c r="J647" s="70" t="str">
        <f>$G$3</f>
        <v>A</v>
      </c>
      <c r="K647" s="70"/>
      <c r="L647" s="71"/>
      <c r="M647" s="62">
        <v>1</v>
      </c>
      <c r="N647" s="62"/>
      <c r="O647" s="62"/>
      <c r="P647" s="5"/>
      <c r="Q647" s="9"/>
      <c r="R647" s="7"/>
      <c r="S647" s="7"/>
      <c r="T647" s="2"/>
      <c r="U647" s="2"/>
      <c r="V647" s="2"/>
      <c r="W647" s="2"/>
      <c r="X647" s="2"/>
      <c r="Y647" s="2"/>
      <c r="Z647" s="2"/>
      <c r="AA647" s="2"/>
      <c r="AB647" s="2"/>
      <c r="AC647" s="2"/>
      <c r="AD647" s="2"/>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row>
    <row r="648" spans="1:185" x14ac:dyDescent="0.3">
      <c r="A648" s="58"/>
      <c r="B648" s="58"/>
      <c r="C648" s="58"/>
      <c r="D648" s="58"/>
      <c r="E648" s="60" t="s">
        <v>1</v>
      </c>
      <c r="F648" s="68" t="str">
        <f>$C$3</f>
        <v>20/10/2013</v>
      </c>
      <c r="G648" s="58"/>
      <c r="H648" s="68"/>
      <c r="I648" s="60" t="s">
        <v>12</v>
      </c>
      <c r="J648" s="61" t="str">
        <f>L648&amp;" of "&amp;$G$1</f>
        <v>13 of 20</v>
      </c>
      <c r="K648" s="68"/>
      <c r="L648" s="71">
        <f>SUM($M$1:M647)</f>
        <v>13</v>
      </c>
      <c r="M648" s="62"/>
      <c r="N648" s="62"/>
      <c r="O648" s="62"/>
      <c r="P648" s="5"/>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row>
    <row r="649" spans="1:185" x14ac:dyDescent="0.3">
      <c r="A649" s="58"/>
      <c r="B649" s="58"/>
      <c r="C649" s="58"/>
      <c r="D649" s="58"/>
      <c r="E649" s="60" t="s">
        <v>106</v>
      </c>
      <c r="F649" s="68" t="str">
        <f>$C$5</f>
        <v>STANDARD SPREADSHEET METHOD</v>
      </c>
      <c r="G649" s="58"/>
      <c r="H649" s="58"/>
      <c r="I649" s="72"/>
      <c r="J649" s="61"/>
      <c r="K649" s="58"/>
      <c r="L649" s="58"/>
      <c r="M649" s="62"/>
      <c r="N649" s="62"/>
      <c r="O649" s="62"/>
      <c r="P649" s="5"/>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row>
    <row r="650" spans="1:185" ht="15.6" x14ac:dyDescent="0.3">
      <c r="A650" s="12"/>
      <c r="B650" s="74" t="str">
        <f>$G$4</f>
        <v>SECTION PROPERTIES</v>
      </c>
      <c r="C650" s="12"/>
      <c r="D650" s="12"/>
      <c r="E650" s="12"/>
      <c r="F650" s="12"/>
      <c r="G650" s="12"/>
      <c r="H650" s="12"/>
      <c r="I650" s="12"/>
      <c r="J650" s="12"/>
      <c r="K650" s="1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row>
    <row r="651" spans="1:185" x14ac:dyDescent="0.3">
      <c r="A651" s="54"/>
      <c r="B651" s="85"/>
      <c r="C651" s="54"/>
      <c r="D651" s="54"/>
      <c r="E651" s="54"/>
    </row>
    <row r="653" spans="1:185" x14ac:dyDescent="0.3">
      <c r="A653" s="38"/>
      <c r="B653" s="39" t="s">
        <v>24</v>
      </c>
    </row>
    <row r="654" spans="1:185" x14ac:dyDescent="0.3">
      <c r="A654" s="18"/>
      <c r="B654" s="18"/>
      <c r="C654" s="18"/>
      <c r="D654" s="18"/>
      <c r="E654" s="18"/>
      <c r="F654" s="18"/>
      <c r="G654" s="18"/>
      <c r="H654" s="18"/>
      <c r="I654" s="18"/>
      <c r="J654" s="18"/>
      <c r="K654" s="18"/>
    </row>
    <row r="655" spans="1:185" x14ac:dyDescent="0.3">
      <c r="A655" s="18"/>
      <c r="B655" s="16" t="s">
        <v>33</v>
      </c>
      <c r="C655" s="20">
        <v>40</v>
      </c>
      <c r="D655" s="18" t="s">
        <v>4</v>
      </c>
    </row>
    <row r="656" spans="1:185" x14ac:dyDescent="0.3">
      <c r="A656" s="18"/>
      <c r="B656" s="40" t="s">
        <v>34</v>
      </c>
      <c r="C656" s="41">
        <v>7</v>
      </c>
      <c r="D656" s="4" t="s">
        <v>4</v>
      </c>
    </row>
    <row r="657" spans="1:11" x14ac:dyDescent="0.3">
      <c r="A657" s="18"/>
      <c r="B657" s="40" t="s">
        <v>28</v>
      </c>
      <c r="C657" s="41">
        <v>10</v>
      </c>
      <c r="D657" s="4" t="s">
        <v>45</v>
      </c>
      <c r="J657" s="21"/>
      <c r="K657" s="18"/>
    </row>
    <row r="658" spans="1:11" x14ac:dyDescent="0.3">
      <c r="A658" s="18"/>
      <c r="B658" s="18"/>
    </row>
    <row r="659" spans="1:11" x14ac:dyDescent="0.3">
      <c r="A659" s="18"/>
      <c r="B659" s="39" t="s">
        <v>29</v>
      </c>
      <c r="G659" s="42" t="s">
        <v>50</v>
      </c>
    </row>
    <row r="660" spans="1:11" x14ac:dyDescent="0.3">
      <c r="A660" s="11"/>
    </row>
    <row r="661" spans="1:11" x14ac:dyDescent="0.3">
      <c r="B661" s="16" t="s">
        <v>32</v>
      </c>
      <c r="C661" s="4" t="str">
        <f ca="1">[1]!xlv(C663)</f>
        <v>B × H</v>
      </c>
      <c r="G661" s="16" t="s">
        <v>74</v>
      </c>
      <c r="H661" s="4" t="str">
        <f ca="1">[1]!xlv(H663)</f>
        <v>(Iₓ / A)⁰·⁵</v>
      </c>
    </row>
    <row r="662" spans="1:11" x14ac:dyDescent="0.3">
      <c r="B662" s="16" t="s">
        <v>32</v>
      </c>
      <c r="C662" s="4" t="str">
        <f>[1]!xln(C663)</f>
        <v>40 × 7</v>
      </c>
      <c r="D662" s="11"/>
      <c r="G662" s="16" t="s">
        <v>74</v>
      </c>
      <c r="H662" s="4" t="str">
        <f>[1]!xln(H663)</f>
        <v>(1143 / 280)⁰·⁵</v>
      </c>
    </row>
    <row r="663" spans="1:11" x14ac:dyDescent="0.3">
      <c r="B663" s="16" t="s">
        <v>32</v>
      </c>
      <c r="C663" s="17">
        <f>C655*C656</f>
        <v>280</v>
      </c>
      <c r="D663" s="18" t="s">
        <v>68</v>
      </c>
      <c r="G663" s="16" t="s">
        <v>74</v>
      </c>
      <c r="H663" s="43">
        <f>(C673/C663)^0.5</f>
        <v>2.0207259421636903</v>
      </c>
      <c r="I663" s="18" t="s">
        <v>4</v>
      </c>
    </row>
    <row r="665" spans="1:11" x14ac:dyDescent="0.3">
      <c r="B665" s="40" t="s">
        <v>25</v>
      </c>
      <c r="C665" s="25">
        <f>C655/2</f>
        <v>20</v>
      </c>
      <c r="D665" s="4" t="s">
        <v>4</v>
      </c>
      <c r="G665" s="16" t="s">
        <v>75</v>
      </c>
      <c r="H665" s="4" t="str">
        <f ca="1">[1]!xlv(H667)</f>
        <v>(Iᵧ / A)⁰·⁵</v>
      </c>
    </row>
    <row r="666" spans="1:11" x14ac:dyDescent="0.3">
      <c r="G666" s="16" t="s">
        <v>75</v>
      </c>
      <c r="H666" s="4" t="str">
        <f>[1]!xln(H667)</f>
        <v>(37333 / 280)⁰·⁵</v>
      </c>
    </row>
    <row r="667" spans="1:11" x14ac:dyDescent="0.3">
      <c r="B667" s="40" t="s">
        <v>27</v>
      </c>
      <c r="C667" s="25">
        <f>C656/2</f>
        <v>3.5</v>
      </c>
      <c r="D667" s="4" t="s">
        <v>4</v>
      </c>
      <c r="G667" s="16" t="s">
        <v>75</v>
      </c>
      <c r="H667" s="25">
        <f>(C677/C663)^0.5</f>
        <v>11.547005383792516</v>
      </c>
      <c r="I667" s="18" t="s">
        <v>4</v>
      </c>
    </row>
    <row r="669" spans="1:11" x14ac:dyDescent="0.3">
      <c r="B669" s="39" t="s">
        <v>30</v>
      </c>
      <c r="G669" s="39" t="s">
        <v>31</v>
      </c>
      <c r="H669" s="16"/>
      <c r="I669" s="18"/>
    </row>
    <row r="670" spans="1:11" x14ac:dyDescent="0.3">
      <c r="H670" s="16"/>
      <c r="I670" s="18"/>
    </row>
    <row r="671" spans="1:11" x14ac:dyDescent="0.3">
      <c r="B671" s="16" t="s">
        <v>72</v>
      </c>
      <c r="C671" s="4" t="str">
        <f ca="1">[1]!xlv(C673)</f>
        <v>(B × H³) / 12</v>
      </c>
      <c r="G671" s="16" t="s">
        <v>72</v>
      </c>
      <c r="H671" s="4" t="str">
        <f ca="1">[1]!xlv(H673)</f>
        <v>W / A × Iₓ</v>
      </c>
    </row>
    <row r="672" spans="1:11" x14ac:dyDescent="0.3">
      <c r="B672" s="16" t="s">
        <v>72</v>
      </c>
      <c r="C672" s="4" t="str">
        <f>[1]!xln(C673)</f>
        <v>(40 × 7³) / 12</v>
      </c>
      <c r="G672" s="16" t="s">
        <v>72</v>
      </c>
      <c r="H672" s="4" t="str">
        <f>[1]!xln(H673)</f>
        <v>10 / 280 × 1143</v>
      </c>
      <c r="I672" s="11"/>
    </row>
    <row r="673" spans="2:21" x14ac:dyDescent="0.3">
      <c r="B673" s="16" t="s">
        <v>72</v>
      </c>
      <c r="C673" s="17">
        <f>(C655*C656^3)/12</f>
        <v>1143.3333333333333</v>
      </c>
      <c r="D673" s="18" t="s">
        <v>69</v>
      </c>
      <c r="G673" s="16" t="s">
        <v>72</v>
      </c>
      <c r="H673" s="46">
        <f>C657/C663*C673</f>
        <v>40.833333333333329</v>
      </c>
      <c r="I673" s="4" t="s">
        <v>46</v>
      </c>
    </row>
    <row r="675" spans="2:21" x14ac:dyDescent="0.3">
      <c r="B675" s="40" t="s">
        <v>73</v>
      </c>
      <c r="C675" s="4" t="str">
        <f ca="1">[1]!xlv(C677)</f>
        <v>(H × B³) / 12</v>
      </c>
      <c r="G675" s="40" t="s">
        <v>73</v>
      </c>
      <c r="H675" s="4" t="str">
        <f ca="1">[1]!xlv(H677)</f>
        <v>W / A × Iᵧ</v>
      </c>
    </row>
    <row r="676" spans="2:21" x14ac:dyDescent="0.3">
      <c r="B676" s="40" t="s">
        <v>73</v>
      </c>
      <c r="C676" s="4" t="str">
        <f>[1]!xln(C677)</f>
        <v>(7 × 40³) / 12</v>
      </c>
      <c r="G676" s="40" t="s">
        <v>73</v>
      </c>
      <c r="H676" s="4" t="str">
        <f>[1]!xln(H677)</f>
        <v>10 / 280 × 37333</v>
      </c>
      <c r="L676" s="4"/>
      <c r="M676" s="4"/>
      <c r="N676" s="4"/>
      <c r="O676" s="4"/>
      <c r="P676" s="4"/>
      <c r="Q676" s="4"/>
      <c r="R676" s="4"/>
      <c r="S676" s="4"/>
      <c r="T676" s="4"/>
      <c r="U676" s="4"/>
    </row>
    <row r="677" spans="2:21" x14ac:dyDescent="0.3">
      <c r="B677" s="40" t="s">
        <v>73</v>
      </c>
      <c r="C677" s="46">
        <f>(C656*C655^3)/12</f>
        <v>37333.333333333336</v>
      </c>
      <c r="D677" s="18" t="s">
        <v>69</v>
      </c>
      <c r="G677" s="40" t="s">
        <v>73</v>
      </c>
      <c r="H677" s="46">
        <f>C657/C663*C677</f>
        <v>1333.3333333333333</v>
      </c>
      <c r="I677" s="4" t="s">
        <v>46</v>
      </c>
      <c r="L677" s="4"/>
      <c r="M677" s="4"/>
      <c r="N677" s="4"/>
      <c r="O677" s="4"/>
      <c r="P677" s="4"/>
      <c r="Q677" s="4"/>
      <c r="R677" s="4"/>
      <c r="S677" s="4"/>
      <c r="T677" s="4"/>
      <c r="U677" s="4"/>
    </row>
    <row r="678" spans="2:21" x14ac:dyDescent="0.3">
      <c r="L678" s="4"/>
      <c r="M678" s="4"/>
      <c r="N678" s="4"/>
      <c r="O678" s="4"/>
      <c r="P678" s="4"/>
      <c r="Q678" s="4"/>
      <c r="R678" s="4"/>
      <c r="S678" s="4"/>
      <c r="T678" s="4"/>
      <c r="U678" s="4"/>
    </row>
    <row r="679" spans="2:21" x14ac:dyDescent="0.3">
      <c r="B679" s="16" t="s">
        <v>87</v>
      </c>
      <c r="C679" s="4" t="str">
        <f ca="1">[1]!xlv(C681)</f>
        <v>Iᵧ + Iₓ</v>
      </c>
      <c r="G679" s="16" t="s">
        <v>87</v>
      </c>
      <c r="H679" s="4" t="str">
        <f ca="1">[1]!xlv(H681)</f>
        <v>Iᵧ + Iₓ</v>
      </c>
      <c r="L679" s="4"/>
      <c r="M679" s="4"/>
      <c r="N679" s="4"/>
      <c r="O679" s="4"/>
      <c r="P679" s="4"/>
      <c r="Q679" s="4"/>
      <c r="R679" s="4"/>
      <c r="S679" s="4"/>
      <c r="T679" s="4"/>
      <c r="U679" s="4"/>
    </row>
    <row r="680" spans="2:21" x14ac:dyDescent="0.3">
      <c r="B680" s="16" t="s">
        <v>87</v>
      </c>
      <c r="C680" s="4" t="str">
        <f>[1]!xln(C681)</f>
        <v>37333 + 1143</v>
      </c>
      <c r="G680" s="16" t="s">
        <v>87</v>
      </c>
      <c r="H680" s="4" t="str">
        <f>[1]!xln(H681)</f>
        <v>1333 + 40.8</v>
      </c>
      <c r="L680" s="4"/>
      <c r="M680" s="4"/>
      <c r="N680" s="4"/>
      <c r="O680" s="4"/>
      <c r="P680" s="4"/>
      <c r="Q680" s="4"/>
      <c r="R680" s="4"/>
      <c r="S680" s="4"/>
      <c r="T680" s="4"/>
      <c r="U680" s="4"/>
    </row>
    <row r="681" spans="2:21" x14ac:dyDescent="0.3">
      <c r="B681" s="16" t="s">
        <v>87</v>
      </c>
      <c r="C681" s="17">
        <f>C677+C673</f>
        <v>38476.666666666672</v>
      </c>
      <c r="D681" s="18" t="s">
        <v>69</v>
      </c>
      <c r="G681" s="16" t="s">
        <v>87</v>
      </c>
      <c r="H681" s="46">
        <f>H677+H673</f>
        <v>1374.1666666666665</v>
      </c>
      <c r="I681" s="4" t="s">
        <v>46</v>
      </c>
      <c r="L681" s="4"/>
      <c r="M681" s="4"/>
      <c r="N681" s="4"/>
      <c r="O681" s="4"/>
      <c r="P681" s="4"/>
      <c r="Q681" s="4"/>
      <c r="R681" s="4"/>
      <c r="S681" s="4"/>
      <c r="T681" s="4"/>
      <c r="U681" s="4"/>
    </row>
    <row r="682" spans="2:21" x14ac:dyDescent="0.3">
      <c r="L682" s="4"/>
      <c r="M682" s="4"/>
      <c r="N682" s="4"/>
      <c r="O682" s="4"/>
      <c r="P682" s="4"/>
      <c r="Q682" s="4"/>
      <c r="R682" s="4"/>
      <c r="S682" s="4"/>
      <c r="T682" s="4"/>
      <c r="U682" s="4"/>
    </row>
    <row r="683" spans="2:21" x14ac:dyDescent="0.3">
      <c r="L683" s="4"/>
      <c r="M683" s="4"/>
      <c r="N683" s="4"/>
      <c r="O683" s="4"/>
      <c r="P683" s="4"/>
      <c r="Q683" s="4"/>
      <c r="R683" s="4"/>
      <c r="S683" s="4"/>
      <c r="T683" s="4"/>
      <c r="U683" s="4"/>
    </row>
    <row r="684" spans="2:21" x14ac:dyDescent="0.3">
      <c r="L684" s="4"/>
      <c r="M684" s="4"/>
      <c r="N684" s="4"/>
      <c r="O684" s="4"/>
      <c r="P684" s="4"/>
      <c r="Q684" s="4"/>
      <c r="R684" s="4"/>
      <c r="S684" s="4"/>
      <c r="T684" s="4"/>
      <c r="U684" s="4"/>
    </row>
    <row r="685" spans="2:21" x14ac:dyDescent="0.3">
      <c r="L685" s="4"/>
      <c r="M685" s="4"/>
      <c r="N685" s="4"/>
      <c r="O685" s="4"/>
      <c r="P685" s="4"/>
      <c r="Q685" s="4"/>
      <c r="R685" s="4"/>
      <c r="S685" s="4"/>
      <c r="T685" s="4"/>
      <c r="U685" s="4"/>
    </row>
    <row r="686" spans="2:21" x14ac:dyDescent="0.3">
      <c r="L686" s="4"/>
      <c r="M686" s="4"/>
      <c r="N686" s="4"/>
      <c r="O686" s="4"/>
      <c r="P686" s="4"/>
      <c r="Q686" s="4"/>
      <c r="R686" s="4"/>
      <c r="S686" s="4"/>
      <c r="T686" s="4"/>
      <c r="U686" s="4"/>
    </row>
    <row r="687" spans="2:21" x14ac:dyDescent="0.3">
      <c r="L687" s="4"/>
      <c r="M687" s="4"/>
      <c r="N687" s="4"/>
      <c r="O687" s="4"/>
      <c r="P687" s="4"/>
      <c r="Q687" s="4"/>
      <c r="R687" s="4"/>
      <c r="S687" s="4"/>
      <c r="T687" s="4"/>
      <c r="U687" s="4"/>
    </row>
    <row r="688" spans="2:21" x14ac:dyDescent="0.3">
      <c r="L688" s="4"/>
      <c r="M688" s="4"/>
      <c r="N688" s="4"/>
      <c r="O688" s="4"/>
      <c r="P688" s="4"/>
      <c r="Q688" s="4"/>
      <c r="R688" s="4"/>
      <c r="S688" s="4"/>
      <c r="T688" s="4"/>
      <c r="U688" s="4"/>
    </row>
    <row r="689" spans="1:185" x14ac:dyDescent="0.3">
      <c r="L689" s="4"/>
      <c r="M689" s="4"/>
      <c r="N689" s="4"/>
      <c r="O689" s="4"/>
      <c r="P689" s="4"/>
      <c r="Q689" s="4"/>
      <c r="R689" s="4"/>
      <c r="S689" s="4"/>
      <c r="T689" s="4"/>
      <c r="U689" s="4"/>
    </row>
    <row r="690" spans="1:185" x14ac:dyDescent="0.3">
      <c r="L690" s="4"/>
      <c r="M690" s="4"/>
      <c r="N690" s="4"/>
      <c r="O690" s="4"/>
      <c r="P690" s="4"/>
      <c r="Q690" s="4"/>
      <c r="R690" s="4"/>
      <c r="S690" s="4"/>
      <c r="T690" s="4"/>
      <c r="U690" s="4"/>
    </row>
    <row r="691" spans="1:185" x14ac:dyDescent="0.3">
      <c r="L691" s="4"/>
      <c r="M691" s="4"/>
      <c r="N691" s="4"/>
      <c r="O691" s="4"/>
      <c r="P691" s="4"/>
      <c r="Q691" s="4"/>
      <c r="R691" s="4"/>
      <c r="S691" s="4"/>
      <c r="T691" s="4"/>
      <c r="U691" s="4"/>
    </row>
    <row r="692" spans="1:185" x14ac:dyDescent="0.3">
      <c r="L692" s="4"/>
      <c r="M692" s="4"/>
      <c r="N692" s="4"/>
      <c r="O692" s="4"/>
      <c r="P692" s="4"/>
      <c r="Q692" s="4"/>
      <c r="R692" s="4"/>
      <c r="S692" s="4"/>
      <c r="T692" s="4"/>
      <c r="U692" s="4"/>
    </row>
    <row r="693" spans="1:185" x14ac:dyDescent="0.3">
      <c r="L693" s="4"/>
      <c r="M693" s="4"/>
      <c r="N693" s="4"/>
      <c r="O693" s="4"/>
      <c r="P693" s="4"/>
      <c r="Q693" s="4"/>
      <c r="R693" s="4"/>
      <c r="S693" s="4"/>
      <c r="T693" s="4"/>
      <c r="U693" s="4"/>
    </row>
    <row r="694" spans="1:185" x14ac:dyDescent="0.3">
      <c r="L694" s="4"/>
      <c r="M694" s="4"/>
      <c r="N694" s="4"/>
      <c r="O694" s="4"/>
      <c r="P694" s="4"/>
      <c r="Q694" s="4"/>
      <c r="R694" s="4"/>
      <c r="S694" s="4"/>
      <c r="T694" s="4"/>
      <c r="U694" s="4"/>
    </row>
    <row r="695" spans="1:185" x14ac:dyDescent="0.3">
      <c r="L695" s="4"/>
      <c r="M695" s="4"/>
      <c r="N695" s="4"/>
      <c r="O695" s="4"/>
      <c r="P695" s="4"/>
      <c r="Q695" s="4"/>
      <c r="R695" s="4"/>
      <c r="S695" s="4"/>
      <c r="T695" s="4"/>
      <c r="U695" s="4"/>
    </row>
    <row r="696" spans="1:185" x14ac:dyDescent="0.3">
      <c r="L696" s="4"/>
      <c r="M696" s="4"/>
      <c r="N696" s="4"/>
      <c r="O696" s="4"/>
      <c r="P696" s="4"/>
      <c r="Q696" s="4"/>
      <c r="R696" s="4"/>
      <c r="S696" s="4"/>
      <c r="T696" s="4"/>
      <c r="U696" s="4"/>
    </row>
    <row r="697" spans="1:185" x14ac:dyDescent="0.3">
      <c r="L697" s="4"/>
      <c r="M697" s="4"/>
      <c r="N697" s="4"/>
      <c r="O697" s="4"/>
      <c r="P697" s="4"/>
      <c r="Q697" s="4"/>
      <c r="R697" s="4"/>
      <c r="S697" s="4"/>
      <c r="T697" s="4"/>
      <c r="U697" s="4"/>
    </row>
    <row r="698" spans="1:185" x14ac:dyDescent="0.3">
      <c r="L698" s="4"/>
      <c r="M698" s="4"/>
      <c r="N698" s="4"/>
      <c r="O698" s="4"/>
      <c r="P698" s="4"/>
      <c r="Q698" s="4"/>
      <c r="R698" s="4"/>
      <c r="S698" s="4"/>
      <c r="T698" s="4"/>
      <c r="U698" s="4"/>
    </row>
    <row r="699" spans="1:185" x14ac:dyDescent="0.3">
      <c r="A699" s="12"/>
      <c r="B699" s="3"/>
      <c r="C699" s="86"/>
      <c r="D699" s="12"/>
      <c r="E699" s="12"/>
      <c r="F699" s="12"/>
      <c r="G699" s="86"/>
      <c r="H699" s="12"/>
      <c r="I699" s="12"/>
      <c r="J699" s="12"/>
      <c r="K699" s="12"/>
    </row>
    <row r="700" spans="1:185" x14ac:dyDescent="0.3">
      <c r="A700" s="12"/>
      <c r="B700" s="87"/>
      <c r="C700" s="86"/>
      <c r="D700" s="88"/>
      <c r="E700" s="88"/>
      <c r="F700" s="89" t="s">
        <v>161</v>
      </c>
      <c r="G700" s="86"/>
      <c r="H700" s="88"/>
      <c r="I700" s="88"/>
      <c r="J700" s="88"/>
      <c r="K700" s="12"/>
    </row>
    <row r="701" spans="1:185" x14ac:dyDescent="0.3">
      <c r="A701" s="12"/>
      <c r="B701" s="88"/>
      <c r="C701" s="88"/>
      <c r="D701" s="88"/>
      <c r="E701" s="88"/>
      <c r="F701" s="104" t="s">
        <v>162</v>
      </c>
      <c r="G701" s="88"/>
      <c r="H701" s="88"/>
      <c r="I701" s="88"/>
      <c r="J701" s="88"/>
      <c r="K701" s="12"/>
    </row>
    <row r="702" spans="1:185" x14ac:dyDescent="0.3">
      <c r="A702" s="67"/>
      <c r="B702" s="58"/>
      <c r="C702" s="58"/>
      <c r="D702" s="58"/>
      <c r="E702" s="60" t="s">
        <v>5</v>
      </c>
      <c r="F702" s="61" t="str">
        <f>$C$1</f>
        <v>R. Abbott</v>
      </c>
      <c r="G702" s="58"/>
      <c r="H702" s="68"/>
      <c r="I702" s="60" t="s">
        <v>10</v>
      </c>
      <c r="J702" s="69" t="str">
        <f>$G$2</f>
        <v>AA-SM-001-000</v>
      </c>
      <c r="K702" s="70"/>
      <c r="L702" s="71"/>
      <c r="M702" s="62"/>
      <c r="N702" s="62"/>
      <c r="O702" s="62"/>
      <c r="P702" s="5"/>
      <c r="AD702" s="8"/>
    </row>
    <row r="703" spans="1:185" s="10" customFormat="1" x14ac:dyDescent="0.3">
      <c r="A703" s="58"/>
      <c r="B703" s="58"/>
      <c r="C703" s="58"/>
      <c r="D703" s="58"/>
      <c r="E703" s="60" t="s">
        <v>6</v>
      </c>
      <c r="F703" s="68" t="str">
        <f>$C$2</f>
        <v xml:space="preserve"> </v>
      </c>
      <c r="G703" s="58"/>
      <c r="H703" s="68"/>
      <c r="I703" s="60" t="s">
        <v>11</v>
      </c>
      <c r="J703" s="70" t="str">
        <f>$G$3</f>
        <v>A</v>
      </c>
      <c r="K703" s="70"/>
      <c r="L703" s="71"/>
      <c r="M703" s="62">
        <v>1</v>
      </c>
      <c r="N703" s="62"/>
      <c r="O703" s="62"/>
      <c r="P703" s="5"/>
      <c r="Q703" s="9"/>
      <c r="R703" s="7"/>
      <c r="S703" s="7"/>
      <c r="T703" s="2"/>
      <c r="U703" s="2"/>
      <c r="V703" s="2"/>
      <c r="W703" s="2"/>
      <c r="X703" s="2"/>
      <c r="Y703" s="2"/>
      <c r="Z703" s="2"/>
      <c r="AA703" s="2"/>
      <c r="AB703" s="2"/>
      <c r="AC703" s="2"/>
      <c r="AD703" s="2"/>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row>
    <row r="704" spans="1:185" x14ac:dyDescent="0.3">
      <c r="A704" s="58"/>
      <c r="B704" s="58"/>
      <c r="C704" s="58"/>
      <c r="D704" s="58"/>
      <c r="E704" s="60" t="s">
        <v>1</v>
      </c>
      <c r="F704" s="68" t="str">
        <f>$C$3</f>
        <v>20/10/2013</v>
      </c>
      <c r="G704" s="58"/>
      <c r="H704" s="68"/>
      <c r="I704" s="60" t="s">
        <v>12</v>
      </c>
      <c r="J704" s="61" t="str">
        <f>L704&amp;" of "&amp;$G$1</f>
        <v>14 of 20</v>
      </c>
      <c r="K704" s="68"/>
      <c r="L704" s="71">
        <f>SUM($M$1:M703)</f>
        <v>14</v>
      </c>
      <c r="M704" s="62"/>
      <c r="N704" s="62"/>
      <c r="O704" s="62"/>
      <c r="P704" s="5"/>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row>
    <row r="705" spans="1:185" x14ac:dyDescent="0.3">
      <c r="A705" s="58"/>
      <c r="B705" s="58"/>
      <c r="C705" s="58"/>
      <c r="D705" s="58"/>
      <c r="E705" s="60" t="s">
        <v>106</v>
      </c>
      <c r="F705" s="68" t="str">
        <f>$C$5</f>
        <v>STANDARD SPREADSHEET METHOD</v>
      </c>
      <c r="G705" s="58"/>
      <c r="H705" s="58"/>
      <c r="I705" s="72"/>
      <c r="J705" s="61"/>
      <c r="K705" s="58"/>
      <c r="L705" s="58"/>
      <c r="M705" s="62"/>
      <c r="N705" s="62"/>
      <c r="O705" s="62"/>
      <c r="P705" s="5"/>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c r="FE705" s="2"/>
      <c r="FF705" s="2"/>
      <c r="FG705" s="2"/>
      <c r="FH705" s="2"/>
      <c r="FI705" s="2"/>
      <c r="FJ705" s="2"/>
      <c r="FK705" s="2"/>
      <c r="FL705" s="2"/>
      <c r="FM705" s="2"/>
      <c r="FN705" s="2"/>
      <c r="FO705" s="2"/>
      <c r="FP705" s="2"/>
      <c r="FQ705" s="2"/>
      <c r="FR705" s="2"/>
      <c r="FS705" s="2"/>
      <c r="FT705" s="2"/>
      <c r="FU705" s="2"/>
      <c r="FV705" s="2"/>
      <c r="FW705" s="2"/>
      <c r="FX705" s="2"/>
      <c r="FY705" s="2"/>
      <c r="FZ705" s="2"/>
      <c r="GA705" s="2"/>
      <c r="GB705" s="2"/>
      <c r="GC705" s="2"/>
    </row>
    <row r="706" spans="1:185" ht="15.6" x14ac:dyDescent="0.3">
      <c r="A706" s="12"/>
      <c r="B706" s="74" t="str">
        <f>$G$4</f>
        <v>SECTION PROPERTIES</v>
      </c>
      <c r="C706" s="12"/>
      <c r="D706" s="12"/>
      <c r="E706" s="12"/>
      <c r="F706" s="12"/>
      <c r="G706" s="12"/>
      <c r="H706" s="12"/>
      <c r="I706" s="12"/>
      <c r="J706" s="12"/>
      <c r="K706" s="1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c r="FE706" s="2"/>
      <c r="FF706" s="2"/>
      <c r="FG706" s="2"/>
      <c r="FH706" s="2"/>
      <c r="FI706" s="2"/>
      <c r="FJ706" s="2"/>
      <c r="FK706" s="2"/>
      <c r="FL706" s="2"/>
      <c r="FM706" s="2"/>
      <c r="FN706" s="2"/>
      <c r="FO706" s="2"/>
      <c r="FP706" s="2"/>
      <c r="FQ706" s="2"/>
      <c r="FR706" s="2"/>
      <c r="FS706" s="2"/>
      <c r="FT706" s="2"/>
      <c r="FU706" s="2"/>
      <c r="FV706" s="2"/>
      <c r="FW706" s="2"/>
      <c r="FX706" s="2"/>
      <c r="FY706" s="2"/>
      <c r="FZ706" s="2"/>
      <c r="GA706" s="2"/>
      <c r="GB706" s="2"/>
      <c r="GC706" s="2"/>
    </row>
    <row r="707" spans="1:185" x14ac:dyDescent="0.3">
      <c r="A707" s="54"/>
      <c r="B707" s="85"/>
      <c r="C707" s="54"/>
      <c r="D707" s="54"/>
      <c r="E707" s="54"/>
    </row>
    <row r="708" spans="1:185" x14ac:dyDescent="0.3">
      <c r="A708" s="11"/>
      <c r="B708" s="11"/>
      <c r="C708" s="11"/>
      <c r="D708" s="15"/>
      <c r="E708" s="11"/>
      <c r="F708" s="11"/>
      <c r="G708" s="11"/>
      <c r="H708" s="11"/>
      <c r="I708" s="11"/>
      <c r="J708" s="11"/>
      <c r="K708" s="11"/>
    </row>
    <row r="710" spans="1:185" x14ac:dyDescent="0.3">
      <c r="A710" s="38"/>
      <c r="B710" s="39" t="s">
        <v>80</v>
      </c>
    </row>
    <row r="711" spans="1:185" x14ac:dyDescent="0.3">
      <c r="A711" s="18"/>
      <c r="B711" s="18"/>
      <c r="C711" s="18"/>
      <c r="D711" s="18"/>
      <c r="E711" s="18"/>
      <c r="F711" s="18"/>
      <c r="G711" s="18"/>
      <c r="H711" s="18"/>
      <c r="I711" s="18"/>
      <c r="J711" s="18"/>
      <c r="K711" s="18"/>
    </row>
    <row r="712" spans="1:185" x14ac:dyDescent="0.3">
      <c r="A712" s="18"/>
      <c r="B712" s="16" t="s">
        <v>81</v>
      </c>
      <c r="C712" s="43">
        <f>C713-F713</f>
        <v>4.96</v>
      </c>
      <c r="D712" s="18" t="s">
        <v>4</v>
      </c>
      <c r="E712" s="40" t="s">
        <v>52</v>
      </c>
      <c r="F712" s="41">
        <v>6</v>
      </c>
      <c r="G712" s="4" t="s">
        <v>4</v>
      </c>
      <c r="H712" s="49"/>
      <c r="U712" s="50"/>
    </row>
    <row r="713" spans="1:185" x14ac:dyDescent="0.3">
      <c r="A713" s="18"/>
      <c r="B713" s="40" t="s">
        <v>51</v>
      </c>
      <c r="C713" s="41">
        <v>5</v>
      </c>
      <c r="D713" s="4" t="s">
        <v>4</v>
      </c>
      <c r="E713" s="40" t="s">
        <v>83</v>
      </c>
      <c r="F713" s="78">
        <v>0.04</v>
      </c>
      <c r="G713" s="4" t="s">
        <v>4</v>
      </c>
      <c r="H713" s="49" t="str">
        <f>IF(F713&gt;C713,"ERROR","")</f>
        <v/>
      </c>
    </row>
    <row r="714" spans="1:185" x14ac:dyDescent="0.3">
      <c r="A714" s="18"/>
      <c r="B714" s="40" t="s">
        <v>82</v>
      </c>
      <c r="C714" s="25">
        <f>F712-F713</f>
        <v>5.96</v>
      </c>
      <c r="D714" s="4" t="s">
        <v>4</v>
      </c>
      <c r="J714" s="21"/>
      <c r="K714" s="18"/>
    </row>
    <row r="715" spans="1:185" x14ac:dyDescent="0.3">
      <c r="A715" s="18"/>
      <c r="B715" s="18"/>
      <c r="U715" s="50"/>
    </row>
    <row r="716" spans="1:185" x14ac:dyDescent="0.3">
      <c r="A716" s="18"/>
      <c r="B716" s="39" t="s">
        <v>29</v>
      </c>
      <c r="G716" s="42"/>
    </row>
    <row r="717" spans="1:185" x14ac:dyDescent="0.3">
      <c r="A717" s="11"/>
    </row>
    <row r="718" spans="1:185" x14ac:dyDescent="0.3">
      <c r="B718" s="16" t="s">
        <v>32</v>
      </c>
      <c r="C718" s="4" t="str">
        <f ca="1">[1]!xlv(C720)</f>
        <v>t × (b + e)</v>
      </c>
      <c r="G718" s="16"/>
    </row>
    <row r="719" spans="1:185" x14ac:dyDescent="0.3">
      <c r="B719" s="16" t="s">
        <v>32</v>
      </c>
      <c r="C719" s="4" t="str">
        <f>[1]!xln(C720)</f>
        <v>0.04 × (5 + 5.96)</v>
      </c>
      <c r="D719" s="11"/>
      <c r="G719" s="16"/>
    </row>
    <row r="720" spans="1:185" x14ac:dyDescent="0.3">
      <c r="B720" s="16" t="s">
        <v>32</v>
      </c>
      <c r="C720" s="29">
        <f>F713*(C713+C714)</f>
        <v>0.43840000000000007</v>
      </c>
      <c r="D720" s="18" t="s">
        <v>68</v>
      </c>
      <c r="G720" s="16"/>
      <c r="H720" s="43"/>
      <c r="I720" s="18"/>
    </row>
    <row r="721" spans="1:21" x14ac:dyDescent="0.3">
      <c r="C721" s="51"/>
    </row>
    <row r="722" spans="1:21" x14ac:dyDescent="0.3">
      <c r="B722" s="40" t="s">
        <v>25</v>
      </c>
      <c r="C722" s="51" t="str">
        <f ca="1">[1]!xlv(C724)</f>
        <v>(t × (2 × a + h) + a²) / (2 × (a + h))</v>
      </c>
      <c r="G722" s="16"/>
      <c r="U722" s="50"/>
    </row>
    <row r="723" spans="1:21" x14ac:dyDescent="0.3">
      <c r="B723" s="40" t="s">
        <v>25</v>
      </c>
      <c r="C723" s="4" t="str">
        <f>[1]!xln(C724)</f>
        <v>(0.04 × (2 × 4.96 + 6) + 4.96²) / (2 × (4.96 + 6))</v>
      </c>
      <c r="G723" s="16"/>
    </row>
    <row r="724" spans="1:21" x14ac:dyDescent="0.3">
      <c r="B724" s="40" t="s">
        <v>25</v>
      </c>
      <c r="C724" s="51">
        <f>(F713*(2*C712+F712)+C712^2)/(2*(C712+F712))</f>
        <v>1.1513868613138687</v>
      </c>
      <c r="D724" s="4" t="s">
        <v>4</v>
      </c>
      <c r="G724" s="16"/>
      <c r="H724" s="25"/>
      <c r="I724" s="18"/>
    </row>
    <row r="725" spans="1:21" x14ac:dyDescent="0.3">
      <c r="C725" s="51"/>
    </row>
    <row r="726" spans="1:21" x14ac:dyDescent="0.3">
      <c r="B726" s="40" t="s">
        <v>27</v>
      </c>
      <c r="C726" s="51" t="str">
        <f ca="1">[1]!xlv(C728)</f>
        <v>(t × (b + 2 × e) + e²) / (2 × (b + e))</v>
      </c>
      <c r="G726" s="39"/>
      <c r="H726" s="16"/>
      <c r="I726" s="18"/>
    </row>
    <row r="727" spans="1:21" x14ac:dyDescent="0.3">
      <c r="B727" s="40" t="s">
        <v>27</v>
      </c>
      <c r="C727" s="4" t="str">
        <f>[1]!xln(C728)</f>
        <v>(0.04 × (5 + 2 × 5.96) + 5.96²) / (2 × (5 + 5.96))</v>
      </c>
      <c r="H727" s="16"/>
      <c r="I727" s="18"/>
    </row>
    <row r="728" spans="1:21" x14ac:dyDescent="0.3">
      <c r="B728" s="40" t="s">
        <v>27</v>
      </c>
      <c r="C728" s="51">
        <f>(F713*(C713+2*C714)+C714^2)/(2*(C713+C714))</f>
        <v>1.6513868613138685</v>
      </c>
      <c r="D728" s="4" t="s">
        <v>4</v>
      </c>
      <c r="G728" s="16"/>
    </row>
    <row r="729" spans="1:21" x14ac:dyDescent="0.3">
      <c r="C729" s="51"/>
      <c r="G729" s="16"/>
      <c r="I729" s="11"/>
    </row>
    <row r="730" spans="1:21" x14ac:dyDescent="0.3">
      <c r="B730" s="39" t="s">
        <v>30</v>
      </c>
      <c r="C730" s="51"/>
      <c r="G730" s="16"/>
      <c r="H730" s="46"/>
    </row>
    <row r="731" spans="1:21" x14ac:dyDescent="0.3">
      <c r="C731" s="51"/>
    </row>
    <row r="732" spans="1:21" x14ac:dyDescent="0.3">
      <c r="B732" s="16" t="s">
        <v>72</v>
      </c>
      <c r="C732" s="51" t="str">
        <f ca="1">[1]!xlv(C734)</f>
        <v>(t × (h - ẏ)³ + b × ẏ³ - a × (ẏ - t)³) / 3</v>
      </c>
      <c r="G732" s="40"/>
    </row>
    <row r="733" spans="1:21" x14ac:dyDescent="0.3">
      <c r="A733" s="11"/>
      <c r="B733" s="16" t="s">
        <v>72</v>
      </c>
      <c r="C733" s="4" t="str">
        <f>[1]!xln(C734)</f>
        <v>(0.04 × (6 - 1.65)³ + 5 × 1.65³ - 4.96 × (1.65 - 0.04)³) / 3</v>
      </c>
      <c r="G733" s="40"/>
      <c r="K733" s="11"/>
    </row>
    <row r="734" spans="1:21" x14ac:dyDescent="0.3">
      <c r="A734" s="11"/>
      <c r="B734" s="16" t="s">
        <v>72</v>
      </c>
      <c r="C734" s="29">
        <f>(F713*(F712-C728)^3+C713*C728^3-C712*(C728-F713)^3)/3</f>
        <v>1.6845545701216551</v>
      </c>
      <c r="D734" s="18" t="s">
        <v>69</v>
      </c>
      <c r="G734" s="40"/>
      <c r="H734" s="46"/>
      <c r="K734" s="11"/>
    </row>
    <row r="735" spans="1:21" x14ac:dyDescent="0.3">
      <c r="C735" s="51"/>
    </row>
    <row r="736" spans="1:21" x14ac:dyDescent="0.3">
      <c r="B736" s="40" t="s">
        <v>73</v>
      </c>
      <c r="C736" s="51" t="str">
        <f ca="1">[1]!xlv(C738)</f>
        <v>(t × (b - ẋ)³ + h × ẋ³ - e × (ẋ - t)³) / 3</v>
      </c>
      <c r="G736" s="16"/>
    </row>
    <row r="737" spans="2:10" x14ac:dyDescent="0.3">
      <c r="B737" s="40" t="s">
        <v>73</v>
      </c>
      <c r="C737" s="4" t="str">
        <f>[1]!xln(C738)</f>
        <v>(0.04 × (5 - 1.15)³ + 6 × 1.15³ - 5.96 × (1.15 - 0.04)³) / 3</v>
      </c>
      <c r="G737" s="16"/>
    </row>
    <row r="738" spans="2:10" x14ac:dyDescent="0.3">
      <c r="B738" s="40" t="s">
        <v>73</v>
      </c>
      <c r="C738" s="51">
        <f>(F713*(C713-C724)^3+F712*C724^3-C714*(C724-F713)^3)/3</f>
        <v>1.0856105701216545</v>
      </c>
      <c r="D738" s="18" t="s">
        <v>69</v>
      </c>
      <c r="G738" s="16"/>
      <c r="H738" s="46"/>
    </row>
    <row r="739" spans="2:10" x14ac:dyDescent="0.3">
      <c r="C739" s="51"/>
    </row>
    <row r="740" spans="2:10" x14ac:dyDescent="0.3">
      <c r="B740" s="16" t="s">
        <v>84</v>
      </c>
      <c r="C740" s="51" t="str">
        <f ca="1">[1]!xlv(C742)</f>
        <v>(h × b³ - e × a³) / 12</v>
      </c>
    </row>
    <row r="741" spans="2:10" x14ac:dyDescent="0.3">
      <c r="B741" s="16" t="s">
        <v>84</v>
      </c>
      <c r="C741" s="4" t="str">
        <f>[1]!xln(C742)</f>
        <v>(6 × 5³ - 5.96 × 4.96³) / 12</v>
      </c>
    </row>
    <row r="742" spans="2:10" x14ac:dyDescent="0.3">
      <c r="B742" s="16" t="s">
        <v>84</v>
      </c>
      <c r="C742" s="51">
        <f>(F712*C713^3-C714*C712^3)/12</f>
        <v>1.8947784533333352</v>
      </c>
      <c r="D742" s="18" t="s">
        <v>69</v>
      </c>
      <c r="G742" s="35"/>
      <c r="H742" s="35"/>
      <c r="I742" s="35"/>
      <c r="J742" s="16"/>
    </row>
    <row r="743" spans="2:10" x14ac:dyDescent="0.3">
      <c r="C743" s="51"/>
      <c r="I743" s="30"/>
    </row>
    <row r="744" spans="2:10" x14ac:dyDescent="0.3">
      <c r="B744" s="16" t="s">
        <v>87</v>
      </c>
      <c r="C744" s="51" t="str">
        <f ca="1">[1]!xlv(C746)</f>
        <v>Iᵧ + Iₓ</v>
      </c>
      <c r="F744" s="30"/>
      <c r="G744" s="30"/>
      <c r="H744" s="30"/>
    </row>
    <row r="745" spans="2:10" x14ac:dyDescent="0.3">
      <c r="B745" s="16" t="s">
        <v>87</v>
      </c>
      <c r="C745" s="4" t="str">
        <f>[1]!xln(C746)</f>
        <v>1.09 + 1.68</v>
      </c>
      <c r="F745" s="30"/>
      <c r="G745" s="30"/>
      <c r="H745" s="30"/>
    </row>
    <row r="746" spans="2:10" x14ac:dyDescent="0.3">
      <c r="B746" s="16" t="s">
        <v>87</v>
      </c>
      <c r="C746" s="29">
        <f>C738+C734</f>
        <v>2.7701651402433098</v>
      </c>
      <c r="D746" s="18" t="s">
        <v>69</v>
      </c>
    </row>
    <row r="755" spans="1:185" x14ac:dyDescent="0.3">
      <c r="A755" s="12"/>
      <c r="B755" s="3"/>
      <c r="C755" s="86"/>
      <c r="D755" s="12"/>
      <c r="E755" s="12"/>
      <c r="F755" s="12"/>
      <c r="G755" s="86"/>
      <c r="H755" s="12"/>
      <c r="I755" s="12"/>
      <c r="J755" s="12"/>
      <c r="K755" s="12"/>
    </row>
    <row r="756" spans="1:185" x14ac:dyDescent="0.3">
      <c r="A756" s="12"/>
      <c r="B756" s="87"/>
      <c r="C756" s="86"/>
      <c r="D756" s="88"/>
      <c r="E756" s="88"/>
      <c r="F756" s="89" t="s">
        <v>161</v>
      </c>
      <c r="G756" s="86"/>
      <c r="H756" s="88"/>
      <c r="I756" s="88"/>
      <c r="J756" s="88"/>
      <c r="K756" s="12"/>
    </row>
    <row r="757" spans="1:185" x14ac:dyDescent="0.3">
      <c r="A757" s="12"/>
      <c r="B757" s="88"/>
      <c r="C757" s="88"/>
      <c r="D757" s="88"/>
      <c r="E757" s="88"/>
      <c r="F757" s="104" t="s">
        <v>162</v>
      </c>
      <c r="G757" s="88"/>
      <c r="H757" s="88"/>
      <c r="I757" s="88"/>
      <c r="J757" s="88"/>
      <c r="K757" s="12"/>
    </row>
    <row r="758" spans="1:185" x14ac:dyDescent="0.3">
      <c r="A758" s="67"/>
      <c r="B758" s="58"/>
      <c r="C758" s="58"/>
      <c r="D758" s="58"/>
      <c r="E758" s="60" t="s">
        <v>5</v>
      </c>
      <c r="F758" s="61" t="str">
        <f>$C$1</f>
        <v>R. Abbott</v>
      </c>
      <c r="G758" s="58"/>
      <c r="H758" s="68"/>
      <c r="I758" s="60" t="s">
        <v>10</v>
      </c>
      <c r="J758" s="69" t="str">
        <f>$G$2</f>
        <v>AA-SM-001-000</v>
      </c>
      <c r="K758" s="70"/>
      <c r="L758" s="71"/>
      <c r="M758" s="62"/>
      <c r="N758" s="62"/>
      <c r="O758" s="62"/>
      <c r="P758" s="5"/>
      <c r="AD758" s="8"/>
    </row>
    <row r="759" spans="1:185" s="10" customFormat="1" x14ac:dyDescent="0.3">
      <c r="A759" s="58"/>
      <c r="B759" s="58"/>
      <c r="C759" s="58"/>
      <c r="D759" s="58"/>
      <c r="E759" s="60" t="s">
        <v>6</v>
      </c>
      <c r="F759" s="68" t="str">
        <f>$C$2</f>
        <v xml:space="preserve"> </v>
      </c>
      <c r="G759" s="58"/>
      <c r="H759" s="68"/>
      <c r="I759" s="60" t="s">
        <v>11</v>
      </c>
      <c r="J759" s="70" t="str">
        <f>$G$3</f>
        <v>A</v>
      </c>
      <c r="K759" s="70"/>
      <c r="L759" s="71"/>
      <c r="M759" s="62">
        <v>1</v>
      </c>
      <c r="N759" s="62"/>
      <c r="O759" s="62"/>
      <c r="P759" s="5"/>
      <c r="Q759" s="9"/>
      <c r="R759" s="7"/>
      <c r="S759" s="7"/>
      <c r="T759" s="2"/>
      <c r="U759" s="2"/>
      <c r="V759" s="2"/>
      <c r="W759" s="2"/>
      <c r="X759" s="2"/>
      <c r="Y759" s="2"/>
      <c r="Z759" s="2"/>
      <c r="AA759" s="2"/>
      <c r="AB759" s="2"/>
      <c r="AC759" s="2"/>
      <c r="AD759" s="2"/>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row>
    <row r="760" spans="1:185" x14ac:dyDescent="0.3">
      <c r="A760" s="58"/>
      <c r="B760" s="58"/>
      <c r="C760" s="58"/>
      <c r="D760" s="58"/>
      <c r="E760" s="60" t="s">
        <v>1</v>
      </c>
      <c r="F760" s="68" t="str">
        <f>$C$3</f>
        <v>20/10/2013</v>
      </c>
      <c r="G760" s="58"/>
      <c r="H760" s="68"/>
      <c r="I760" s="60" t="s">
        <v>12</v>
      </c>
      <c r="J760" s="61" t="str">
        <f>L760&amp;" of "&amp;$G$1</f>
        <v>15 of 20</v>
      </c>
      <c r="K760" s="68"/>
      <c r="L760" s="71">
        <f>SUM($M$1:M759)</f>
        <v>15</v>
      </c>
      <c r="M760" s="62"/>
      <c r="N760" s="62"/>
      <c r="O760" s="62"/>
      <c r="P760" s="5"/>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c r="FE760" s="2"/>
      <c r="FF760" s="2"/>
      <c r="FG760" s="2"/>
      <c r="FH760" s="2"/>
      <c r="FI760" s="2"/>
      <c r="FJ760" s="2"/>
      <c r="FK760" s="2"/>
      <c r="FL760" s="2"/>
      <c r="FM760" s="2"/>
      <c r="FN760" s="2"/>
      <c r="FO760" s="2"/>
      <c r="FP760" s="2"/>
      <c r="FQ760" s="2"/>
      <c r="FR760" s="2"/>
      <c r="FS760" s="2"/>
      <c r="FT760" s="2"/>
      <c r="FU760" s="2"/>
      <c r="FV760" s="2"/>
      <c r="FW760" s="2"/>
      <c r="FX760" s="2"/>
      <c r="FY760" s="2"/>
      <c r="FZ760" s="2"/>
      <c r="GA760" s="2"/>
      <c r="GB760" s="2"/>
      <c r="GC760" s="2"/>
    </row>
    <row r="761" spans="1:185" x14ac:dyDescent="0.3">
      <c r="A761" s="58"/>
      <c r="B761" s="58"/>
      <c r="C761" s="58"/>
      <c r="D761" s="58"/>
      <c r="E761" s="60" t="s">
        <v>106</v>
      </c>
      <c r="F761" s="68" t="str">
        <f>$C$5</f>
        <v>STANDARD SPREADSHEET METHOD</v>
      </c>
      <c r="G761" s="58"/>
      <c r="H761" s="58"/>
      <c r="I761" s="72"/>
      <c r="J761" s="61"/>
      <c r="K761" s="58"/>
      <c r="L761" s="58"/>
      <c r="M761" s="62"/>
      <c r="N761" s="62"/>
      <c r="O761" s="62"/>
      <c r="P761" s="5"/>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c r="FE761" s="2"/>
      <c r="FF761" s="2"/>
      <c r="FG761" s="2"/>
      <c r="FH761" s="2"/>
      <c r="FI761" s="2"/>
      <c r="FJ761" s="2"/>
      <c r="FK761" s="2"/>
      <c r="FL761" s="2"/>
      <c r="FM761" s="2"/>
      <c r="FN761" s="2"/>
      <c r="FO761" s="2"/>
      <c r="FP761" s="2"/>
      <c r="FQ761" s="2"/>
      <c r="FR761" s="2"/>
      <c r="FS761" s="2"/>
      <c r="FT761" s="2"/>
      <c r="FU761" s="2"/>
      <c r="FV761" s="2"/>
      <c r="FW761" s="2"/>
      <c r="FX761" s="2"/>
      <c r="FY761" s="2"/>
      <c r="FZ761" s="2"/>
      <c r="GA761" s="2"/>
      <c r="GB761" s="2"/>
      <c r="GC761" s="2"/>
    </row>
    <row r="762" spans="1:185" ht="15.6" x14ac:dyDescent="0.3">
      <c r="A762" s="12"/>
      <c r="B762" s="74" t="str">
        <f>$G$4</f>
        <v>SECTION PROPERTIES</v>
      </c>
      <c r="C762" s="12"/>
      <c r="D762" s="12"/>
      <c r="E762" s="12"/>
      <c r="F762" s="12"/>
      <c r="G762" s="12"/>
      <c r="H762" s="12"/>
      <c r="I762" s="12"/>
      <c r="J762" s="12"/>
      <c r="K762" s="1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c r="FE762" s="2"/>
      <c r="FF762" s="2"/>
      <c r="FG762" s="2"/>
      <c r="FH762" s="2"/>
      <c r="FI762" s="2"/>
      <c r="FJ762" s="2"/>
      <c r="FK762" s="2"/>
      <c r="FL762" s="2"/>
      <c r="FM762" s="2"/>
      <c r="FN762" s="2"/>
      <c r="FO762" s="2"/>
      <c r="FP762" s="2"/>
      <c r="FQ762" s="2"/>
      <c r="FR762" s="2"/>
      <c r="FS762" s="2"/>
      <c r="FT762" s="2"/>
      <c r="FU762" s="2"/>
      <c r="FV762" s="2"/>
      <c r="FW762" s="2"/>
      <c r="FX762" s="2"/>
      <c r="FY762" s="2"/>
      <c r="FZ762" s="2"/>
      <c r="GA762" s="2"/>
      <c r="GB762" s="2"/>
      <c r="GC762" s="2"/>
    </row>
    <row r="763" spans="1:185" x14ac:dyDescent="0.3">
      <c r="A763" s="54"/>
      <c r="B763" s="85"/>
      <c r="C763" s="54"/>
      <c r="D763" s="54"/>
      <c r="E763" s="54"/>
    </row>
    <row r="765" spans="1:185" x14ac:dyDescent="0.3">
      <c r="A765" s="38"/>
      <c r="B765" s="39" t="s">
        <v>59</v>
      </c>
    </row>
    <row r="766" spans="1:185" x14ac:dyDescent="0.3">
      <c r="A766" s="18"/>
      <c r="B766" s="18"/>
      <c r="C766" s="18"/>
      <c r="D766" s="18"/>
      <c r="E766" s="18"/>
      <c r="F766" s="18"/>
      <c r="G766" s="18"/>
      <c r="H766" s="18"/>
      <c r="I766" s="18"/>
      <c r="J766" s="18"/>
      <c r="K766" s="18"/>
    </row>
    <row r="767" spans="1:185" x14ac:dyDescent="0.3">
      <c r="A767" s="18"/>
      <c r="B767" s="16" t="s">
        <v>26</v>
      </c>
      <c r="C767" s="20">
        <v>20</v>
      </c>
      <c r="D767" s="18" t="s">
        <v>4</v>
      </c>
    </row>
    <row r="768" spans="1:185" x14ac:dyDescent="0.3">
      <c r="A768" s="18"/>
      <c r="B768" s="40"/>
      <c r="C768" s="41"/>
    </row>
    <row r="769" spans="1:11" x14ac:dyDescent="0.3">
      <c r="A769" s="18"/>
      <c r="B769" s="40" t="s">
        <v>28</v>
      </c>
      <c r="C769" s="41">
        <v>10</v>
      </c>
      <c r="D769" s="4" t="s">
        <v>45</v>
      </c>
      <c r="J769" s="21"/>
      <c r="K769" s="18"/>
    </row>
    <row r="770" spans="1:11" x14ac:dyDescent="0.3">
      <c r="A770" s="18"/>
      <c r="B770" s="18"/>
    </row>
    <row r="771" spans="1:11" x14ac:dyDescent="0.3">
      <c r="A771" s="18"/>
      <c r="B771" s="39" t="s">
        <v>29</v>
      </c>
      <c r="G771" s="42" t="s">
        <v>50</v>
      </c>
    </row>
    <row r="772" spans="1:11" x14ac:dyDescent="0.3">
      <c r="A772" s="11"/>
    </row>
    <row r="773" spans="1:11" x14ac:dyDescent="0.3">
      <c r="B773" s="16" t="s">
        <v>32</v>
      </c>
      <c r="C773" s="4" t="str">
        <f ca="1">[1]!xlv(C775)</f>
        <v>π × R² / 2</v>
      </c>
      <c r="G773" s="16" t="s">
        <v>74</v>
      </c>
      <c r="H773" s="4" t="str">
        <f ca="1">[1]!xlv(H775)</f>
        <v>(Iₓ / A)⁰·⁵</v>
      </c>
    </row>
    <row r="774" spans="1:11" x14ac:dyDescent="0.3">
      <c r="B774" s="16" t="s">
        <v>32</v>
      </c>
      <c r="C774" s="4" t="str">
        <f>[1]!xln(C775)</f>
        <v>π × 20² / 2</v>
      </c>
      <c r="D774" s="11"/>
      <c r="G774" s="16" t="s">
        <v>74</v>
      </c>
      <c r="H774" s="4" t="str">
        <f>[1]!xln(H775)</f>
        <v>(17561 / 628)⁰·⁵</v>
      </c>
    </row>
    <row r="775" spans="1:11" x14ac:dyDescent="0.3">
      <c r="B775" s="16" t="s">
        <v>32</v>
      </c>
      <c r="C775" s="17">
        <f>PI()*C767^2/2</f>
        <v>628.31853071795865</v>
      </c>
      <c r="D775" s="18" t="s">
        <v>68</v>
      </c>
      <c r="G775" s="16" t="s">
        <v>74</v>
      </c>
      <c r="H775" s="43">
        <f>(C788/C775)^0.5</f>
        <v>5.2867173672331145</v>
      </c>
      <c r="I775" s="18" t="s">
        <v>4</v>
      </c>
    </row>
    <row r="777" spans="1:11" x14ac:dyDescent="0.3">
      <c r="B777" s="40" t="s">
        <v>25</v>
      </c>
      <c r="C777" s="4" t="str">
        <f ca="1">[1]!xlv(C778)</f>
        <v>R</v>
      </c>
      <c r="G777" s="16" t="s">
        <v>75</v>
      </c>
      <c r="H777" s="4" t="str">
        <f ca="1">[1]!xlv(H779)</f>
        <v>(Iᵧ / A)⁰·⁵</v>
      </c>
    </row>
    <row r="778" spans="1:11" x14ac:dyDescent="0.3">
      <c r="B778" s="40" t="s">
        <v>25</v>
      </c>
      <c r="C778" s="25">
        <f>C767</f>
        <v>20</v>
      </c>
      <c r="D778" s="4" t="s">
        <v>4</v>
      </c>
      <c r="G778" s="16" t="s">
        <v>75</v>
      </c>
      <c r="H778" s="4" t="str">
        <f>[1]!xln(H779)</f>
        <v>(62832 / 628)⁰·⁵</v>
      </c>
    </row>
    <row r="779" spans="1:11" x14ac:dyDescent="0.3">
      <c r="G779" s="16" t="s">
        <v>75</v>
      </c>
      <c r="H779" s="25">
        <f>(C792/C775)^0.5</f>
        <v>10</v>
      </c>
      <c r="I779" s="18" t="s">
        <v>4</v>
      </c>
    </row>
    <row r="780" spans="1:11" x14ac:dyDescent="0.3">
      <c r="B780" s="40" t="s">
        <v>27</v>
      </c>
      <c r="C780" s="4" t="str">
        <f ca="1">[1]!xlv(C782)</f>
        <v>4 × R / (3 × π)</v>
      </c>
    </row>
    <row r="781" spans="1:11" x14ac:dyDescent="0.3">
      <c r="B781" s="40" t="s">
        <v>27</v>
      </c>
      <c r="C781" s="4" t="str">
        <f>[1]!xln(C782)</f>
        <v>4 × 20 / (3 × π)</v>
      </c>
    </row>
    <row r="782" spans="1:11" x14ac:dyDescent="0.3">
      <c r="B782" s="40" t="s">
        <v>27</v>
      </c>
      <c r="C782" s="25">
        <f>4*C767/(3*PI())</f>
        <v>8.4882636315677509</v>
      </c>
      <c r="D782" s="4" t="s">
        <v>4</v>
      </c>
    </row>
    <row r="784" spans="1:11" x14ac:dyDescent="0.3">
      <c r="B784" s="39" t="s">
        <v>30</v>
      </c>
      <c r="G784" s="39" t="s">
        <v>31</v>
      </c>
      <c r="H784" s="16"/>
      <c r="I784" s="18"/>
    </row>
    <row r="785" spans="2:21" x14ac:dyDescent="0.3">
      <c r="H785" s="16"/>
      <c r="I785" s="18"/>
    </row>
    <row r="786" spans="2:21" x14ac:dyDescent="0.3">
      <c r="B786" s="16" t="s">
        <v>72</v>
      </c>
      <c r="C786" s="4" t="str">
        <f ca="1">[1]!xlv(C788)</f>
        <v>((π / 8) - (8 / (9 × π))) × R⁴</v>
      </c>
      <c r="G786" s="16" t="s">
        <v>72</v>
      </c>
      <c r="H786" s="4" t="str">
        <f ca="1">[1]!xlv(H788)</f>
        <v>W / A × Iₓ</v>
      </c>
    </row>
    <row r="787" spans="2:21" x14ac:dyDescent="0.3">
      <c r="B787" s="16" t="s">
        <v>72</v>
      </c>
      <c r="C787" s="4" t="str">
        <f>[1]!xln(C788)</f>
        <v>((π / 8) - (8 / (9 × π))) × 20⁴</v>
      </c>
      <c r="G787" s="16" t="s">
        <v>72</v>
      </c>
      <c r="H787" s="4" t="str">
        <f>[1]!xln(H788)</f>
        <v>10 / 628 × 17561</v>
      </c>
      <c r="I787" s="11"/>
    </row>
    <row r="788" spans="2:21" x14ac:dyDescent="0.3">
      <c r="B788" s="16" t="s">
        <v>72</v>
      </c>
      <c r="C788" s="17">
        <f>((PI()/8)-(8/(9*PI())))*C767^4</f>
        <v>17561.113703434516</v>
      </c>
      <c r="D788" s="18" t="s">
        <v>69</v>
      </c>
      <c r="G788" s="16" t="s">
        <v>72</v>
      </c>
      <c r="H788" s="46">
        <f>C769/C775*C788</f>
        <v>279.49380521004235</v>
      </c>
      <c r="I788" s="4" t="s">
        <v>46</v>
      </c>
      <c r="L788" s="4"/>
      <c r="M788" s="4"/>
      <c r="N788" s="4"/>
      <c r="O788" s="4"/>
      <c r="P788" s="4"/>
      <c r="Q788" s="4"/>
      <c r="R788" s="4"/>
      <c r="S788" s="4"/>
      <c r="T788" s="4"/>
      <c r="U788" s="4"/>
    </row>
    <row r="789" spans="2:21" x14ac:dyDescent="0.3">
      <c r="L789" s="4"/>
      <c r="M789" s="4"/>
      <c r="N789" s="4"/>
      <c r="O789" s="4"/>
      <c r="P789" s="4"/>
      <c r="Q789" s="4"/>
      <c r="R789" s="4"/>
      <c r="S789" s="4"/>
      <c r="T789" s="4"/>
      <c r="U789" s="4"/>
    </row>
    <row r="790" spans="2:21" x14ac:dyDescent="0.3">
      <c r="B790" s="40" t="s">
        <v>73</v>
      </c>
      <c r="C790" s="4" t="str">
        <f ca="1">[1]!xlv(C792)</f>
        <v>π × R⁴ / 8</v>
      </c>
      <c r="G790" s="40" t="s">
        <v>73</v>
      </c>
      <c r="H790" s="4" t="str">
        <f ca="1">[1]!xlv(H792)</f>
        <v>W / A × Iᵧ</v>
      </c>
      <c r="L790" s="4"/>
      <c r="M790" s="4"/>
      <c r="N790" s="4"/>
      <c r="O790" s="4"/>
      <c r="P790" s="4"/>
      <c r="Q790" s="4"/>
      <c r="R790" s="4"/>
      <c r="S790" s="4"/>
      <c r="T790" s="4"/>
      <c r="U790" s="4"/>
    </row>
    <row r="791" spans="2:21" x14ac:dyDescent="0.3">
      <c r="B791" s="40" t="s">
        <v>73</v>
      </c>
      <c r="C791" s="4" t="str">
        <f>[1]!xln(C792)</f>
        <v>π × 20⁴ / 8</v>
      </c>
      <c r="G791" s="40" t="s">
        <v>73</v>
      </c>
      <c r="H791" s="4" t="str">
        <f>[1]!xln(H792)</f>
        <v>10 / 628 × 62832</v>
      </c>
      <c r="L791" s="4"/>
      <c r="M791" s="4"/>
      <c r="N791" s="4"/>
      <c r="O791" s="4"/>
      <c r="P791" s="4"/>
      <c r="Q791" s="4"/>
      <c r="R791" s="4"/>
      <c r="S791" s="4"/>
      <c r="T791" s="4"/>
      <c r="U791" s="4"/>
    </row>
    <row r="792" spans="2:21" x14ac:dyDescent="0.3">
      <c r="B792" s="40" t="s">
        <v>73</v>
      </c>
      <c r="C792" s="46">
        <f>PI()*C767^4/8</f>
        <v>62831.853071795864</v>
      </c>
      <c r="D792" s="18" t="s">
        <v>69</v>
      </c>
      <c r="G792" s="40" t="s">
        <v>73</v>
      </c>
      <c r="H792" s="46">
        <f>C769/C775*C792</f>
        <v>1000</v>
      </c>
      <c r="I792" s="4" t="s">
        <v>46</v>
      </c>
      <c r="L792" s="4"/>
      <c r="M792" s="4"/>
      <c r="N792" s="4"/>
      <c r="O792" s="4"/>
      <c r="P792" s="4"/>
      <c r="Q792" s="4"/>
      <c r="R792" s="4"/>
      <c r="S792" s="4"/>
      <c r="T792" s="4"/>
      <c r="U792" s="4"/>
    </row>
    <row r="793" spans="2:21" x14ac:dyDescent="0.3">
      <c r="L793" s="4"/>
      <c r="M793" s="4"/>
      <c r="N793" s="4"/>
      <c r="O793" s="4"/>
      <c r="P793" s="4"/>
      <c r="Q793" s="4"/>
      <c r="R793" s="4"/>
      <c r="S793" s="4"/>
      <c r="T793" s="4"/>
      <c r="U793" s="4"/>
    </row>
    <row r="794" spans="2:21" x14ac:dyDescent="0.3">
      <c r="B794" s="16" t="s">
        <v>87</v>
      </c>
      <c r="C794" s="4" t="str">
        <f ca="1">[1]!xlv(C796)</f>
        <v>Iᵧ + Iₓ</v>
      </c>
      <c r="G794" s="16" t="s">
        <v>87</v>
      </c>
      <c r="H794" s="4" t="str">
        <f ca="1">[1]!xlv(H796)</f>
        <v>Iᵧ + Iₓ</v>
      </c>
      <c r="L794" s="4"/>
      <c r="M794" s="4"/>
      <c r="N794" s="4"/>
      <c r="O794" s="4"/>
      <c r="P794" s="4"/>
      <c r="Q794" s="4"/>
      <c r="R794" s="4"/>
      <c r="S794" s="4"/>
      <c r="T794" s="4"/>
      <c r="U794" s="4"/>
    </row>
    <row r="795" spans="2:21" x14ac:dyDescent="0.3">
      <c r="B795" s="16" t="s">
        <v>87</v>
      </c>
      <c r="C795" s="4" t="str">
        <f>[1]!xln(C796)</f>
        <v>62832 + 17561</v>
      </c>
      <c r="G795" s="16" t="s">
        <v>87</v>
      </c>
      <c r="H795" s="4" t="str">
        <f>[1]!xln(H796)</f>
        <v>1000 + 279</v>
      </c>
      <c r="L795" s="4"/>
      <c r="M795" s="4"/>
      <c r="N795" s="4"/>
      <c r="O795" s="4"/>
      <c r="P795" s="4"/>
      <c r="Q795" s="4"/>
      <c r="R795" s="4"/>
      <c r="S795" s="4"/>
      <c r="T795" s="4"/>
      <c r="U795" s="4"/>
    </row>
    <row r="796" spans="2:21" x14ac:dyDescent="0.3">
      <c r="B796" s="16" t="s">
        <v>87</v>
      </c>
      <c r="C796" s="17">
        <f>C792+C788</f>
        <v>80392.966775230379</v>
      </c>
      <c r="D796" s="18" t="s">
        <v>69</v>
      </c>
      <c r="G796" s="16" t="s">
        <v>87</v>
      </c>
      <c r="H796" s="46">
        <f>H792+H788</f>
        <v>1279.4938052100424</v>
      </c>
      <c r="I796" s="4" t="s">
        <v>46</v>
      </c>
      <c r="L796" s="4"/>
      <c r="M796" s="4"/>
      <c r="N796" s="4"/>
      <c r="O796" s="4"/>
      <c r="P796" s="4"/>
      <c r="Q796" s="4"/>
      <c r="R796" s="4"/>
      <c r="S796" s="4"/>
      <c r="T796" s="4"/>
      <c r="U796" s="4"/>
    </row>
    <row r="797" spans="2:21" x14ac:dyDescent="0.3">
      <c r="L797" s="4"/>
      <c r="M797" s="4"/>
      <c r="N797" s="4"/>
      <c r="O797" s="4"/>
      <c r="P797" s="4"/>
      <c r="Q797" s="4"/>
      <c r="R797" s="4"/>
      <c r="S797" s="4"/>
      <c r="T797" s="4"/>
      <c r="U797" s="4"/>
    </row>
    <row r="798" spans="2:21" x14ac:dyDescent="0.3">
      <c r="L798" s="4"/>
      <c r="M798" s="4"/>
      <c r="N798" s="4"/>
      <c r="O798" s="4"/>
      <c r="P798" s="4"/>
      <c r="Q798" s="4"/>
      <c r="R798" s="4"/>
      <c r="S798" s="4"/>
      <c r="T798" s="4"/>
      <c r="U798" s="4"/>
    </row>
    <row r="799" spans="2:21" x14ac:dyDescent="0.3">
      <c r="L799" s="4"/>
      <c r="M799" s="4"/>
      <c r="N799" s="4"/>
      <c r="O799" s="4"/>
      <c r="P799" s="4"/>
      <c r="Q799" s="4"/>
      <c r="R799" s="4"/>
      <c r="S799" s="4"/>
      <c r="T799" s="4"/>
      <c r="U799" s="4"/>
    </row>
    <row r="801" spans="1:185" x14ac:dyDescent="0.3">
      <c r="L801" s="4"/>
      <c r="M801" s="4"/>
      <c r="N801" s="4"/>
      <c r="O801" s="4"/>
      <c r="P801" s="4"/>
      <c r="Q801" s="4"/>
      <c r="R801" s="4"/>
      <c r="S801" s="4"/>
      <c r="T801" s="4"/>
      <c r="U801" s="4"/>
    </row>
    <row r="802" spans="1:185" x14ac:dyDescent="0.3">
      <c r="L802" s="4"/>
      <c r="M802" s="4"/>
      <c r="N802" s="4"/>
      <c r="O802" s="4"/>
      <c r="P802" s="4"/>
      <c r="Q802" s="4"/>
      <c r="R802" s="4"/>
      <c r="S802" s="4"/>
      <c r="T802" s="4"/>
      <c r="U802" s="4"/>
    </row>
    <row r="803" spans="1:185" x14ac:dyDescent="0.3">
      <c r="L803" s="4"/>
      <c r="M803" s="4"/>
      <c r="N803" s="4"/>
      <c r="O803" s="4"/>
      <c r="P803" s="4"/>
      <c r="Q803" s="4"/>
      <c r="R803" s="4"/>
      <c r="S803" s="4"/>
      <c r="T803" s="4"/>
      <c r="U803" s="4"/>
    </row>
    <row r="804" spans="1:185" x14ac:dyDescent="0.3">
      <c r="L804" s="4"/>
      <c r="M804" s="4"/>
      <c r="N804" s="4"/>
      <c r="O804" s="4"/>
      <c r="P804" s="4"/>
      <c r="Q804" s="4"/>
      <c r="R804" s="4"/>
      <c r="S804" s="4"/>
      <c r="T804" s="4"/>
      <c r="U804" s="4"/>
    </row>
    <row r="805" spans="1:185" x14ac:dyDescent="0.3">
      <c r="L805" s="4"/>
      <c r="M805" s="4"/>
      <c r="N805" s="4"/>
      <c r="O805" s="4"/>
      <c r="P805" s="4"/>
      <c r="Q805" s="4"/>
      <c r="R805" s="4"/>
      <c r="S805" s="4"/>
      <c r="T805" s="4"/>
      <c r="U805" s="4"/>
    </row>
    <row r="806" spans="1:185" x14ac:dyDescent="0.3">
      <c r="L806" s="4"/>
      <c r="M806" s="4"/>
      <c r="N806" s="4"/>
      <c r="O806" s="4"/>
      <c r="P806" s="4"/>
      <c r="Q806" s="4"/>
      <c r="R806" s="4"/>
      <c r="S806" s="4"/>
      <c r="T806" s="4"/>
      <c r="U806" s="4"/>
    </row>
    <row r="807" spans="1:185" x14ac:dyDescent="0.3">
      <c r="L807" s="4"/>
      <c r="M807" s="4"/>
      <c r="N807" s="4"/>
      <c r="O807" s="4"/>
      <c r="P807" s="4"/>
      <c r="Q807" s="4"/>
      <c r="R807" s="4"/>
      <c r="S807" s="4"/>
      <c r="T807" s="4"/>
      <c r="U807" s="4"/>
    </row>
    <row r="808" spans="1:185" x14ac:dyDescent="0.3">
      <c r="L808" s="4"/>
      <c r="M808" s="4"/>
      <c r="N808" s="4"/>
      <c r="O808" s="4"/>
      <c r="P808" s="4"/>
      <c r="Q808" s="4"/>
      <c r="R808" s="4"/>
      <c r="S808" s="4"/>
      <c r="T808" s="4"/>
      <c r="U808" s="4"/>
    </row>
    <row r="809" spans="1:185" x14ac:dyDescent="0.3">
      <c r="L809" s="4"/>
      <c r="M809" s="4"/>
      <c r="N809" s="4"/>
      <c r="O809" s="4"/>
      <c r="P809" s="4"/>
      <c r="Q809" s="4"/>
      <c r="R809" s="4"/>
      <c r="S809" s="4"/>
      <c r="T809" s="4"/>
      <c r="U809" s="4"/>
    </row>
    <row r="810" spans="1:185" x14ac:dyDescent="0.3">
      <c r="L810" s="4"/>
      <c r="M810" s="4"/>
      <c r="N810" s="4"/>
      <c r="O810" s="4"/>
      <c r="P810" s="4"/>
      <c r="Q810" s="4"/>
      <c r="R810" s="4"/>
      <c r="S810" s="4"/>
      <c r="T810" s="4"/>
      <c r="U810" s="4"/>
    </row>
    <row r="811" spans="1:185" x14ac:dyDescent="0.3">
      <c r="A811" s="12"/>
      <c r="B811" s="3"/>
      <c r="C811" s="86"/>
      <c r="D811" s="12"/>
      <c r="E811" s="12"/>
      <c r="F811" s="12"/>
      <c r="G811" s="86"/>
      <c r="H811" s="12"/>
      <c r="I811" s="12"/>
      <c r="J811" s="12"/>
      <c r="K811" s="12"/>
      <c r="L811" s="4"/>
      <c r="M811" s="4"/>
      <c r="N811" s="4"/>
      <c r="O811" s="4"/>
      <c r="P811" s="4"/>
      <c r="Q811" s="4"/>
      <c r="R811" s="4"/>
      <c r="S811" s="4"/>
      <c r="T811" s="4"/>
      <c r="U811" s="4"/>
    </row>
    <row r="812" spans="1:185" x14ac:dyDescent="0.3">
      <c r="A812" s="12"/>
      <c r="B812" s="87"/>
      <c r="C812" s="86"/>
      <c r="D812" s="88"/>
      <c r="E812" s="88"/>
      <c r="F812" s="89" t="s">
        <v>161</v>
      </c>
      <c r="G812" s="86"/>
      <c r="H812" s="88"/>
      <c r="I812" s="88"/>
      <c r="J812" s="88"/>
      <c r="K812" s="12"/>
    </row>
    <row r="813" spans="1:185" x14ac:dyDescent="0.3">
      <c r="A813" s="12"/>
      <c r="B813" s="88"/>
      <c r="C813" s="88"/>
      <c r="D813" s="88"/>
      <c r="E813" s="88"/>
      <c r="F813" s="104" t="s">
        <v>162</v>
      </c>
      <c r="G813" s="88"/>
      <c r="H813" s="88"/>
      <c r="I813" s="88"/>
      <c r="J813" s="88"/>
      <c r="K813" s="12"/>
    </row>
    <row r="814" spans="1:185" x14ac:dyDescent="0.3">
      <c r="A814" s="67"/>
      <c r="B814" s="58"/>
      <c r="C814" s="58"/>
      <c r="D814" s="58"/>
      <c r="E814" s="60" t="s">
        <v>5</v>
      </c>
      <c r="F814" s="61" t="str">
        <f>$C$1</f>
        <v>R. Abbott</v>
      </c>
      <c r="G814" s="58"/>
      <c r="H814" s="68"/>
      <c r="I814" s="60" t="s">
        <v>10</v>
      </c>
      <c r="J814" s="69" t="str">
        <f>$G$2</f>
        <v>AA-SM-001-000</v>
      </c>
      <c r="K814" s="70"/>
      <c r="L814" s="71"/>
      <c r="M814" s="62"/>
      <c r="N814" s="62"/>
      <c r="O814" s="62"/>
      <c r="P814" s="5"/>
      <c r="AD814" s="8"/>
    </row>
    <row r="815" spans="1:185" s="10" customFormat="1" x14ac:dyDescent="0.3">
      <c r="A815" s="58"/>
      <c r="B815" s="58"/>
      <c r="C815" s="58"/>
      <c r="D815" s="58"/>
      <c r="E815" s="60" t="s">
        <v>6</v>
      </c>
      <c r="F815" s="68" t="str">
        <f>$C$2</f>
        <v xml:space="preserve"> </v>
      </c>
      <c r="G815" s="58"/>
      <c r="H815" s="68"/>
      <c r="I815" s="60" t="s">
        <v>11</v>
      </c>
      <c r="J815" s="70" t="str">
        <f>$G$3</f>
        <v>A</v>
      </c>
      <c r="K815" s="70"/>
      <c r="L815" s="71"/>
      <c r="M815" s="62">
        <v>1</v>
      </c>
      <c r="N815" s="62"/>
      <c r="O815" s="62"/>
      <c r="P815" s="5"/>
      <c r="Q815" s="9"/>
      <c r="R815" s="7"/>
      <c r="S815" s="7"/>
      <c r="T815" s="2"/>
      <c r="U815" s="2"/>
      <c r="V815" s="2"/>
      <c r="W815" s="2"/>
      <c r="X815" s="2"/>
      <c r="Y815" s="2"/>
      <c r="Z815" s="2"/>
      <c r="AA815" s="2"/>
      <c r="AB815" s="2"/>
      <c r="AC815" s="2"/>
      <c r="AD815" s="2"/>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3"/>
      <c r="DC815" s="3"/>
      <c r="DD815" s="3"/>
      <c r="DE815" s="3"/>
      <c r="DF815" s="3"/>
      <c r="DG815" s="3"/>
      <c r="DH815" s="3"/>
      <c r="DI815" s="3"/>
      <c r="DJ815" s="3"/>
      <c r="DK815" s="3"/>
      <c r="DL815" s="3"/>
      <c r="DM815" s="3"/>
      <c r="DN815" s="3"/>
      <c r="DO815" s="3"/>
      <c r="DP815" s="3"/>
      <c r="DQ815" s="3"/>
      <c r="DR815" s="3"/>
      <c r="DS815" s="3"/>
      <c r="DT815" s="3"/>
      <c r="DU815" s="3"/>
      <c r="DV815" s="3"/>
      <c r="DW815" s="3"/>
      <c r="DX815" s="3"/>
      <c r="DY815" s="3"/>
      <c r="DZ815" s="3"/>
      <c r="EA815" s="3"/>
      <c r="EB815" s="3"/>
      <c r="EC815" s="3"/>
      <c r="ED815" s="3"/>
      <c r="EE815" s="3"/>
      <c r="EF815" s="3"/>
      <c r="EG815" s="3"/>
      <c r="EH815" s="3"/>
      <c r="EI815" s="3"/>
      <c r="EJ815" s="3"/>
      <c r="EK815" s="3"/>
      <c r="EL815" s="3"/>
      <c r="EM815" s="3"/>
      <c r="EN815" s="3"/>
      <c r="EO815" s="3"/>
      <c r="EP815" s="3"/>
      <c r="EQ815" s="3"/>
      <c r="ER815" s="3"/>
      <c r="ES815" s="3"/>
      <c r="ET815" s="3"/>
      <c r="EU815" s="3"/>
      <c r="EV815" s="3"/>
      <c r="EW815" s="3"/>
      <c r="EX815" s="3"/>
      <c r="EY815" s="3"/>
      <c r="EZ815" s="3"/>
      <c r="FA815" s="3"/>
      <c r="FB815" s="3"/>
      <c r="FC815" s="3"/>
      <c r="FD815" s="3"/>
      <c r="FE815" s="3"/>
      <c r="FF815" s="3"/>
      <c r="FG815" s="3"/>
      <c r="FH815" s="3"/>
      <c r="FI815" s="3"/>
      <c r="FJ815" s="3"/>
      <c r="FK815" s="3"/>
      <c r="FL815" s="3"/>
      <c r="FM815" s="3"/>
      <c r="FN815" s="3"/>
      <c r="FO815" s="3"/>
    </row>
    <row r="816" spans="1:185" x14ac:dyDescent="0.3">
      <c r="A816" s="58"/>
      <c r="B816" s="58"/>
      <c r="C816" s="58"/>
      <c r="D816" s="58"/>
      <c r="E816" s="60" t="s">
        <v>1</v>
      </c>
      <c r="F816" s="68" t="str">
        <f>$C$3</f>
        <v>20/10/2013</v>
      </c>
      <c r="G816" s="58"/>
      <c r="H816" s="68"/>
      <c r="I816" s="60" t="s">
        <v>12</v>
      </c>
      <c r="J816" s="61" t="str">
        <f>L816&amp;" of "&amp;$G$1</f>
        <v>16 of 20</v>
      </c>
      <c r="K816" s="68"/>
      <c r="L816" s="71">
        <f>SUM($M$1:M815)</f>
        <v>16</v>
      </c>
      <c r="M816" s="62"/>
      <c r="N816" s="62"/>
      <c r="O816" s="62"/>
      <c r="P816" s="5"/>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row>
    <row r="817" spans="1:185" x14ac:dyDescent="0.3">
      <c r="A817" s="58"/>
      <c r="B817" s="58"/>
      <c r="C817" s="58"/>
      <c r="D817" s="58"/>
      <c r="E817" s="60" t="s">
        <v>106</v>
      </c>
      <c r="F817" s="68" t="str">
        <f>$C$5</f>
        <v>STANDARD SPREADSHEET METHOD</v>
      </c>
      <c r="G817" s="58"/>
      <c r="H817" s="58"/>
      <c r="I817" s="72"/>
      <c r="J817" s="61"/>
      <c r="K817" s="58"/>
      <c r="L817" s="58"/>
      <c r="M817" s="62"/>
      <c r="N817" s="62"/>
      <c r="O817" s="62"/>
      <c r="P817" s="5"/>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row>
    <row r="818" spans="1:185" ht="15.6" x14ac:dyDescent="0.3">
      <c r="A818" s="12"/>
      <c r="B818" s="74" t="str">
        <f>$G$4</f>
        <v>SECTION PROPERTIES</v>
      </c>
      <c r="C818" s="12"/>
      <c r="D818" s="12"/>
      <c r="E818" s="12"/>
      <c r="F818" s="12"/>
      <c r="G818" s="12"/>
      <c r="H818" s="12"/>
      <c r="I818" s="12"/>
      <c r="J818" s="12"/>
      <c r="K818" s="1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row>
    <row r="819" spans="1:185" x14ac:dyDescent="0.3">
      <c r="A819" s="54"/>
      <c r="B819" s="85"/>
      <c r="C819" s="54"/>
      <c r="D819" s="54"/>
      <c r="E819" s="54"/>
    </row>
    <row r="820" spans="1:185" x14ac:dyDescent="0.3">
      <c r="A820" s="11"/>
      <c r="B820" s="11"/>
      <c r="C820" s="11"/>
      <c r="D820" s="15"/>
      <c r="E820" s="11"/>
      <c r="F820" s="11"/>
      <c r="G820" s="11"/>
      <c r="H820" s="11"/>
      <c r="I820" s="11"/>
      <c r="J820" s="11"/>
      <c r="K820" s="11"/>
    </row>
    <row r="821" spans="1:185" x14ac:dyDescent="0.3">
      <c r="A821" s="38"/>
      <c r="B821" s="39" t="s">
        <v>60</v>
      </c>
    </row>
    <row r="822" spans="1:185" x14ac:dyDescent="0.3">
      <c r="A822" s="18"/>
      <c r="B822" s="18"/>
      <c r="C822" s="18"/>
      <c r="D822" s="18"/>
      <c r="E822" s="18"/>
      <c r="F822" s="18"/>
      <c r="G822" s="18"/>
      <c r="H822" s="18"/>
      <c r="I822" s="18"/>
      <c r="J822" s="18"/>
      <c r="K822" s="18"/>
    </row>
    <row r="823" spans="1:185" x14ac:dyDescent="0.3">
      <c r="A823" s="18"/>
      <c r="B823" s="16" t="s">
        <v>26</v>
      </c>
      <c r="C823" s="20">
        <v>20</v>
      </c>
      <c r="D823" s="18" t="s">
        <v>4</v>
      </c>
      <c r="U823" s="50"/>
    </row>
    <row r="824" spans="1:185" x14ac:dyDescent="0.3">
      <c r="A824" s="18"/>
      <c r="B824" s="16" t="s">
        <v>2</v>
      </c>
      <c r="C824" s="20">
        <v>19</v>
      </c>
      <c r="D824" s="18" t="s">
        <v>4</v>
      </c>
    </row>
    <row r="825" spans="1:185" x14ac:dyDescent="0.3">
      <c r="A825" s="18"/>
      <c r="B825" s="40" t="s">
        <v>28</v>
      </c>
      <c r="C825" s="41">
        <v>10</v>
      </c>
      <c r="D825" s="4" t="s">
        <v>45</v>
      </c>
      <c r="J825" s="21"/>
      <c r="K825" s="18"/>
    </row>
    <row r="826" spans="1:185" x14ac:dyDescent="0.3">
      <c r="A826" s="18"/>
      <c r="B826" s="18"/>
      <c r="U826" s="50"/>
    </row>
    <row r="827" spans="1:185" x14ac:dyDescent="0.3">
      <c r="A827" s="18"/>
      <c r="B827" s="39" t="s">
        <v>29</v>
      </c>
      <c r="G827" s="42" t="s">
        <v>50</v>
      </c>
    </row>
    <row r="828" spans="1:185" x14ac:dyDescent="0.3">
      <c r="A828" s="11"/>
    </row>
    <row r="829" spans="1:185" x14ac:dyDescent="0.3">
      <c r="B829" s="16" t="s">
        <v>32</v>
      </c>
      <c r="C829" s="4" t="str">
        <f>[1]!xln(C830)</f>
        <v>π × (20² - 19²) / 2</v>
      </c>
      <c r="D829" s="11"/>
      <c r="G829" s="16" t="s">
        <v>74</v>
      </c>
      <c r="H829" s="4" t="str">
        <f ca="1">[1]!xlv(H831)</f>
        <v>(Iₓ / A)⁰·⁵</v>
      </c>
    </row>
    <row r="830" spans="1:185" x14ac:dyDescent="0.3">
      <c r="B830" s="16" t="s">
        <v>32</v>
      </c>
      <c r="C830" s="17">
        <f>PI()*(C823^2-C824^2)/2</f>
        <v>61.261056745000964</v>
      </c>
      <c r="D830" s="18" t="s">
        <v>68</v>
      </c>
      <c r="G830" s="16" t="s">
        <v>74</v>
      </c>
      <c r="H830" s="4" t="str">
        <f>[1]!xln(H831)</f>
        <v>(2210 / 61.3)⁰·⁵</v>
      </c>
    </row>
    <row r="831" spans="1:185" x14ac:dyDescent="0.3">
      <c r="G831" s="16" t="s">
        <v>74</v>
      </c>
      <c r="H831" s="43">
        <f>(C843/C830)^0.5</f>
        <v>6.0068712029483402</v>
      </c>
      <c r="I831" s="18" t="s">
        <v>4</v>
      </c>
    </row>
    <row r="832" spans="1:185" x14ac:dyDescent="0.3">
      <c r="B832" s="40" t="s">
        <v>25</v>
      </c>
      <c r="C832" s="4" t="str">
        <f ca="1">[1]!xlv(C833)</f>
        <v>R</v>
      </c>
    </row>
    <row r="833" spans="2:21" x14ac:dyDescent="0.3">
      <c r="B833" s="40" t="s">
        <v>25</v>
      </c>
      <c r="C833" s="25">
        <f>C823</f>
        <v>20</v>
      </c>
      <c r="D833" s="4" t="s">
        <v>4</v>
      </c>
      <c r="G833" s="16" t="s">
        <v>75</v>
      </c>
      <c r="H833" s="4" t="str">
        <f ca="1">[1]!xlv(H835)</f>
        <v>(Iᵧ / A)⁰·⁵</v>
      </c>
    </row>
    <row r="834" spans="2:21" x14ac:dyDescent="0.3">
      <c r="G834" s="16" t="s">
        <v>75</v>
      </c>
      <c r="H834" s="4" t="str">
        <f>[1]!xln(H835)</f>
        <v>(11655 / 61.3)⁰·⁵</v>
      </c>
    </row>
    <row r="835" spans="2:21" x14ac:dyDescent="0.3">
      <c r="B835" s="40" t="s">
        <v>27</v>
      </c>
      <c r="C835" s="4" t="str">
        <f ca="1">[1]!xlv(C837)</f>
        <v>0.424 × (R + (r² / (r + R)))</v>
      </c>
      <c r="G835" s="16" t="s">
        <v>75</v>
      </c>
      <c r="H835" s="25">
        <f>(C847/C830)^0.5</f>
        <v>13.793114224133722</v>
      </c>
      <c r="I835" s="18" t="s">
        <v>4</v>
      </c>
      <c r="U835" s="50"/>
    </row>
    <row r="836" spans="2:21" x14ac:dyDescent="0.3">
      <c r="B836" s="40" t="s">
        <v>27</v>
      </c>
      <c r="C836" s="4" t="str">
        <f>[1]!xln(C837)</f>
        <v>0.424 × (20 + (19² / (19 + 20)))</v>
      </c>
    </row>
    <row r="837" spans="2:21" x14ac:dyDescent="0.3">
      <c r="B837" s="40" t="s">
        <v>27</v>
      </c>
      <c r="C837" s="25">
        <f>0.4244*(C823+(C824^2/(C824+C823)))</f>
        <v>12.416420512820512</v>
      </c>
      <c r="D837" s="4" t="s">
        <v>4</v>
      </c>
    </row>
    <row r="839" spans="2:21" x14ac:dyDescent="0.3">
      <c r="B839" s="39" t="s">
        <v>30</v>
      </c>
      <c r="G839" s="39" t="s">
        <v>31</v>
      </c>
      <c r="H839" s="16"/>
      <c r="I839" s="18"/>
    </row>
    <row r="840" spans="2:21" x14ac:dyDescent="0.3">
      <c r="H840" s="16"/>
      <c r="I840" s="18"/>
    </row>
    <row r="841" spans="2:21" x14ac:dyDescent="0.3">
      <c r="B841" s="16" t="s">
        <v>72</v>
      </c>
      <c r="C841" s="4" t="str">
        <f ca="1">[1]!xlv(C843)</f>
        <v>π / 8 × (R⁴ - r⁴) - π × ẏ² × (R² - r²) / 2</v>
      </c>
      <c r="G841" s="16" t="s">
        <v>72</v>
      </c>
      <c r="H841" s="4" t="str">
        <f ca="1">[1]!xlv(H843)</f>
        <v>W / A × Iₓ</v>
      </c>
    </row>
    <row r="842" spans="2:21" x14ac:dyDescent="0.3">
      <c r="B842" s="16" t="s">
        <v>72</v>
      </c>
      <c r="C842" s="4" t="str">
        <f>[1]!xln(C843)</f>
        <v>π / 8 × (20⁴ - 19⁴) - π × 12.4² × (20² - 19²) / 2</v>
      </c>
      <c r="G842" s="16" t="s">
        <v>72</v>
      </c>
      <c r="H842" s="4" t="str">
        <f>[1]!xln(H843)</f>
        <v>10 / 61.3 × 2210</v>
      </c>
      <c r="I842" s="11"/>
    </row>
    <row r="843" spans="2:21" x14ac:dyDescent="0.3">
      <c r="B843" s="16" t="s">
        <v>72</v>
      </c>
      <c r="C843" s="17">
        <f>PI()/8*(C823^4-C824^4)-PI()*C837^2*(C823^2-C824^2)/2</f>
        <v>2210.4521810093429</v>
      </c>
      <c r="D843" s="18" t="s">
        <v>69</v>
      </c>
      <c r="G843" s="16" t="s">
        <v>72</v>
      </c>
      <c r="H843" s="46">
        <f>C825/C830*C843</f>
        <v>360.8250164881004</v>
      </c>
      <c r="I843" s="4" t="s">
        <v>46</v>
      </c>
    </row>
    <row r="845" spans="2:21" x14ac:dyDescent="0.3">
      <c r="B845" s="40" t="s">
        <v>73</v>
      </c>
      <c r="C845" s="4" t="str">
        <f ca="1">[1]!xlv(C847)</f>
        <v>π / 8 × (R⁴ - r⁴)</v>
      </c>
      <c r="G845" s="40" t="s">
        <v>73</v>
      </c>
      <c r="H845" s="4" t="str">
        <f ca="1">[1]!xlv(H847)</f>
        <v>W / A × Iᵧ</v>
      </c>
    </row>
    <row r="846" spans="2:21" x14ac:dyDescent="0.3">
      <c r="B846" s="40" t="s">
        <v>73</v>
      </c>
      <c r="C846" s="4" t="str">
        <f>[1]!xln(C847)</f>
        <v>π / 8 × (20⁴ - 19⁴)</v>
      </c>
      <c r="G846" s="40" t="s">
        <v>73</v>
      </c>
      <c r="H846" s="4" t="str">
        <f>[1]!xln(H847)</f>
        <v>10 / 61.3 × 11655</v>
      </c>
    </row>
    <row r="847" spans="2:21" x14ac:dyDescent="0.3">
      <c r="B847" s="40" t="s">
        <v>73</v>
      </c>
      <c r="C847" s="46">
        <f>PI()/8*(C823^4-C824^4)</f>
        <v>11654.916045736434</v>
      </c>
      <c r="D847" s="18" t="s">
        <v>69</v>
      </c>
      <c r="G847" s="40" t="s">
        <v>73</v>
      </c>
      <c r="H847" s="46">
        <f>C825/C830*C847</f>
        <v>1902.5000000000002</v>
      </c>
      <c r="I847" s="4" t="s">
        <v>46</v>
      </c>
    </row>
    <row r="849" spans="2:10" x14ac:dyDescent="0.3">
      <c r="B849" s="16" t="s">
        <v>87</v>
      </c>
      <c r="C849" s="4" t="str">
        <f ca="1">[1]!xlv(C851)</f>
        <v>Iᵧ + Iₓ</v>
      </c>
      <c r="G849" s="16" t="s">
        <v>87</v>
      </c>
      <c r="H849" s="4" t="str">
        <f ca="1">[1]!xlv(H851)</f>
        <v>Iᵧ + Iₓ</v>
      </c>
    </row>
    <row r="850" spans="2:10" x14ac:dyDescent="0.3">
      <c r="B850" s="16" t="s">
        <v>87</v>
      </c>
      <c r="C850" s="4" t="str">
        <f>[1]!xln(C851)</f>
        <v>11655 + 2210</v>
      </c>
      <c r="G850" s="16" t="s">
        <v>87</v>
      </c>
      <c r="H850" s="4" t="str">
        <f>[1]!xln(H851)</f>
        <v>1902 + 361</v>
      </c>
    </row>
    <row r="851" spans="2:10" x14ac:dyDescent="0.3">
      <c r="B851" s="16" t="s">
        <v>87</v>
      </c>
      <c r="C851" s="17">
        <f>C847+C843</f>
        <v>13865.368226745777</v>
      </c>
      <c r="D851" s="18" t="s">
        <v>69</v>
      </c>
      <c r="G851" s="16" t="s">
        <v>87</v>
      </c>
      <c r="H851" s="46">
        <f>H847+H843</f>
        <v>2263.3250164881006</v>
      </c>
      <c r="I851" s="4" t="s">
        <v>46</v>
      </c>
    </row>
    <row r="852" spans="2:10" x14ac:dyDescent="0.3">
      <c r="C852" s="16"/>
      <c r="F852" s="34"/>
      <c r="G852" s="34"/>
      <c r="H852" s="34"/>
      <c r="I852" s="34"/>
      <c r="J852" s="16"/>
    </row>
    <row r="853" spans="2:10" x14ac:dyDescent="0.3">
      <c r="D853" s="32"/>
      <c r="E853" s="18"/>
      <c r="F853" s="35"/>
      <c r="I853" s="30"/>
    </row>
    <row r="854" spans="2:10" x14ac:dyDescent="0.3">
      <c r="I854" s="30"/>
    </row>
    <row r="855" spans="2:10" x14ac:dyDescent="0.3">
      <c r="C855" s="16"/>
      <c r="D855" s="36"/>
      <c r="E855" s="18"/>
      <c r="F855" s="30"/>
      <c r="G855" s="30"/>
      <c r="H855" s="30"/>
    </row>
    <row r="867" spans="1:185" x14ac:dyDescent="0.3">
      <c r="A867" s="12"/>
      <c r="B867" s="3"/>
      <c r="C867" s="86"/>
      <c r="D867" s="12"/>
      <c r="E867" s="12"/>
      <c r="F867" s="12"/>
      <c r="G867" s="86"/>
      <c r="H867" s="12"/>
      <c r="I867" s="12"/>
      <c r="J867" s="12"/>
      <c r="K867" s="12"/>
    </row>
    <row r="868" spans="1:185" x14ac:dyDescent="0.3">
      <c r="A868" s="12"/>
      <c r="B868" s="87"/>
      <c r="C868" s="86"/>
      <c r="D868" s="88"/>
      <c r="E868" s="88"/>
      <c r="F868" s="89" t="s">
        <v>161</v>
      </c>
      <c r="G868" s="86"/>
      <c r="H868" s="88"/>
      <c r="I868" s="88"/>
      <c r="J868" s="88"/>
      <c r="K868" s="12"/>
    </row>
    <row r="869" spans="1:185" x14ac:dyDescent="0.3">
      <c r="A869" s="12"/>
      <c r="B869" s="88"/>
      <c r="C869" s="88"/>
      <c r="D869" s="88"/>
      <c r="E869" s="88"/>
      <c r="F869" s="104" t="s">
        <v>162</v>
      </c>
      <c r="G869" s="88"/>
      <c r="H869" s="88"/>
      <c r="I869" s="88"/>
      <c r="J869" s="88"/>
      <c r="K869" s="12"/>
    </row>
    <row r="870" spans="1:185" x14ac:dyDescent="0.3">
      <c r="A870" s="67"/>
      <c r="B870" s="58"/>
      <c r="C870" s="58"/>
      <c r="D870" s="58"/>
      <c r="E870" s="60" t="s">
        <v>5</v>
      </c>
      <c r="F870" s="61" t="str">
        <f>$C$1</f>
        <v>R. Abbott</v>
      </c>
      <c r="G870" s="58"/>
      <c r="H870" s="68"/>
      <c r="I870" s="60" t="s">
        <v>10</v>
      </c>
      <c r="J870" s="69" t="str">
        <f>$G$2</f>
        <v>AA-SM-001-000</v>
      </c>
      <c r="K870" s="70"/>
      <c r="L870" s="71"/>
      <c r="M870" s="62"/>
      <c r="N870" s="62"/>
      <c r="O870" s="62"/>
      <c r="P870" s="5"/>
      <c r="AD870" s="8"/>
    </row>
    <row r="871" spans="1:185" s="10" customFormat="1" x14ac:dyDescent="0.3">
      <c r="A871" s="58"/>
      <c r="B871" s="58"/>
      <c r="C871" s="58"/>
      <c r="D871" s="58"/>
      <c r="E871" s="60" t="s">
        <v>6</v>
      </c>
      <c r="F871" s="68" t="str">
        <f>$C$2</f>
        <v xml:space="preserve"> </v>
      </c>
      <c r="G871" s="58"/>
      <c r="H871" s="68"/>
      <c r="I871" s="60" t="s">
        <v>11</v>
      </c>
      <c r="J871" s="70" t="str">
        <f>$G$3</f>
        <v>A</v>
      </c>
      <c r="K871" s="70"/>
      <c r="L871" s="71"/>
      <c r="M871" s="62">
        <v>1</v>
      </c>
      <c r="N871" s="62"/>
      <c r="O871" s="62"/>
      <c r="P871" s="5"/>
      <c r="Q871" s="9"/>
      <c r="R871" s="7"/>
      <c r="S871" s="7"/>
      <c r="T871" s="2"/>
      <c r="U871" s="2"/>
      <c r="V871" s="2"/>
      <c r="W871" s="2"/>
      <c r="X871" s="2"/>
      <c r="Y871" s="2"/>
      <c r="Z871" s="2"/>
      <c r="AA871" s="2"/>
      <c r="AB871" s="2"/>
      <c r="AC871" s="2"/>
      <c r="AD871" s="2"/>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c r="EE871" s="3"/>
      <c r="EF871" s="3"/>
      <c r="EG871" s="3"/>
      <c r="EH871" s="3"/>
      <c r="EI871" s="3"/>
      <c r="EJ871" s="3"/>
      <c r="EK871" s="3"/>
      <c r="EL871" s="3"/>
      <c r="EM871" s="3"/>
      <c r="EN871" s="3"/>
      <c r="EO871" s="3"/>
      <c r="EP871" s="3"/>
      <c r="EQ871" s="3"/>
      <c r="ER871" s="3"/>
      <c r="ES871" s="3"/>
      <c r="ET871" s="3"/>
      <c r="EU871" s="3"/>
      <c r="EV871" s="3"/>
      <c r="EW871" s="3"/>
      <c r="EX871" s="3"/>
      <c r="EY871" s="3"/>
      <c r="EZ871" s="3"/>
      <c r="FA871" s="3"/>
      <c r="FB871" s="3"/>
      <c r="FC871" s="3"/>
      <c r="FD871" s="3"/>
      <c r="FE871" s="3"/>
      <c r="FF871" s="3"/>
      <c r="FG871" s="3"/>
      <c r="FH871" s="3"/>
      <c r="FI871" s="3"/>
      <c r="FJ871" s="3"/>
      <c r="FK871" s="3"/>
      <c r="FL871" s="3"/>
      <c r="FM871" s="3"/>
      <c r="FN871" s="3"/>
      <c r="FO871" s="3"/>
    </row>
    <row r="872" spans="1:185" x14ac:dyDescent="0.3">
      <c r="A872" s="58"/>
      <c r="B872" s="58"/>
      <c r="C872" s="58"/>
      <c r="D872" s="58"/>
      <c r="E872" s="60" t="s">
        <v>1</v>
      </c>
      <c r="F872" s="68" t="str">
        <f>$C$3</f>
        <v>20/10/2013</v>
      </c>
      <c r="G872" s="58"/>
      <c r="H872" s="68"/>
      <c r="I872" s="60" t="s">
        <v>12</v>
      </c>
      <c r="J872" s="61" t="str">
        <f>L872&amp;" of "&amp;$G$1</f>
        <v>17 of 20</v>
      </c>
      <c r="K872" s="68"/>
      <c r="L872" s="71">
        <f>SUM($M$1:M871)</f>
        <v>17</v>
      </c>
      <c r="M872" s="62"/>
      <c r="N872" s="62"/>
      <c r="O872" s="62"/>
      <c r="P872" s="5"/>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c r="FE872" s="2"/>
      <c r="FF872" s="2"/>
      <c r="FG872" s="2"/>
      <c r="FH872" s="2"/>
      <c r="FI872" s="2"/>
      <c r="FJ872" s="2"/>
      <c r="FK872" s="2"/>
      <c r="FL872" s="2"/>
      <c r="FM872" s="2"/>
      <c r="FN872" s="2"/>
      <c r="FO872" s="2"/>
      <c r="FP872" s="2"/>
      <c r="FQ872" s="2"/>
      <c r="FR872" s="2"/>
      <c r="FS872" s="2"/>
      <c r="FT872" s="2"/>
      <c r="FU872" s="2"/>
      <c r="FV872" s="2"/>
      <c r="FW872" s="2"/>
      <c r="FX872" s="2"/>
      <c r="FY872" s="2"/>
      <c r="FZ872" s="2"/>
      <c r="GA872" s="2"/>
      <c r="GB872" s="2"/>
      <c r="GC872" s="2"/>
    </row>
    <row r="873" spans="1:185" x14ac:dyDescent="0.3">
      <c r="A873" s="58"/>
      <c r="B873" s="58"/>
      <c r="C873" s="58"/>
      <c r="D873" s="58"/>
      <c r="E873" s="60" t="s">
        <v>106</v>
      </c>
      <c r="F873" s="68" t="str">
        <f>$C$5</f>
        <v>STANDARD SPREADSHEET METHOD</v>
      </c>
      <c r="G873" s="58"/>
      <c r="H873" s="58"/>
      <c r="I873" s="72"/>
      <c r="J873" s="61"/>
      <c r="K873" s="58"/>
      <c r="L873" s="58"/>
      <c r="M873" s="62"/>
      <c r="N873" s="62"/>
      <c r="O873" s="62"/>
      <c r="P873" s="5"/>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c r="FE873" s="2"/>
      <c r="FF873" s="2"/>
      <c r="FG873" s="2"/>
      <c r="FH873" s="2"/>
      <c r="FI873" s="2"/>
      <c r="FJ873" s="2"/>
      <c r="FK873" s="2"/>
      <c r="FL873" s="2"/>
      <c r="FM873" s="2"/>
      <c r="FN873" s="2"/>
      <c r="FO873" s="2"/>
      <c r="FP873" s="2"/>
      <c r="FQ873" s="2"/>
      <c r="FR873" s="2"/>
      <c r="FS873" s="2"/>
      <c r="FT873" s="2"/>
      <c r="FU873" s="2"/>
      <c r="FV873" s="2"/>
      <c r="FW873" s="2"/>
      <c r="FX873" s="2"/>
      <c r="FY873" s="2"/>
      <c r="FZ873" s="2"/>
      <c r="GA873" s="2"/>
      <c r="GB873" s="2"/>
      <c r="GC873" s="2"/>
    </row>
    <row r="874" spans="1:185" ht="15.6" x14ac:dyDescent="0.3">
      <c r="A874" s="12"/>
      <c r="B874" s="74" t="str">
        <f>$G$4</f>
        <v>SECTION PROPERTIES</v>
      </c>
      <c r="C874" s="12"/>
      <c r="D874" s="12"/>
      <c r="E874" s="12"/>
      <c r="F874" s="12"/>
      <c r="G874" s="12"/>
      <c r="H874" s="12"/>
      <c r="I874" s="12"/>
      <c r="J874" s="12"/>
      <c r="K874" s="1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c r="FE874" s="2"/>
      <c r="FF874" s="2"/>
      <c r="FG874" s="2"/>
      <c r="FH874" s="2"/>
      <c r="FI874" s="2"/>
      <c r="FJ874" s="2"/>
      <c r="FK874" s="2"/>
      <c r="FL874" s="2"/>
      <c r="FM874" s="2"/>
      <c r="FN874" s="2"/>
      <c r="FO874" s="2"/>
      <c r="FP874" s="2"/>
      <c r="FQ874" s="2"/>
      <c r="FR874" s="2"/>
      <c r="FS874" s="2"/>
      <c r="FT874" s="2"/>
      <c r="FU874" s="2"/>
      <c r="FV874" s="2"/>
      <c r="FW874" s="2"/>
      <c r="FX874" s="2"/>
      <c r="FY874" s="2"/>
      <c r="FZ874" s="2"/>
      <c r="GA874" s="2"/>
      <c r="GB874" s="2"/>
      <c r="GC874" s="2"/>
    </row>
    <row r="875" spans="1:185" x14ac:dyDescent="0.3">
      <c r="A875" s="54"/>
      <c r="B875" s="85"/>
      <c r="C875" s="54"/>
      <c r="D875" s="54"/>
      <c r="E875" s="54"/>
    </row>
    <row r="877" spans="1:185" x14ac:dyDescent="0.3">
      <c r="A877" s="38"/>
      <c r="B877" s="39" t="s">
        <v>61</v>
      </c>
    </row>
    <row r="878" spans="1:185" x14ac:dyDescent="0.3">
      <c r="A878" s="18"/>
      <c r="B878" s="18"/>
      <c r="C878" s="18"/>
      <c r="D878" s="18"/>
      <c r="E878" s="18"/>
      <c r="F878" s="18"/>
      <c r="G878" s="18"/>
      <c r="H878" s="18"/>
      <c r="I878" s="18"/>
      <c r="J878" s="18"/>
      <c r="K878" s="18"/>
    </row>
    <row r="879" spans="1:185" x14ac:dyDescent="0.3">
      <c r="A879" s="18"/>
      <c r="B879" s="16" t="s">
        <v>32</v>
      </c>
      <c r="C879" s="20">
        <v>50</v>
      </c>
      <c r="D879" s="18" t="s">
        <v>4</v>
      </c>
    </row>
    <row r="880" spans="1:185" x14ac:dyDescent="0.3">
      <c r="A880" s="18"/>
      <c r="B880" s="40" t="s">
        <v>33</v>
      </c>
      <c r="C880" s="41">
        <v>30</v>
      </c>
      <c r="D880" s="18" t="s">
        <v>4</v>
      </c>
    </row>
    <row r="881" spans="1:11" x14ac:dyDescent="0.3">
      <c r="A881" s="18"/>
      <c r="B881" s="40" t="s">
        <v>28</v>
      </c>
      <c r="C881" s="41">
        <v>10</v>
      </c>
      <c r="D881" s="4" t="s">
        <v>45</v>
      </c>
      <c r="J881" s="21"/>
      <c r="K881" s="18"/>
    </row>
    <row r="882" spans="1:11" x14ac:dyDescent="0.3">
      <c r="A882" s="18"/>
      <c r="B882" s="18"/>
    </row>
    <row r="883" spans="1:11" x14ac:dyDescent="0.3">
      <c r="A883" s="18"/>
      <c r="B883" s="39" t="s">
        <v>29</v>
      </c>
      <c r="G883" s="42" t="s">
        <v>50</v>
      </c>
    </row>
    <row r="884" spans="1:11" x14ac:dyDescent="0.3">
      <c r="A884" s="11"/>
    </row>
    <row r="885" spans="1:11" x14ac:dyDescent="0.3">
      <c r="B885" s="16" t="s">
        <v>32</v>
      </c>
      <c r="C885" s="4" t="str">
        <f ca="1">[1]!xlv(C887)</f>
        <v>π × A × B</v>
      </c>
      <c r="G885" s="16" t="s">
        <v>74</v>
      </c>
      <c r="H885" s="4" t="str">
        <f ca="1">[1]!xlv(H887)</f>
        <v>(Iₓ / A)⁰·⁵</v>
      </c>
    </row>
    <row r="886" spans="1:11" x14ac:dyDescent="0.3">
      <c r="B886" s="16" t="s">
        <v>32</v>
      </c>
      <c r="C886" s="4" t="str">
        <f>[1]!xln(C887)</f>
        <v>π × 50 × 30</v>
      </c>
      <c r="D886" s="11"/>
      <c r="G886" s="16" t="s">
        <v>74</v>
      </c>
      <c r="H886" s="4" t="str">
        <f>[1]!xln(H887)</f>
        <v>(1060288 / 4712)⁰·⁵</v>
      </c>
    </row>
    <row r="887" spans="1:11" x14ac:dyDescent="0.3">
      <c r="B887" s="16" t="s">
        <v>32</v>
      </c>
      <c r="C887" s="17">
        <f>PI()*C879*C880</f>
        <v>4712.3889803846896</v>
      </c>
      <c r="D887" s="18" t="s">
        <v>68</v>
      </c>
      <c r="G887" s="16" t="s">
        <v>74</v>
      </c>
      <c r="H887" s="43">
        <f>(C898/C887)^0.5</f>
        <v>15</v>
      </c>
      <c r="I887" s="18" t="s">
        <v>4</v>
      </c>
    </row>
    <row r="889" spans="1:11" x14ac:dyDescent="0.3">
      <c r="B889" s="40" t="s">
        <v>25</v>
      </c>
      <c r="C889" s="25">
        <f>C879</f>
        <v>50</v>
      </c>
      <c r="D889" s="4" t="s">
        <v>4</v>
      </c>
      <c r="G889" s="16" t="s">
        <v>75</v>
      </c>
      <c r="H889" s="4" t="str">
        <f ca="1">[1]!xlv(H891)</f>
        <v>(Iᵧ / A)⁰·⁵</v>
      </c>
    </row>
    <row r="890" spans="1:11" x14ac:dyDescent="0.3">
      <c r="G890" s="16" t="s">
        <v>75</v>
      </c>
      <c r="H890" s="4" t="str">
        <f>[1]!xln(H891)</f>
        <v>(2945243 / 4712)⁰·⁵</v>
      </c>
    </row>
    <row r="891" spans="1:11" x14ac:dyDescent="0.3">
      <c r="B891" s="40" t="s">
        <v>27</v>
      </c>
      <c r="C891" s="25">
        <f>C880</f>
        <v>30</v>
      </c>
      <c r="D891" s="4" t="s">
        <v>4</v>
      </c>
      <c r="G891" s="16" t="s">
        <v>75</v>
      </c>
      <c r="H891" s="25">
        <f>(C902/C887)^0.5</f>
        <v>25</v>
      </c>
      <c r="I891" s="18" t="s">
        <v>4</v>
      </c>
    </row>
    <row r="894" spans="1:11" x14ac:dyDescent="0.3">
      <c r="B894" s="39" t="s">
        <v>30</v>
      </c>
      <c r="G894" s="39" t="s">
        <v>31</v>
      </c>
      <c r="H894" s="16"/>
      <c r="I894" s="18"/>
    </row>
    <row r="895" spans="1:11" x14ac:dyDescent="0.3">
      <c r="H895" s="16"/>
      <c r="I895" s="18"/>
    </row>
    <row r="896" spans="1:11" x14ac:dyDescent="0.3">
      <c r="B896" s="16" t="s">
        <v>72</v>
      </c>
      <c r="C896" s="4" t="str">
        <f ca="1">[1]!xlv(C898)</f>
        <v>π × A × (B³) / 4</v>
      </c>
      <c r="G896" s="16" t="s">
        <v>72</v>
      </c>
      <c r="H896" s="4" t="str">
        <f ca="1">[1]!xlv(H898)</f>
        <v>W / A × Iₓ</v>
      </c>
    </row>
    <row r="897" spans="1:19" x14ac:dyDescent="0.3">
      <c r="B897" s="16" t="s">
        <v>72</v>
      </c>
      <c r="C897" s="4" t="str">
        <f>[1]!xln(C898)</f>
        <v>π × 50 × (30³) / 4</v>
      </c>
      <c r="G897" s="16" t="s">
        <v>72</v>
      </c>
      <c r="H897" s="4" t="str">
        <f>[1]!xln(H898)</f>
        <v>10 / 4712 × 1060288</v>
      </c>
      <c r="I897" s="11"/>
    </row>
    <row r="898" spans="1:19" x14ac:dyDescent="0.3">
      <c r="B898" s="16" t="s">
        <v>72</v>
      </c>
      <c r="C898" s="17">
        <f>PI()*C879*(C880^3)/4</f>
        <v>1060287.5205865551</v>
      </c>
      <c r="D898" s="18" t="s">
        <v>69</v>
      </c>
      <c r="G898" s="16" t="s">
        <v>72</v>
      </c>
      <c r="H898" s="46">
        <f>C881/C887*C898</f>
        <v>2250</v>
      </c>
      <c r="I898" s="4" t="s">
        <v>46</v>
      </c>
    </row>
    <row r="900" spans="1:19" x14ac:dyDescent="0.3">
      <c r="B900" s="40" t="s">
        <v>73</v>
      </c>
      <c r="C900" s="4" t="str">
        <f ca="1">[1]!xlv(C902)</f>
        <v>π × B × (A³) / 4</v>
      </c>
      <c r="G900" s="40" t="s">
        <v>73</v>
      </c>
      <c r="H900" s="4" t="str">
        <f ca="1">[1]!xlv(H902)</f>
        <v>W / A × Iᵧ</v>
      </c>
      <c r="L900" s="4"/>
      <c r="M900" s="4"/>
      <c r="N900" s="4"/>
      <c r="O900" s="4"/>
      <c r="P900" s="4"/>
      <c r="Q900" s="4"/>
      <c r="R900" s="4"/>
      <c r="S900" s="4"/>
    </row>
    <row r="901" spans="1:19" x14ac:dyDescent="0.3">
      <c r="B901" s="40" t="s">
        <v>73</v>
      </c>
      <c r="C901" s="4" t="str">
        <f>[1]!xln(C902)</f>
        <v>π × 30 × (50³) / 4</v>
      </c>
      <c r="G901" s="40" t="s">
        <v>73</v>
      </c>
      <c r="H901" s="4" t="str">
        <f>[1]!xln(H902)</f>
        <v>10 / 4712 × 2945243</v>
      </c>
      <c r="L901" s="4"/>
      <c r="M901" s="4"/>
      <c r="N901" s="4"/>
      <c r="O901" s="4"/>
      <c r="P901" s="4"/>
      <c r="Q901" s="4"/>
      <c r="R901" s="4"/>
      <c r="S901" s="4"/>
    </row>
    <row r="902" spans="1:19" x14ac:dyDescent="0.3">
      <c r="A902" s="11"/>
      <c r="B902" s="40" t="s">
        <v>73</v>
      </c>
      <c r="C902" s="46">
        <f>PI()*C880*(C879^3)/4</f>
        <v>2945243.112740431</v>
      </c>
      <c r="D902" s="18" t="s">
        <v>69</v>
      </c>
      <c r="G902" s="40" t="s">
        <v>73</v>
      </c>
      <c r="H902" s="46">
        <f>C881/C887*C902</f>
        <v>6250</v>
      </c>
      <c r="I902" s="4" t="s">
        <v>46</v>
      </c>
      <c r="K902" s="11"/>
      <c r="L902" s="4"/>
      <c r="M902" s="4"/>
      <c r="N902" s="4"/>
      <c r="O902" s="4"/>
      <c r="P902" s="4"/>
      <c r="Q902" s="4"/>
      <c r="R902" s="4"/>
      <c r="S902" s="4"/>
    </row>
    <row r="903" spans="1:19" x14ac:dyDescent="0.3">
      <c r="A903" s="11"/>
      <c r="K903" s="11"/>
      <c r="L903" s="4"/>
      <c r="M903" s="4"/>
      <c r="N903" s="4"/>
      <c r="O903" s="4"/>
      <c r="P903" s="4"/>
      <c r="Q903" s="4"/>
      <c r="R903" s="4"/>
      <c r="S903" s="4"/>
    </row>
    <row r="904" spans="1:19" x14ac:dyDescent="0.3">
      <c r="B904" s="16" t="s">
        <v>87</v>
      </c>
      <c r="C904" s="4" t="str">
        <f ca="1">[1]!xlv(C906)</f>
        <v>Iᵧ + Iₓ</v>
      </c>
      <c r="G904" s="16" t="s">
        <v>87</v>
      </c>
      <c r="H904" s="4" t="str">
        <f ca="1">[1]!xlv(H906)</f>
        <v>Iᵧ + Iₓ</v>
      </c>
      <c r="L904" s="4"/>
      <c r="M904" s="4"/>
      <c r="N904" s="4"/>
      <c r="O904" s="4"/>
      <c r="P904" s="4"/>
      <c r="Q904" s="4"/>
      <c r="R904" s="4"/>
      <c r="S904" s="4"/>
    </row>
    <row r="905" spans="1:19" x14ac:dyDescent="0.3">
      <c r="B905" s="16" t="s">
        <v>87</v>
      </c>
      <c r="C905" s="4" t="str">
        <f>[1]!xln(C906)</f>
        <v>2945243 + 1060288</v>
      </c>
      <c r="G905" s="16" t="s">
        <v>87</v>
      </c>
      <c r="H905" s="4" t="str">
        <f>[1]!xln(H906)</f>
        <v>6250 + 2250</v>
      </c>
      <c r="L905" s="4"/>
      <c r="M905" s="4"/>
      <c r="N905" s="4"/>
      <c r="O905" s="4"/>
      <c r="P905" s="4"/>
      <c r="Q905" s="4"/>
      <c r="R905" s="4"/>
      <c r="S905" s="4"/>
    </row>
    <row r="906" spans="1:19" x14ac:dyDescent="0.3">
      <c r="B906" s="16" t="s">
        <v>87</v>
      </c>
      <c r="C906" s="17">
        <f>C902+C898</f>
        <v>4005530.6333269859</v>
      </c>
      <c r="D906" s="18" t="s">
        <v>69</v>
      </c>
      <c r="G906" s="16" t="s">
        <v>87</v>
      </c>
      <c r="H906" s="46">
        <f>H902+H898</f>
        <v>8500</v>
      </c>
      <c r="I906" s="4" t="s">
        <v>46</v>
      </c>
      <c r="L906" s="4"/>
      <c r="M906" s="4"/>
      <c r="N906" s="4"/>
      <c r="O906" s="4"/>
      <c r="P906" s="4"/>
      <c r="Q906" s="4"/>
      <c r="R906" s="4"/>
      <c r="S906" s="4"/>
    </row>
    <row r="907" spans="1:19" x14ac:dyDescent="0.3">
      <c r="B907" s="11"/>
      <c r="C907" s="16"/>
      <c r="D907" s="32"/>
      <c r="E907" s="18"/>
      <c r="L907" s="4"/>
      <c r="M907" s="4"/>
      <c r="N907" s="4"/>
      <c r="O907" s="4"/>
      <c r="P907" s="4"/>
      <c r="Q907" s="4"/>
      <c r="R907" s="4"/>
      <c r="S907" s="4"/>
    </row>
    <row r="908" spans="1:19" x14ac:dyDescent="0.3">
      <c r="L908" s="4"/>
      <c r="M908" s="4"/>
      <c r="N908" s="4"/>
      <c r="O908" s="4"/>
      <c r="P908" s="4"/>
      <c r="Q908" s="4"/>
      <c r="R908" s="4"/>
      <c r="S908" s="4"/>
    </row>
    <row r="909" spans="1:19" x14ac:dyDescent="0.3">
      <c r="L909" s="4"/>
      <c r="M909" s="4"/>
      <c r="N909" s="4"/>
      <c r="O909" s="4"/>
      <c r="P909" s="4"/>
      <c r="Q909" s="4"/>
      <c r="R909" s="4"/>
      <c r="S909" s="4"/>
    </row>
    <row r="910" spans="1:19" x14ac:dyDescent="0.3">
      <c r="L910" s="4"/>
      <c r="M910" s="4"/>
      <c r="N910" s="4"/>
      <c r="O910" s="4"/>
      <c r="P910" s="4"/>
      <c r="Q910" s="4"/>
      <c r="R910" s="4"/>
      <c r="S910" s="4"/>
    </row>
    <row r="911" spans="1:19" x14ac:dyDescent="0.3">
      <c r="L911" s="4"/>
      <c r="M911" s="4"/>
      <c r="N911" s="4"/>
      <c r="O911" s="4"/>
      <c r="P911" s="4"/>
      <c r="Q911" s="4"/>
      <c r="R911" s="4"/>
      <c r="S911" s="4"/>
    </row>
    <row r="913" spans="1:185" x14ac:dyDescent="0.3">
      <c r="L913" s="4"/>
      <c r="M913" s="4"/>
      <c r="N913" s="4"/>
      <c r="O913" s="4"/>
      <c r="P913" s="4"/>
      <c r="Q913" s="4"/>
      <c r="R913" s="4"/>
      <c r="S913" s="4"/>
    </row>
    <row r="914" spans="1:185" x14ac:dyDescent="0.3">
      <c r="L914" s="4"/>
      <c r="M914" s="4"/>
      <c r="N914" s="4"/>
      <c r="O914" s="4"/>
      <c r="P914" s="4"/>
      <c r="Q914" s="4"/>
      <c r="R914" s="4"/>
      <c r="S914" s="4"/>
    </row>
    <row r="915" spans="1:185" x14ac:dyDescent="0.3">
      <c r="L915" s="4"/>
      <c r="M915" s="4"/>
      <c r="N915" s="4"/>
      <c r="O915" s="4"/>
      <c r="P915" s="4"/>
      <c r="Q915" s="4"/>
      <c r="R915" s="4"/>
      <c r="S915" s="4"/>
    </row>
    <row r="916" spans="1:185" x14ac:dyDescent="0.3">
      <c r="L916" s="4"/>
      <c r="M916" s="4"/>
      <c r="N916" s="4"/>
      <c r="O916" s="4"/>
      <c r="P916" s="4"/>
      <c r="Q916" s="4"/>
      <c r="R916" s="4"/>
      <c r="S916" s="4"/>
    </row>
    <row r="917" spans="1:185" x14ac:dyDescent="0.3">
      <c r="L917" s="4"/>
      <c r="M917" s="4"/>
      <c r="N917" s="4"/>
      <c r="O917" s="4"/>
      <c r="P917" s="4"/>
      <c r="Q917" s="4"/>
      <c r="R917" s="4"/>
      <c r="S917" s="4"/>
    </row>
    <row r="918" spans="1:185" x14ac:dyDescent="0.3">
      <c r="L918" s="4"/>
      <c r="M918" s="4"/>
      <c r="N918" s="4"/>
      <c r="O918" s="4"/>
      <c r="P918" s="4"/>
      <c r="Q918" s="4"/>
      <c r="R918" s="4"/>
      <c r="S918" s="4"/>
    </row>
    <row r="919" spans="1:185" x14ac:dyDescent="0.3">
      <c r="L919" s="4"/>
      <c r="M919" s="4"/>
      <c r="N919" s="4"/>
      <c r="O919" s="4"/>
      <c r="P919" s="4"/>
      <c r="Q919" s="4"/>
      <c r="R919" s="4"/>
      <c r="S919" s="4"/>
    </row>
    <row r="920" spans="1:185" x14ac:dyDescent="0.3">
      <c r="L920" s="4"/>
      <c r="M920" s="4"/>
      <c r="N920" s="4"/>
      <c r="O920" s="4"/>
      <c r="P920" s="4"/>
      <c r="Q920" s="4"/>
      <c r="R920" s="4"/>
      <c r="S920" s="4"/>
    </row>
    <row r="921" spans="1:185" x14ac:dyDescent="0.3">
      <c r="L921" s="4"/>
      <c r="M921" s="4"/>
      <c r="N921" s="4"/>
      <c r="O921" s="4"/>
      <c r="P921" s="4"/>
      <c r="Q921" s="4"/>
      <c r="R921" s="4"/>
      <c r="S921" s="4"/>
    </row>
    <row r="922" spans="1:185" x14ac:dyDescent="0.3">
      <c r="L922" s="4"/>
      <c r="M922" s="4"/>
      <c r="N922" s="4"/>
      <c r="O922" s="4"/>
      <c r="P922" s="4"/>
      <c r="Q922" s="4"/>
      <c r="R922" s="4"/>
      <c r="S922" s="4"/>
    </row>
    <row r="923" spans="1:185" x14ac:dyDescent="0.3">
      <c r="A923" s="12"/>
      <c r="B923" s="3"/>
      <c r="C923" s="86"/>
      <c r="D923" s="12"/>
      <c r="E923" s="12"/>
      <c r="F923" s="12"/>
      <c r="G923" s="86"/>
      <c r="H923" s="12"/>
      <c r="I923" s="12"/>
      <c r="J923" s="12"/>
      <c r="K923" s="12"/>
    </row>
    <row r="924" spans="1:185" x14ac:dyDescent="0.3">
      <c r="A924" s="12"/>
      <c r="B924" s="87"/>
      <c r="C924" s="86"/>
      <c r="D924" s="88"/>
      <c r="E924" s="88"/>
      <c r="F924" s="89" t="s">
        <v>161</v>
      </c>
      <c r="G924" s="86"/>
      <c r="H924" s="88"/>
      <c r="I924" s="88"/>
      <c r="J924" s="88"/>
      <c r="K924" s="12"/>
    </row>
    <row r="925" spans="1:185" x14ac:dyDescent="0.3">
      <c r="A925" s="12"/>
      <c r="B925" s="88"/>
      <c r="C925" s="88"/>
      <c r="D925" s="88"/>
      <c r="E925" s="88"/>
      <c r="F925" s="104" t="s">
        <v>162</v>
      </c>
      <c r="G925" s="88"/>
      <c r="H925" s="88"/>
      <c r="I925" s="88"/>
      <c r="J925" s="88"/>
      <c r="K925" s="12"/>
    </row>
    <row r="926" spans="1:185" x14ac:dyDescent="0.3">
      <c r="A926" s="67"/>
      <c r="B926" s="58"/>
      <c r="C926" s="58"/>
      <c r="D926" s="58"/>
      <c r="E926" s="60" t="s">
        <v>5</v>
      </c>
      <c r="F926" s="61" t="str">
        <f>$C$1</f>
        <v>R. Abbott</v>
      </c>
      <c r="G926" s="58"/>
      <c r="H926" s="68"/>
      <c r="I926" s="60" t="s">
        <v>10</v>
      </c>
      <c r="J926" s="69" t="str">
        <f>$G$2</f>
        <v>AA-SM-001-000</v>
      </c>
      <c r="K926" s="70"/>
      <c r="L926" s="71"/>
      <c r="M926" s="62"/>
      <c r="N926" s="62"/>
      <c r="O926" s="62"/>
      <c r="P926" s="5"/>
      <c r="AD926" s="8"/>
    </row>
    <row r="927" spans="1:185" s="10" customFormat="1" x14ac:dyDescent="0.3">
      <c r="A927" s="58"/>
      <c r="B927" s="58"/>
      <c r="C927" s="58"/>
      <c r="D927" s="58"/>
      <c r="E927" s="60" t="s">
        <v>6</v>
      </c>
      <c r="F927" s="68" t="str">
        <f>$C$2</f>
        <v xml:space="preserve"> </v>
      </c>
      <c r="G927" s="58"/>
      <c r="H927" s="68"/>
      <c r="I927" s="60" t="s">
        <v>11</v>
      </c>
      <c r="J927" s="70" t="str">
        <f>$G$3</f>
        <v>A</v>
      </c>
      <c r="K927" s="70"/>
      <c r="L927" s="71"/>
      <c r="M927" s="62">
        <v>1</v>
      </c>
      <c r="N927" s="62"/>
      <c r="O927" s="62"/>
      <c r="P927" s="5"/>
      <c r="Q927" s="9"/>
      <c r="R927" s="7"/>
      <c r="S927" s="7"/>
      <c r="T927" s="2"/>
      <c r="U927" s="2"/>
      <c r="V927" s="2"/>
      <c r="W927" s="2"/>
      <c r="X927" s="2"/>
      <c r="Y927" s="2"/>
      <c r="Z927" s="2"/>
      <c r="AA927" s="2"/>
      <c r="AB927" s="2"/>
      <c r="AC927" s="2"/>
      <c r="AD927" s="2"/>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c r="EE927" s="3"/>
      <c r="EF927" s="3"/>
      <c r="EG927" s="3"/>
      <c r="EH927" s="3"/>
      <c r="EI927" s="3"/>
      <c r="EJ927" s="3"/>
      <c r="EK927" s="3"/>
      <c r="EL927" s="3"/>
      <c r="EM927" s="3"/>
      <c r="EN927" s="3"/>
      <c r="EO927" s="3"/>
      <c r="EP927" s="3"/>
      <c r="EQ927" s="3"/>
      <c r="ER927" s="3"/>
      <c r="ES927" s="3"/>
      <c r="ET927" s="3"/>
      <c r="EU927" s="3"/>
      <c r="EV927" s="3"/>
      <c r="EW927" s="3"/>
      <c r="EX927" s="3"/>
      <c r="EY927" s="3"/>
      <c r="EZ927" s="3"/>
      <c r="FA927" s="3"/>
      <c r="FB927" s="3"/>
      <c r="FC927" s="3"/>
      <c r="FD927" s="3"/>
      <c r="FE927" s="3"/>
      <c r="FF927" s="3"/>
      <c r="FG927" s="3"/>
      <c r="FH927" s="3"/>
      <c r="FI927" s="3"/>
      <c r="FJ927" s="3"/>
      <c r="FK927" s="3"/>
      <c r="FL927" s="3"/>
      <c r="FM927" s="3"/>
      <c r="FN927" s="3"/>
      <c r="FO927" s="3"/>
    </row>
    <row r="928" spans="1:185" x14ac:dyDescent="0.3">
      <c r="A928" s="58"/>
      <c r="B928" s="58"/>
      <c r="C928" s="58"/>
      <c r="D928" s="58"/>
      <c r="E928" s="60" t="s">
        <v>1</v>
      </c>
      <c r="F928" s="68" t="str">
        <f>$C$3</f>
        <v>20/10/2013</v>
      </c>
      <c r="G928" s="58"/>
      <c r="H928" s="68"/>
      <c r="I928" s="60" t="s">
        <v>12</v>
      </c>
      <c r="J928" s="61" t="str">
        <f>L928&amp;" of "&amp;$G$1</f>
        <v>18 of 20</v>
      </c>
      <c r="K928" s="68"/>
      <c r="L928" s="71">
        <f>SUM($M$1:M927)</f>
        <v>18</v>
      </c>
      <c r="M928" s="62"/>
      <c r="N928" s="62"/>
      <c r="O928" s="62"/>
      <c r="P928" s="5"/>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row>
    <row r="929" spans="1:185" x14ac:dyDescent="0.3">
      <c r="A929" s="58"/>
      <c r="B929" s="58"/>
      <c r="C929" s="58"/>
      <c r="D929" s="58"/>
      <c r="E929" s="60" t="s">
        <v>106</v>
      </c>
      <c r="F929" s="68" t="str">
        <f>$C$5</f>
        <v>STANDARD SPREADSHEET METHOD</v>
      </c>
      <c r="G929" s="58"/>
      <c r="H929" s="58"/>
      <c r="I929" s="72"/>
      <c r="J929" s="61"/>
      <c r="K929" s="58"/>
      <c r="L929" s="58"/>
      <c r="M929" s="62"/>
      <c r="N929" s="62"/>
      <c r="O929" s="62"/>
      <c r="P929" s="5"/>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row>
    <row r="930" spans="1:185" ht="15.6" x14ac:dyDescent="0.3">
      <c r="A930" s="12"/>
      <c r="B930" s="74" t="str">
        <f>$G$4</f>
        <v>SECTION PROPERTIES</v>
      </c>
      <c r="C930" s="12"/>
      <c r="D930" s="12"/>
      <c r="E930" s="12"/>
      <c r="F930" s="12"/>
      <c r="G930" s="12"/>
      <c r="H930" s="12"/>
      <c r="I930" s="12"/>
      <c r="J930" s="12"/>
      <c r="K930" s="1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row>
    <row r="931" spans="1:185" x14ac:dyDescent="0.3">
      <c r="A931" s="54"/>
      <c r="B931" s="85"/>
      <c r="C931" s="54"/>
      <c r="D931" s="54"/>
      <c r="E931" s="54"/>
    </row>
    <row r="932" spans="1:185" x14ac:dyDescent="0.3">
      <c r="A932" s="11"/>
      <c r="B932" s="11"/>
      <c r="C932" s="11"/>
      <c r="D932" s="15"/>
      <c r="E932" s="11"/>
      <c r="F932" s="11"/>
      <c r="G932" s="11"/>
      <c r="H932" s="11"/>
      <c r="I932" s="11"/>
      <c r="J932" s="11"/>
      <c r="K932" s="11"/>
    </row>
    <row r="933" spans="1:185" x14ac:dyDescent="0.3">
      <c r="A933" s="38"/>
      <c r="B933" s="39" t="s">
        <v>62</v>
      </c>
    </row>
    <row r="934" spans="1:185" x14ac:dyDescent="0.3">
      <c r="A934" s="18"/>
      <c r="B934" s="18"/>
      <c r="C934" s="18"/>
      <c r="D934" s="18"/>
      <c r="E934" s="18"/>
      <c r="F934" s="18"/>
      <c r="G934" s="18"/>
      <c r="H934" s="18"/>
      <c r="I934" s="18"/>
      <c r="J934" s="18"/>
      <c r="K934" s="18"/>
    </row>
    <row r="935" spans="1:185" x14ac:dyDescent="0.3">
      <c r="A935" s="18"/>
      <c r="B935" s="16" t="s">
        <v>32</v>
      </c>
      <c r="C935" s="20">
        <v>20</v>
      </c>
      <c r="D935" s="18" t="s">
        <v>4</v>
      </c>
      <c r="E935" s="16" t="s">
        <v>63</v>
      </c>
      <c r="F935" s="20">
        <v>6</v>
      </c>
      <c r="G935" s="18" t="s">
        <v>4</v>
      </c>
      <c r="H935" s="49" t="str">
        <f>IF(F935&gt;C935,"ERROR","")</f>
        <v/>
      </c>
    </row>
    <row r="936" spans="1:185" x14ac:dyDescent="0.3">
      <c r="A936" s="18"/>
      <c r="B936" s="40" t="s">
        <v>33</v>
      </c>
      <c r="C936" s="41">
        <v>15</v>
      </c>
      <c r="D936" s="18" t="s">
        <v>4</v>
      </c>
      <c r="E936" s="40" t="s">
        <v>64</v>
      </c>
      <c r="F936" s="41">
        <v>5</v>
      </c>
      <c r="G936" s="18" t="s">
        <v>4</v>
      </c>
      <c r="H936" s="49" t="str">
        <f>IF(F936&gt;C936,"ERROR","")</f>
        <v/>
      </c>
    </row>
    <row r="937" spans="1:185" x14ac:dyDescent="0.3">
      <c r="A937" s="18"/>
      <c r="B937" s="40" t="s">
        <v>28</v>
      </c>
      <c r="C937" s="41">
        <v>10</v>
      </c>
      <c r="D937" s="4" t="s">
        <v>45</v>
      </c>
      <c r="J937" s="21"/>
      <c r="K937" s="18"/>
    </row>
    <row r="938" spans="1:185" x14ac:dyDescent="0.3">
      <c r="A938" s="18"/>
      <c r="B938" s="18"/>
    </row>
    <row r="939" spans="1:185" x14ac:dyDescent="0.3">
      <c r="A939" s="18"/>
      <c r="B939" s="39" t="s">
        <v>29</v>
      </c>
      <c r="G939" s="42" t="s">
        <v>50</v>
      </c>
    </row>
    <row r="940" spans="1:185" x14ac:dyDescent="0.3">
      <c r="A940" s="11"/>
    </row>
    <row r="941" spans="1:185" x14ac:dyDescent="0.3">
      <c r="B941" s="16" t="s">
        <v>32</v>
      </c>
      <c r="C941" s="4" t="str">
        <f ca="1">[1]!xlv(C943)</f>
        <v>π × (A × B - C × D)</v>
      </c>
      <c r="G941" s="16" t="s">
        <v>74</v>
      </c>
      <c r="H941" s="4" t="str">
        <f ca="1">[1]!xlv(H943)</f>
        <v>(Iₓ / A)⁰·⁵</v>
      </c>
    </row>
    <row r="942" spans="1:185" x14ac:dyDescent="0.3">
      <c r="B942" s="16" t="s">
        <v>32</v>
      </c>
      <c r="C942" s="4" t="str">
        <f>[1]!xln(C943)</f>
        <v>π × (20 × 15 - 6 × 5)</v>
      </c>
      <c r="D942" s="11"/>
      <c r="G942" s="16" t="s">
        <v>74</v>
      </c>
      <c r="H942" s="4" t="str">
        <f>[1]!xln(H943)</f>
        <v>(52425 / 848)⁰·⁵</v>
      </c>
    </row>
    <row r="943" spans="1:185" x14ac:dyDescent="0.3">
      <c r="B943" s="16" t="s">
        <v>32</v>
      </c>
      <c r="C943" s="17">
        <f>PI()*(C935*C936-F935*F936)</f>
        <v>848.23001646924411</v>
      </c>
      <c r="D943" s="18" t="s">
        <v>68</v>
      </c>
      <c r="G943" s="16" t="s">
        <v>74</v>
      </c>
      <c r="H943" s="43">
        <f>(C953/C943)^0.5</f>
        <v>7.8616509433805035</v>
      </c>
      <c r="I943" s="18" t="s">
        <v>4</v>
      </c>
    </row>
    <row r="945" spans="1:11" x14ac:dyDescent="0.3">
      <c r="B945" s="40" t="s">
        <v>25</v>
      </c>
      <c r="C945" s="25">
        <f>C935</f>
        <v>20</v>
      </c>
      <c r="D945" s="4" t="s">
        <v>4</v>
      </c>
      <c r="G945" s="16" t="s">
        <v>75</v>
      </c>
      <c r="H945" s="4" t="str">
        <f ca="1">[1]!xlv(H947)</f>
        <v>(Iᵧ / A)⁰·⁵</v>
      </c>
    </row>
    <row r="946" spans="1:11" x14ac:dyDescent="0.3">
      <c r="G946" s="16" t="s">
        <v>75</v>
      </c>
      <c r="H946" s="4" t="str">
        <f>[1]!xln(H947)</f>
        <v>(93400 / 848)⁰·⁵</v>
      </c>
    </row>
    <row r="947" spans="1:11" x14ac:dyDescent="0.3">
      <c r="B947" s="40" t="s">
        <v>27</v>
      </c>
      <c r="C947" s="25">
        <f>C936</f>
        <v>15</v>
      </c>
      <c r="D947" s="4" t="s">
        <v>4</v>
      </c>
      <c r="G947" s="16" t="s">
        <v>75</v>
      </c>
      <c r="H947" s="25">
        <f>(C957/C943)^0.5</f>
        <v>10.493384159131462</v>
      </c>
      <c r="I947" s="18" t="s">
        <v>4</v>
      </c>
    </row>
    <row r="949" spans="1:11" x14ac:dyDescent="0.3">
      <c r="B949" s="39" t="s">
        <v>30</v>
      </c>
      <c r="G949" s="39" t="s">
        <v>31</v>
      </c>
      <c r="H949" s="16"/>
      <c r="I949" s="18"/>
    </row>
    <row r="950" spans="1:11" x14ac:dyDescent="0.3">
      <c r="H950" s="16"/>
      <c r="I950" s="18"/>
    </row>
    <row r="951" spans="1:11" x14ac:dyDescent="0.3">
      <c r="B951" s="16" t="s">
        <v>72</v>
      </c>
      <c r="C951" s="4" t="str">
        <f ca="1">[1]!xlv(C953)</f>
        <v>π × (A × (B³) - C × D³) / 4</v>
      </c>
      <c r="G951" s="16" t="s">
        <v>72</v>
      </c>
      <c r="H951" s="4" t="str">
        <f ca="1">[1]!xlv(H953)</f>
        <v>W / A × Iₓ</v>
      </c>
    </row>
    <row r="952" spans="1:11" x14ac:dyDescent="0.3">
      <c r="B952" s="16" t="s">
        <v>72</v>
      </c>
      <c r="C952" s="4" t="str">
        <f>[1]!xln(C953)</f>
        <v>π × (20 × (15³) - 6 × 5³) / 4</v>
      </c>
      <c r="G952" s="16" t="s">
        <v>72</v>
      </c>
      <c r="H952" s="4" t="str">
        <f>[1]!xln(H953)</f>
        <v>10 / 848 × 52425</v>
      </c>
      <c r="I952" s="11"/>
    </row>
    <row r="953" spans="1:11" x14ac:dyDescent="0.3">
      <c r="B953" s="16" t="s">
        <v>72</v>
      </c>
      <c r="C953" s="17">
        <f>PI()*(C935*(C936^3)-F935*F936^3)/4</f>
        <v>52425.327406779674</v>
      </c>
      <c r="D953" s="18" t="s">
        <v>69</v>
      </c>
      <c r="G953" s="16" t="s">
        <v>72</v>
      </c>
      <c r="H953" s="46">
        <f>C937/C943*C953</f>
        <v>618.05555555555566</v>
      </c>
      <c r="I953" s="4" t="s">
        <v>46</v>
      </c>
    </row>
    <row r="955" spans="1:11" x14ac:dyDescent="0.3">
      <c r="B955" s="40" t="s">
        <v>73</v>
      </c>
      <c r="C955" s="4" t="str">
        <f ca="1">[1]!xlv(C957)</f>
        <v>π × (B × (A³) - D × C³) / 4</v>
      </c>
      <c r="G955" s="40" t="s">
        <v>73</v>
      </c>
      <c r="H955" s="4" t="str">
        <f ca="1">[1]!xlv(H957)</f>
        <v>W / A × Iᵧ</v>
      </c>
    </row>
    <row r="956" spans="1:11" x14ac:dyDescent="0.3">
      <c r="B956" s="40" t="s">
        <v>73</v>
      </c>
      <c r="C956" s="4" t="str">
        <f>[1]!xln(C957)</f>
        <v>π × (15 × (20³) - 5 × 6³) / 4</v>
      </c>
      <c r="G956" s="40" t="s">
        <v>73</v>
      </c>
      <c r="H956" s="4" t="str">
        <f>[1]!xln(H957)</f>
        <v>10 / 848 × 93400</v>
      </c>
    </row>
    <row r="957" spans="1:11" x14ac:dyDescent="0.3">
      <c r="A957" s="11"/>
      <c r="B957" s="40" t="s">
        <v>73</v>
      </c>
      <c r="C957" s="46">
        <f>PI()*(C936*(C935^3)-F936*F935^3)/4</f>
        <v>93399.549591224553</v>
      </c>
      <c r="D957" s="18" t="s">
        <v>69</v>
      </c>
      <c r="G957" s="40" t="s">
        <v>73</v>
      </c>
      <c r="H957" s="46">
        <f>C937/C943*C957</f>
        <v>1101.1111111111113</v>
      </c>
      <c r="I957" s="4" t="s">
        <v>46</v>
      </c>
      <c r="K957" s="11"/>
    </row>
    <row r="958" spans="1:11" x14ac:dyDescent="0.3">
      <c r="A958" s="11"/>
      <c r="K958" s="11"/>
    </row>
    <row r="959" spans="1:11" x14ac:dyDescent="0.3">
      <c r="A959" s="11"/>
      <c r="B959" s="16" t="s">
        <v>87</v>
      </c>
      <c r="C959" s="4" t="str">
        <f ca="1">[1]!xlv(C961)</f>
        <v>Iᵧ + Iₓ</v>
      </c>
      <c r="G959" s="16" t="s">
        <v>87</v>
      </c>
      <c r="H959" s="4" t="str">
        <f ca="1">[1]!xlv(H961)</f>
        <v>Iᵧ + Iₓ</v>
      </c>
      <c r="K959" s="11"/>
    </row>
    <row r="960" spans="1:11" x14ac:dyDescent="0.3">
      <c r="B960" s="16" t="s">
        <v>87</v>
      </c>
      <c r="C960" s="4" t="str">
        <f>[1]!xln(C961)</f>
        <v>93400 + 52425</v>
      </c>
      <c r="G960" s="16" t="s">
        <v>87</v>
      </c>
      <c r="H960" s="4" t="str">
        <f>[1]!xln(H961)</f>
        <v>1101 + 618</v>
      </c>
    </row>
    <row r="961" spans="2:10" x14ac:dyDescent="0.3">
      <c r="B961" s="16" t="s">
        <v>87</v>
      </c>
      <c r="C961" s="17">
        <f>C957+C953</f>
        <v>145824.87699800421</v>
      </c>
      <c r="D961" s="18" t="s">
        <v>69</v>
      </c>
      <c r="G961" s="16" t="s">
        <v>87</v>
      </c>
      <c r="H961" s="46">
        <f>H957+H953</f>
        <v>1719.166666666667</v>
      </c>
      <c r="I961" s="4" t="s">
        <v>46</v>
      </c>
    </row>
    <row r="962" spans="2:10" x14ac:dyDescent="0.3">
      <c r="B962" s="11"/>
      <c r="C962" s="16"/>
      <c r="F962" s="21"/>
      <c r="G962" s="21"/>
      <c r="H962" s="21"/>
      <c r="I962" s="21"/>
      <c r="J962" s="11"/>
    </row>
    <row r="963" spans="2:10" x14ac:dyDescent="0.3">
      <c r="C963" s="16"/>
      <c r="F963" s="34"/>
      <c r="G963" s="34"/>
      <c r="H963" s="34"/>
      <c r="I963" s="34"/>
      <c r="J963" s="16"/>
    </row>
    <row r="964" spans="2:10" x14ac:dyDescent="0.3">
      <c r="D964" s="32"/>
      <c r="E964" s="18"/>
    </row>
    <row r="966" spans="2:10" x14ac:dyDescent="0.3">
      <c r="I966" s="30"/>
    </row>
    <row r="967" spans="2:10" x14ac:dyDescent="0.3">
      <c r="C967" s="16"/>
      <c r="D967" s="36"/>
      <c r="E967" s="18"/>
      <c r="F967" s="30"/>
      <c r="G967" s="30"/>
      <c r="H967" s="30"/>
    </row>
    <row r="968" spans="2:10" x14ac:dyDescent="0.3">
      <c r="C968" s="16"/>
      <c r="D968" s="36"/>
      <c r="E968" s="18"/>
      <c r="F968" s="30"/>
      <c r="G968" s="30"/>
      <c r="H968" s="30"/>
    </row>
    <row r="979" spans="1:185" x14ac:dyDescent="0.3">
      <c r="A979" s="12"/>
      <c r="B979" s="3"/>
      <c r="C979" s="86"/>
      <c r="D979" s="12"/>
      <c r="E979" s="12"/>
      <c r="F979" s="12"/>
      <c r="G979" s="86"/>
      <c r="H979" s="12"/>
      <c r="I979" s="12"/>
      <c r="J979" s="12"/>
      <c r="K979" s="12"/>
    </row>
    <row r="980" spans="1:185" x14ac:dyDescent="0.3">
      <c r="A980" s="12"/>
      <c r="B980" s="87"/>
      <c r="C980" s="86"/>
      <c r="D980" s="88"/>
      <c r="E980" s="88"/>
      <c r="F980" s="89" t="s">
        <v>161</v>
      </c>
      <c r="G980" s="86"/>
      <c r="H980" s="88"/>
      <c r="I980" s="88"/>
      <c r="J980" s="88"/>
      <c r="K980" s="12"/>
    </row>
    <row r="981" spans="1:185" x14ac:dyDescent="0.3">
      <c r="A981" s="12"/>
      <c r="B981" s="88"/>
      <c r="C981" s="88"/>
      <c r="D981" s="88"/>
      <c r="E981" s="88"/>
      <c r="F981" s="104" t="s">
        <v>162</v>
      </c>
      <c r="G981" s="88"/>
      <c r="H981" s="88"/>
      <c r="I981" s="88"/>
      <c r="J981" s="88"/>
      <c r="K981" s="12"/>
    </row>
    <row r="982" spans="1:185" x14ac:dyDescent="0.3">
      <c r="A982" s="67"/>
      <c r="B982" s="58"/>
      <c r="C982" s="58"/>
      <c r="D982" s="58"/>
      <c r="E982" s="60" t="s">
        <v>5</v>
      </c>
      <c r="F982" s="61" t="str">
        <f>$C$1</f>
        <v>R. Abbott</v>
      </c>
      <c r="G982" s="58"/>
      <c r="H982" s="68"/>
      <c r="I982" s="60" t="s">
        <v>10</v>
      </c>
      <c r="J982" s="69" t="str">
        <f>$G$2</f>
        <v>AA-SM-001-000</v>
      </c>
      <c r="K982" s="70"/>
      <c r="L982" s="71"/>
      <c r="M982" s="62"/>
      <c r="N982" s="62"/>
      <c r="O982" s="62"/>
      <c r="P982" s="5"/>
      <c r="AD982" s="8"/>
    </row>
    <row r="983" spans="1:185" s="10" customFormat="1" x14ac:dyDescent="0.3">
      <c r="A983" s="58"/>
      <c r="B983" s="58"/>
      <c r="C983" s="58"/>
      <c r="D983" s="58"/>
      <c r="E983" s="60" t="s">
        <v>6</v>
      </c>
      <c r="F983" s="68" t="str">
        <f>$C$2</f>
        <v xml:space="preserve"> </v>
      </c>
      <c r="G983" s="58"/>
      <c r="H983" s="68"/>
      <c r="I983" s="60" t="s">
        <v>11</v>
      </c>
      <c r="J983" s="70" t="str">
        <f>$G$3</f>
        <v>A</v>
      </c>
      <c r="K983" s="70"/>
      <c r="L983" s="71"/>
      <c r="M983" s="62">
        <v>1</v>
      </c>
      <c r="N983" s="62"/>
      <c r="O983" s="62"/>
      <c r="P983" s="5"/>
      <c r="Q983" s="9"/>
      <c r="R983" s="7"/>
      <c r="S983" s="7"/>
      <c r="T983" s="2"/>
      <c r="U983" s="2"/>
      <c r="V983" s="2"/>
      <c r="W983" s="2"/>
      <c r="X983" s="2"/>
      <c r="Y983" s="2"/>
      <c r="Z983" s="2"/>
      <c r="AA983" s="2"/>
      <c r="AB983" s="2"/>
      <c r="AC983" s="2"/>
      <c r="AD983" s="2"/>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c r="CW983" s="3"/>
      <c r="CX983" s="3"/>
      <c r="CY983" s="3"/>
      <c r="CZ983" s="3"/>
      <c r="DA983" s="3"/>
      <c r="DB983" s="3"/>
      <c r="DC983" s="3"/>
      <c r="DD983" s="3"/>
      <c r="DE983" s="3"/>
      <c r="DF983" s="3"/>
      <c r="DG983" s="3"/>
      <c r="DH983" s="3"/>
      <c r="DI983" s="3"/>
      <c r="DJ983" s="3"/>
      <c r="DK983" s="3"/>
      <c r="DL983" s="3"/>
      <c r="DM983" s="3"/>
      <c r="DN983" s="3"/>
      <c r="DO983" s="3"/>
      <c r="DP983" s="3"/>
      <c r="DQ983" s="3"/>
      <c r="DR983" s="3"/>
      <c r="DS983" s="3"/>
      <c r="DT983" s="3"/>
      <c r="DU983" s="3"/>
      <c r="DV983" s="3"/>
      <c r="DW983" s="3"/>
      <c r="DX983" s="3"/>
      <c r="DY983" s="3"/>
      <c r="DZ983" s="3"/>
      <c r="EA983" s="3"/>
      <c r="EB983" s="3"/>
      <c r="EC983" s="3"/>
      <c r="ED983" s="3"/>
      <c r="EE983" s="3"/>
      <c r="EF983" s="3"/>
      <c r="EG983" s="3"/>
      <c r="EH983" s="3"/>
      <c r="EI983" s="3"/>
      <c r="EJ983" s="3"/>
      <c r="EK983" s="3"/>
      <c r="EL983" s="3"/>
      <c r="EM983" s="3"/>
      <c r="EN983" s="3"/>
      <c r="EO983" s="3"/>
      <c r="EP983" s="3"/>
      <c r="EQ983" s="3"/>
      <c r="ER983" s="3"/>
      <c r="ES983" s="3"/>
      <c r="ET983" s="3"/>
      <c r="EU983" s="3"/>
      <c r="EV983" s="3"/>
      <c r="EW983" s="3"/>
      <c r="EX983" s="3"/>
      <c r="EY983" s="3"/>
      <c r="EZ983" s="3"/>
      <c r="FA983" s="3"/>
      <c r="FB983" s="3"/>
      <c r="FC983" s="3"/>
      <c r="FD983" s="3"/>
      <c r="FE983" s="3"/>
      <c r="FF983" s="3"/>
      <c r="FG983" s="3"/>
      <c r="FH983" s="3"/>
      <c r="FI983" s="3"/>
      <c r="FJ983" s="3"/>
      <c r="FK983" s="3"/>
      <c r="FL983" s="3"/>
      <c r="FM983" s="3"/>
      <c r="FN983" s="3"/>
      <c r="FO983" s="3"/>
    </row>
    <row r="984" spans="1:185" x14ac:dyDescent="0.3">
      <c r="A984" s="58"/>
      <c r="B984" s="58"/>
      <c r="C984" s="58"/>
      <c r="D984" s="58"/>
      <c r="E984" s="60" t="s">
        <v>1</v>
      </c>
      <c r="F984" s="68" t="str">
        <f>$C$3</f>
        <v>20/10/2013</v>
      </c>
      <c r="G984" s="58"/>
      <c r="H984" s="68"/>
      <c r="I984" s="60" t="s">
        <v>12</v>
      </c>
      <c r="J984" s="61" t="str">
        <f>L984&amp;" of "&amp;$G$1</f>
        <v>19 of 20</v>
      </c>
      <c r="K984" s="68"/>
      <c r="L984" s="71">
        <f>SUM($M$1:M983)</f>
        <v>19</v>
      </c>
      <c r="M984" s="62"/>
      <c r="N984" s="62"/>
      <c r="O984" s="62"/>
      <c r="P984" s="5"/>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c r="FE984" s="2"/>
      <c r="FF984" s="2"/>
      <c r="FG984" s="2"/>
      <c r="FH984" s="2"/>
      <c r="FI984" s="2"/>
      <c r="FJ984" s="2"/>
      <c r="FK984" s="2"/>
      <c r="FL984" s="2"/>
      <c r="FM984" s="2"/>
      <c r="FN984" s="2"/>
      <c r="FO984" s="2"/>
      <c r="FP984" s="2"/>
      <c r="FQ984" s="2"/>
      <c r="FR984" s="2"/>
      <c r="FS984" s="2"/>
      <c r="FT984" s="2"/>
      <c r="FU984" s="2"/>
      <c r="FV984" s="2"/>
      <c r="FW984" s="2"/>
      <c r="FX984" s="2"/>
      <c r="FY984" s="2"/>
      <c r="FZ984" s="2"/>
      <c r="GA984" s="2"/>
      <c r="GB984" s="2"/>
      <c r="GC984" s="2"/>
    </row>
    <row r="985" spans="1:185" x14ac:dyDescent="0.3">
      <c r="A985" s="58"/>
      <c r="B985" s="58"/>
      <c r="C985" s="58"/>
      <c r="D985" s="58"/>
      <c r="E985" s="60" t="s">
        <v>106</v>
      </c>
      <c r="F985" s="68" t="str">
        <f>$C$5</f>
        <v>STANDARD SPREADSHEET METHOD</v>
      </c>
      <c r="G985" s="58"/>
      <c r="H985" s="58"/>
      <c r="I985" s="72"/>
      <c r="J985" s="61"/>
      <c r="K985" s="58"/>
      <c r="L985" s="58"/>
      <c r="M985" s="62"/>
      <c r="N985" s="62"/>
      <c r="O985" s="62"/>
      <c r="P985" s="5"/>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c r="FE985" s="2"/>
      <c r="FF985" s="2"/>
      <c r="FG985" s="2"/>
      <c r="FH985" s="2"/>
      <c r="FI985" s="2"/>
      <c r="FJ985" s="2"/>
      <c r="FK985" s="2"/>
      <c r="FL985" s="2"/>
      <c r="FM985" s="2"/>
      <c r="FN985" s="2"/>
      <c r="FO985" s="2"/>
      <c r="FP985" s="2"/>
      <c r="FQ985" s="2"/>
      <c r="FR985" s="2"/>
      <c r="FS985" s="2"/>
      <c r="FT985" s="2"/>
      <c r="FU985" s="2"/>
      <c r="FV985" s="2"/>
      <c r="FW985" s="2"/>
      <c r="FX985" s="2"/>
      <c r="FY985" s="2"/>
      <c r="FZ985" s="2"/>
      <c r="GA985" s="2"/>
      <c r="GB985" s="2"/>
      <c r="GC985" s="2"/>
    </row>
    <row r="986" spans="1:185" ht="15.6" x14ac:dyDescent="0.3">
      <c r="A986" s="12"/>
      <c r="B986" s="74" t="str">
        <f>$G$4</f>
        <v>SECTION PROPERTIES</v>
      </c>
      <c r="C986" s="12"/>
      <c r="D986" s="12"/>
      <c r="E986" s="12"/>
      <c r="F986" s="12"/>
      <c r="G986" s="12"/>
      <c r="H986" s="12"/>
      <c r="I986" s="12"/>
      <c r="J986" s="12"/>
      <c r="K986" s="1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c r="FE986" s="2"/>
      <c r="FF986" s="2"/>
      <c r="FG986" s="2"/>
      <c r="FH986" s="2"/>
      <c r="FI986" s="2"/>
      <c r="FJ986" s="2"/>
      <c r="FK986" s="2"/>
      <c r="FL986" s="2"/>
      <c r="FM986" s="2"/>
      <c r="FN986" s="2"/>
      <c r="FO986" s="2"/>
      <c r="FP986" s="2"/>
      <c r="FQ986" s="2"/>
      <c r="FR986" s="2"/>
      <c r="FS986" s="2"/>
      <c r="FT986" s="2"/>
      <c r="FU986" s="2"/>
      <c r="FV986" s="2"/>
      <c r="FW986" s="2"/>
      <c r="FX986" s="2"/>
      <c r="FY986" s="2"/>
      <c r="FZ986" s="2"/>
      <c r="GA986" s="2"/>
      <c r="GB986" s="2"/>
      <c r="GC986" s="2"/>
    </row>
    <row r="987" spans="1:185" x14ac:dyDescent="0.3">
      <c r="A987" s="54"/>
      <c r="B987" s="85"/>
      <c r="C987" s="54"/>
      <c r="D987" s="54"/>
      <c r="E987" s="54"/>
    </row>
    <row r="988" spans="1:185" x14ac:dyDescent="0.3">
      <c r="A988" s="11"/>
      <c r="B988" s="11"/>
      <c r="C988" s="11"/>
      <c r="D988" s="15"/>
      <c r="E988" s="11"/>
      <c r="F988" s="11"/>
      <c r="G988" s="11"/>
      <c r="H988" s="11"/>
      <c r="I988" s="11"/>
      <c r="J988" s="11"/>
      <c r="K988" s="11"/>
    </row>
    <row r="989" spans="1:185" x14ac:dyDescent="0.3">
      <c r="A989" s="38"/>
      <c r="B989" s="39" t="s">
        <v>65</v>
      </c>
    </row>
    <row r="990" spans="1:185" x14ac:dyDescent="0.3">
      <c r="A990" s="18"/>
      <c r="B990" s="18"/>
      <c r="C990" s="18"/>
      <c r="D990" s="18"/>
      <c r="E990" s="18"/>
      <c r="F990" s="18"/>
      <c r="G990" s="18"/>
      <c r="H990" s="18"/>
      <c r="I990" s="18"/>
      <c r="J990" s="18"/>
      <c r="K990" s="18"/>
    </row>
    <row r="991" spans="1:185" x14ac:dyDescent="0.3">
      <c r="A991" s="18"/>
      <c r="B991" s="16" t="s">
        <v>33</v>
      </c>
      <c r="C991" s="20">
        <v>30</v>
      </c>
      <c r="D991" s="18" t="s">
        <v>4</v>
      </c>
      <c r="E991" s="16" t="s">
        <v>34</v>
      </c>
      <c r="F991" s="20">
        <v>15</v>
      </c>
      <c r="G991" s="18" t="s">
        <v>4</v>
      </c>
      <c r="H991" s="49"/>
    </row>
    <row r="992" spans="1:185" x14ac:dyDescent="0.3">
      <c r="A992" s="18"/>
      <c r="B992" s="40" t="s">
        <v>63</v>
      </c>
      <c r="C992" s="41">
        <v>20</v>
      </c>
      <c r="D992" s="18" t="s">
        <v>4</v>
      </c>
      <c r="E992" s="49" t="str">
        <f>IF(C992&gt;C991,"ERROR","")</f>
        <v/>
      </c>
      <c r="F992" s="41"/>
      <c r="G992" s="18"/>
      <c r="H992" s="49"/>
    </row>
    <row r="993" spans="1:11" x14ac:dyDescent="0.3">
      <c r="A993" s="18"/>
      <c r="B993" s="40" t="s">
        <v>28</v>
      </c>
      <c r="C993" s="41">
        <v>10</v>
      </c>
      <c r="D993" s="4" t="s">
        <v>45</v>
      </c>
      <c r="J993" s="21"/>
      <c r="K993" s="18"/>
    </row>
    <row r="994" spans="1:11" x14ac:dyDescent="0.3">
      <c r="A994" s="18"/>
      <c r="B994" s="18"/>
    </row>
    <row r="995" spans="1:11" x14ac:dyDescent="0.3">
      <c r="A995" s="18"/>
      <c r="B995" s="39" t="s">
        <v>29</v>
      </c>
      <c r="G995" s="42" t="s">
        <v>50</v>
      </c>
    </row>
    <row r="996" spans="1:11" x14ac:dyDescent="0.3">
      <c r="A996" s="11"/>
    </row>
    <row r="997" spans="1:11" x14ac:dyDescent="0.3">
      <c r="B997" s="16" t="s">
        <v>32</v>
      </c>
      <c r="C997" s="4" t="str">
        <f ca="1">[1]!xlv(C999)</f>
        <v>0.5 × B × H</v>
      </c>
      <c r="G997" s="16" t="s">
        <v>74</v>
      </c>
      <c r="H997" s="4" t="str">
        <f ca="1">[1]!xlv(H999)</f>
        <v>(Iₓ / A)⁰·⁵</v>
      </c>
    </row>
    <row r="998" spans="1:11" x14ac:dyDescent="0.3">
      <c r="B998" s="16" t="s">
        <v>32</v>
      </c>
      <c r="C998" s="4" t="str">
        <f>[1]!xln(C999)</f>
        <v>0.5 × 30 × 15</v>
      </c>
      <c r="D998" s="11"/>
      <c r="G998" s="16" t="s">
        <v>74</v>
      </c>
      <c r="H998" s="4" t="str">
        <f>[1]!xln(H999)</f>
        <v>(2812 / 225)⁰·⁵</v>
      </c>
    </row>
    <row r="999" spans="1:11" x14ac:dyDescent="0.3">
      <c r="B999" s="16" t="s">
        <v>32</v>
      </c>
      <c r="C999" s="17">
        <f>0.5*C991*F991</f>
        <v>225</v>
      </c>
      <c r="D999" s="18" t="s">
        <v>68</v>
      </c>
      <c r="G999" s="16" t="s">
        <v>74</v>
      </c>
      <c r="H999" s="43">
        <f>(C1009/C999)^0.5</f>
        <v>3.5355339059327378</v>
      </c>
      <c r="I999" s="18" t="s">
        <v>4</v>
      </c>
    </row>
    <row r="1001" spans="1:11" x14ac:dyDescent="0.3">
      <c r="B1001" s="40" t="s">
        <v>25</v>
      </c>
      <c r="C1001" s="25">
        <f>(C991+C992)/3</f>
        <v>16.666666666666668</v>
      </c>
      <c r="D1001" s="4" t="s">
        <v>4</v>
      </c>
      <c r="G1001" s="16" t="s">
        <v>75</v>
      </c>
      <c r="H1001" s="4" t="str">
        <f ca="1">[1]!xlv(H1003)</f>
        <v>(Iᵧ / A)⁰·⁵</v>
      </c>
    </row>
    <row r="1002" spans="1:11" x14ac:dyDescent="0.3">
      <c r="G1002" s="16" t="s">
        <v>75</v>
      </c>
      <c r="H1002" s="4" t="str">
        <f>[1]!xln(H1003)</f>
        <v>(8750 / 225)⁰·⁵</v>
      </c>
    </row>
    <row r="1003" spans="1:11" x14ac:dyDescent="0.3">
      <c r="B1003" s="40" t="s">
        <v>27</v>
      </c>
      <c r="C1003" s="25">
        <f>F991/3</f>
        <v>5</v>
      </c>
      <c r="D1003" s="4" t="s">
        <v>4</v>
      </c>
      <c r="G1003" s="16" t="s">
        <v>75</v>
      </c>
      <c r="H1003" s="25">
        <f>(C1013/C999)^0.5</f>
        <v>6.2360956446232354</v>
      </c>
      <c r="I1003" s="18" t="s">
        <v>4</v>
      </c>
    </row>
    <row r="1005" spans="1:11" x14ac:dyDescent="0.3">
      <c r="B1005" s="39" t="s">
        <v>30</v>
      </c>
      <c r="G1005" s="39" t="s">
        <v>31</v>
      </c>
      <c r="H1005" s="16"/>
      <c r="I1005" s="18"/>
    </row>
    <row r="1006" spans="1:11" x14ac:dyDescent="0.3">
      <c r="H1006" s="16"/>
      <c r="I1006" s="18"/>
    </row>
    <row r="1007" spans="1:11" x14ac:dyDescent="0.3">
      <c r="B1007" s="16" t="s">
        <v>72</v>
      </c>
      <c r="C1007" s="4" t="str">
        <f ca="1">[1]!xlv(C1009)</f>
        <v>B × H³ / 36</v>
      </c>
      <c r="G1007" s="16" t="s">
        <v>72</v>
      </c>
      <c r="H1007" s="4" t="str">
        <f ca="1">[1]!xlv(H1009)</f>
        <v>W / A × Iₓ</v>
      </c>
    </row>
    <row r="1008" spans="1:11" x14ac:dyDescent="0.3">
      <c r="B1008" s="16" t="s">
        <v>72</v>
      </c>
      <c r="C1008" s="4" t="str">
        <f>[1]!xln(C1009)</f>
        <v>30 × 15³ / 36</v>
      </c>
      <c r="G1008" s="16" t="s">
        <v>72</v>
      </c>
      <c r="H1008" s="4" t="str">
        <f>[1]!xln(H1009)</f>
        <v>10 / 225 × 2812</v>
      </c>
      <c r="I1008" s="11"/>
    </row>
    <row r="1009" spans="1:11" x14ac:dyDescent="0.3">
      <c r="B1009" s="16" t="s">
        <v>72</v>
      </c>
      <c r="C1009" s="17">
        <f>C991*F991^3/36</f>
        <v>2812.5</v>
      </c>
      <c r="D1009" s="18" t="s">
        <v>69</v>
      </c>
      <c r="G1009" s="16" t="s">
        <v>72</v>
      </c>
      <c r="H1009" s="46">
        <f>C993/C999*C1009</f>
        <v>125</v>
      </c>
      <c r="I1009" s="4" t="s">
        <v>46</v>
      </c>
    </row>
    <row r="1010" spans="1:11" x14ac:dyDescent="0.3">
      <c r="A1010" s="11"/>
    </row>
    <row r="1011" spans="1:11" x14ac:dyDescent="0.3">
      <c r="A1011" s="11"/>
      <c r="B1011" s="40" t="s">
        <v>73</v>
      </c>
      <c r="C1011" s="4" t="str">
        <f ca="1">[1]!xlv(C1013)</f>
        <v>B × H / 36 × (B² + C² - B × C)</v>
      </c>
      <c r="G1011" s="40" t="s">
        <v>73</v>
      </c>
      <c r="H1011" s="4" t="str">
        <f ca="1">[1]!xlv(H1013)</f>
        <v>W / A × Iᵧ</v>
      </c>
    </row>
    <row r="1012" spans="1:11" x14ac:dyDescent="0.3">
      <c r="A1012" s="11"/>
      <c r="B1012" s="40" t="s">
        <v>73</v>
      </c>
      <c r="C1012" s="4" t="str">
        <f>[1]!xln(C1013)</f>
        <v>30 × 15 / 36 × (30² + 20² - 30 × 20)</v>
      </c>
      <c r="G1012" s="40" t="s">
        <v>73</v>
      </c>
      <c r="H1012" s="4" t="str">
        <f>[1]!xln(H1013)</f>
        <v>10 / 225 × 8750</v>
      </c>
    </row>
    <row r="1013" spans="1:11" x14ac:dyDescent="0.3">
      <c r="B1013" s="40" t="s">
        <v>73</v>
      </c>
      <c r="C1013" s="46">
        <f>C991*F991/36*(C991^2+C992^2-C991*C992)</f>
        <v>8750</v>
      </c>
      <c r="D1013" s="18" t="s">
        <v>69</v>
      </c>
      <c r="G1013" s="40" t="s">
        <v>73</v>
      </c>
      <c r="H1013" s="46">
        <f>C993/C999*C1013</f>
        <v>388.88888888888891</v>
      </c>
      <c r="I1013" s="4" t="s">
        <v>46</v>
      </c>
    </row>
    <row r="1015" spans="1:11" x14ac:dyDescent="0.3">
      <c r="B1015" s="16" t="s">
        <v>87</v>
      </c>
      <c r="C1015" s="4" t="str">
        <f ca="1">[1]!xlv(C1017)</f>
        <v>Iᵧ + Iₓ</v>
      </c>
      <c r="G1015" s="16" t="s">
        <v>87</v>
      </c>
      <c r="H1015" s="4" t="str">
        <f ca="1">[1]!xlv(H1017)</f>
        <v>Iᵧ + Iₓ</v>
      </c>
    </row>
    <row r="1016" spans="1:11" x14ac:dyDescent="0.3">
      <c r="B1016" s="16" t="s">
        <v>87</v>
      </c>
      <c r="C1016" s="4" t="str">
        <f>[1]!xln(C1017)</f>
        <v>8750 + 2812</v>
      </c>
      <c r="G1016" s="16" t="s">
        <v>87</v>
      </c>
      <c r="H1016" s="4" t="str">
        <f>[1]!xln(H1017)</f>
        <v>389 + 125</v>
      </c>
    </row>
    <row r="1017" spans="1:11" x14ac:dyDescent="0.3">
      <c r="B1017" s="16" t="s">
        <v>87</v>
      </c>
      <c r="C1017" s="17">
        <f>C1013+C1009</f>
        <v>11562.5</v>
      </c>
      <c r="D1017" s="18" t="s">
        <v>69</v>
      </c>
      <c r="G1017" s="16" t="s">
        <v>87</v>
      </c>
      <c r="H1017" s="46">
        <f>H1013+H1009</f>
        <v>513.88888888888891</v>
      </c>
      <c r="I1017" s="4" t="s">
        <v>46</v>
      </c>
    </row>
    <row r="1018" spans="1:11" x14ac:dyDescent="0.3">
      <c r="B1018" s="11"/>
      <c r="C1018" s="16"/>
      <c r="F1018" s="21"/>
      <c r="G1018" s="21"/>
      <c r="H1018" s="21"/>
      <c r="I1018" s="21"/>
      <c r="J1018" s="11"/>
      <c r="K1018" s="11"/>
    </row>
    <row r="1019" spans="1:11" x14ac:dyDescent="0.3">
      <c r="B1019" s="11"/>
      <c r="K1019" s="11"/>
    </row>
    <row r="1020" spans="1:11" x14ac:dyDescent="0.3">
      <c r="D1020" s="32"/>
      <c r="E1020" s="18"/>
    </row>
    <row r="1021" spans="1:11" x14ac:dyDescent="0.3">
      <c r="I1021" s="30"/>
    </row>
    <row r="1022" spans="1:11" x14ac:dyDescent="0.3">
      <c r="C1022" s="16"/>
      <c r="D1022" s="36"/>
      <c r="E1022" s="18"/>
      <c r="F1022" s="30"/>
      <c r="G1022" s="30"/>
      <c r="H1022" s="30"/>
    </row>
    <row r="1023" spans="1:11" x14ac:dyDescent="0.3">
      <c r="C1023" s="16"/>
      <c r="D1023" s="36"/>
      <c r="E1023" s="18"/>
      <c r="F1023" s="30"/>
      <c r="G1023" s="30"/>
      <c r="H1023" s="30"/>
    </row>
    <row r="1035" spans="1:185" x14ac:dyDescent="0.3">
      <c r="A1035" s="12"/>
      <c r="B1035" s="3"/>
      <c r="C1035" s="86"/>
      <c r="D1035" s="12"/>
      <c r="E1035" s="12"/>
      <c r="F1035" s="12"/>
      <c r="G1035" s="86"/>
      <c r="H1035" s="12"/>
      <c r="I1035" s="12"/>
      <c r="J1035" s="12"/>
      <c r="K1035" s="12"/>
    </row>
    <row r="1036" spans="1:185" x14ac:dyDescent="0.3">
      <c r="A1036" s="12"/>
      <c r="B1036" s="87"/>
      <c r="C1036" s="86"/>
      <c r="D1036" s="88"/>
      <c r="E1036" s="88"/>
      <c r="F1036" s="89" t="s">
        <v>161</v>
      </c>
      <c r="G1036" s="86"/>
      <c r="H1036" s="88"/>
      <c r="I1036" s="88"/>
      <c r="J1036" s="88"/>
      <c r="K1036" s="12"/>
    </row>
    <row r="1037" spans="1:185" x14ac:dyDescent="0.3">
      <c r="A1037" s="12"/>
      <c r="B1037" s="88"/>
      <c r="C1037" s="88"/>
      <c r="D1037" s="88"/>
      <c r="E1037" s="88"/>
      <c r="F1037" s="104" t="s">
        <v>162</v>
      </c>
      <c r="G1037" s="88"/>
      <c r="H1037" s="88"/>
      <c r="I1037" s="88"/>
      <c r="J1037" s="88"/>
      <c r="K1037" s="12"/>
    </row>
    <row r="1038" spans="1:185" x14ac:dyDescent="0.3">
      <c r="A1038" s="67"/>
      <c r="B1038" s="58"/>
      <c r="C1038" s="58"/>
      <c r="D1038" s="58"/>
      <c r="E1038" s="60" t="s">
        <v>5</v>
      </c>
      <c r="F1038" s="61" t="str">
        <f>$C$1</f>
        <v>R. Abbott</v>
      </c>
      <c r="G1038" s="58"/>
      <c r="H1038" s="68"/>
      <c r="I1038" s="60" t="s">
        <v>10</v>
      </c>
      <c r="J1038" s="69" t="str">
        <f>$G$2</f>
        <v>AA-SM-001-000</v>
      </c>
      <c r="K1038" s="70"/>
      <c r="L1038" s="71"/>
      <c r="M1038" s="62"/>
      <c r="N1038" s="62"/>
      <c r="O1038" s="62"/>
      <c r="P1038" s="5"/>
      <c r="AD1038" s="8"/>
    </row>
    <row r="1039" spans="1:185" s="10" customFormat="1" x14ac:dyDescent="0.3">
      <c r="A1039" s="58"/>
      <c r="B1039" s="58"/>
      <c r="C1039" s="58"/>
      <c r="D1039" s="58"/>
      <c r="E1039" s="60" t="s">
        <v>6</v>
      </c>
      <c r="F1039" s="68" t="str">
        <f>$C$2</f>
        <v xml:space="preserve"> </v>
      </c>
      <c r="G1039" s="58"/>
      <c r="H1039" s="68"/>
      <c r="I1039" s="60" t="s">
        <v>11</v>
      </c>
      <c r="J1039" s="70" t="str">
        <f>$G$3</f>
        <v>A</v>
      </c>
      <c r="K1039" s="70"/>
      <c r="L1039" s="71"/>
      <c r="M1039" s="62">
        <v>1</v>
      </c>
      <c r="N1039" s="62"/>
      <c r="O1039" s="62"/>
      <c r="P1039" s="5"/>
      <c r="Q1039" s="9"/>
      <c r="R1039" s="7"/>
      <c r="S1039" s="7"/>
      <c r="T1039" s="2"/>
      <c r="U1039" s="2"/>
      <c r="V1039" s="2"/>
      <c r="W1039" s="2"/>
      <c r="X1039" s="2"/>
      <c r="Y1039" s="2"/>
      <c r="Z1039" s="2"/>
      <c r="AA1039" s="2"/>
      <c r="AB1039" s="2"/>
      <c r="AC1039" s="2"/>
      <c r="AD1039" s="2"/>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c r="BA1039" s="3"/>
      <c r="BB1039" s="3"/>
      <c r="BC1039" s="3"/>
      <c r="BD1039" s="3"/>
      <c r="BE1039" s="3"/>
      <c r="BF1039" s="3"/>
      <c r="BG1039" s="3"/>
      <c r="BH1039" s="3"/>
      <c r="BI1039" s="3"/>
      <c r="BJ1039" s="3"/>
      <c r="BK1039" s="3"/>
      <c r="BL1039" s="3"/>
      <c r="BM1039" s="3"/>
      <c r="BN1039" s="3"/>
      <c r="BO1039" s="3"/>
      <c r="BP1039" s="3"/>
      <c r="BQ1039" s="3"/>
      <c r="BR1039" s="3"/>
      <c r="BS1039" s="3"/>
      <c r="BT1039" s="3"/>
      <c r="BU1039" s="3"/>
      <c r="BV1039" s="3"/>
      <c r="BW1039" s="3"/>
      <c r="BX1039" s="3"/>
      <c r="BY1039" s="3"/>
      <c r="BZ1039" s="3"/>
      <c r="CA1039" s="3"/>
      <c r="CB1039" s="3"/>
      <c r="CC1039" s="3"/>
      <c r="CD1039" s="3"/>
      <c r="CE1039" s="3"/>
      <c r="CF1039" s="3"/>
      <c r="CG1039" s="3"/>
      <c r="CH1039" s="3"/>
      <c r="CI1039" s="3"/>
      <c r="CJ1039" s="3"/>
      <c r="CK1039" s="3"/>
      <c r="CL1039" s="3"/>
      <c r="CM1039" s="3"/>
      <c r="CN1039" s="3"/>
      <c r="CO1039" s="3"/>
      <c r="CP1039" s="3"/>
      <c r="CQ1039" s="3"/>
      <c r="CR1039" s="3"/>
      <c r="CS1039" s="3"/>
      <c r="CT1039" s="3"/>
      <c r="CU1039" s="3"/>
      <c r="CV1039" s="3"/>
      <c r="CW1039" s="3"/>
      <c r="CX1039" s="3"/>
      <c r="CY1039" s="3"/>
      <c r="CZ1039" s="3"/>
      <c r="DA1039" s="3"/>
      <c r="DB1039" s="3"/>
      <c r="DC1039" s="3"/>
      <c r="DD1039" s="3"/>
      <c r="DE1039" s="3"/>
      <c r="DF1039" s="3"/>
      <c r="DG1039" s="3"/>
      <c r="DH1039" s="3"/>
      <c r="DI1039" s="3"/>
      <c r="DJ1039" s="3"/>
      <c r="DK1039" s="3"/>
      <c r="DL1039" s="3"/>
      <c r="DM1039" s="3"/>
      <c r="DN1039" s="3"/>
      <c r="DO1039" s="3"/>
      <c r="DP1039" s="3"/>
      <c r="DQ1039" s="3"/>
      <c r="DR1039" s="3"/>
      <c r="DS1039" s="3"/>
      <c r="DT1039" s="3"/>
      <c r="DU1039" s="3"/>
      <c r="DV1039" s="3"/>
      <c r="DW1039" s="3"/>
      <c r="DX1039" s="3"/>
      <c r="DY1039" s="3"/>
      <c r="DZ1039" s="3"/>
      <c r="EA1039" s="3"/>
      <c r="EB1039" s="3"/>
      <c r="EC1039" s="3"/>
      <c r="ED1039" s="3"/>
      <c r="EE1039" s="3"/>
      <c r="EF1039" s="3"/>
      <c r="EG1039" s="3"/>
      <c r="EH1039" s="3"/>
      <c r="EI1039" s="3"/>
      <c r="EJ1039" s="3"/>
      <c r="EK1039" s="3"/>
      <c r="EL1039" s="3"/>
      <c r="EM1039" s="3"/>
      <c r="EN1039" s="3"/>
      <c r="EO1039" s="3"/>
      <c r="EP1039" s="3"/>
      <c r="EQ1039" s="3"/>
      <c r="ER1039" s="3"/>
      <c r="ES1039" s="3"/>
      <c r="ET1039" s="3"/>
      <c r="EU1039" s="3"/>
      <c r="EV1039" s="3"/>
      <c r="EW1039" s="3"/>
      <c r="EX1039" s="3"/>
      <c r="EY1039" s="3"/>
      <c r="EZ1039" s="3"/>
      <c r="FA1039" s="3"/>
      <c r="FB1039" s="3"/>
      <c r="FC1039" s="3"/>
      <c r="FD1039" s="3"/>
      <c r="FE1039" s="3"/>
      <c r="FF1039" s="3"/>
      <c r="FG1039" s="3"/>
      <c r="FH1039" s="3"/>
      <c r="FI1039" s="3"/>
      <c r="FJ1039" s="3"/>
      <c r="FK1039" s="3"/>
      <c r="FL1039" s="3"/>
      <c r="FM1039" s="3"/>
      <c r="FN1039" s="3"/>
      <c r="FO1039" s="3"/>
    </row>
    <row r="1040" spans="1:185" x14ac:dyDescent="0.3">
      <c r="A1040" s="58"/>
      <c r="B1040" s="58"/>
      <c r="C1040" s="58"/>
      <c r="D1040" s="58"/>
      <c r="E1040" s="60" t="s">
        <v>1</v>
      </c>
      <c r="F1040" s="68" t="str">
        <f>$C$3</f>
        <v>20/10/2013</v>
      </c>
      <c r="G1040" s="58"/>
      <c r="H1040" s="68"/>
      <c r="I1040" s="60" t="s">
        <v>12</v>
      </c>
      <c r="J1040" s="61" t="str">
        <f>L1040&amp;" of "&amp;$G$1</f>
        <v>20 of 20</v>
      </c>
      <c r="K1040" s="68"/>
      <c r="L1040" s="71">
        <f>SUM($M$1:M1039)</f>
        <v>20</v>
      </c>
      <c r="M1040" s="62"/>
      <c r="N1040" s="62"/>
      <c r="O1040" s="62"/>
      <c r="P1040" s="5"/>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c r="FE1040" s="2"/>
      <c r="FF1040" s="2"/>
      <c r="FG1040" s="2"/>
      <c r="FH1040" s="2"/>
      <c r="FI1040" s="2"/>
      <c r="FJ1040" s="2"/>
      <c r="FK1040" s="2"/>
      <c r="FL1040" s="2"/>
      <c r="FM1040" s="2"/>
      <c r="FN1040" s="2"/>
      <c r="FO1040" s="2"/>
      <c r="FP1040" s="2"/>
      <c r="FQ1040" s="2"/>
      <c r="FR1040" s="2"/>
      <c r="FS1040" s="2"/>
      <c r="FT1040" s="2"/>
      <c r="FU1040" s="2"/>
      <c r="FV1040" s="2"/>
      <c r="FW1040" s="2"/>
      <c r="FX1040" s="2"/>
      <c r="FY1040" s="2"/>
      <c r="FZ1040" s="2"/>
      <c r="GA1040" s="2"/>
      <c r="GB1040" s="2"/>
      <c r="GC1040" s="2"/>
    </row>
    <row r="1041" spans="1:185" x14ac:dyDescent="0.3">
      <c r="A1041" s="58"/>
      <c r="B1041" s="58"/>
      <c r="C1041" s="58"/>
      <c r="D1041" s="58"/>
      <c r="E1041" s="60" t="s">
        <v>106</v>
      </c>
      <c r="F1041" s="68" t="str">
        <f>$C$5</f>
        <v>STANDARD SPREADSHEET METHOD</v>
      </c>
      <c r="G1041" s="58"/>
      <c r="H1041" s="58"/>
      <c r="I1041" s="72"/>
      <c r="J1041" s="61"/>
      <c r="K1041" s="58"/>
      <c r="L1041" s="58"/>
      <c r="M1041" s="62"/>
      <c r="N1041" s="62"/>
      <c r="O1041" s="62"/>
      <c r="P1041" s="5"/>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c r="FE1041" s="2"/>
      <c r="FF1041" s="2"/>
      <c r="FG1041" s="2"/>
      <c r="FH1041" s="2"/>
      <c r="FI1041" s="2"/>
      <c r="FJ1041" s="2"/>
      <c r="FK1041" s="2"/>
      <c r="FL1041" s="2"/>
      <c r="FM1041" s="2"/>
      <c r="FN1041" s="2"/>
      <c r="FO1041" s="2"/>
      <c r="FP1041" s="2"/>
      <c r="FQ1041" s="2"/>
      <c r="FR1041" s="2"/>
      <c r="FS1041" s="2"/>
      <c r="FT1041" s="2"/>
      <c r="FU1041" s="2"/>
      <c r="FV1041" s="2"/>
      <c r="FW1041" s="2"/>
      <c r="FX1041" s="2"/>
      <c r="FY1041" s="2"/>
      <c r="FZ1041" s="2"/>
      <c r="GA1041" s="2"/>
      <c r="GB1041" s="2"/>
      <c r="GC1041" s="2"/>
    </row>
    <row r="1042" spans="1:185" ht="15.6" x14ac:dyDescent="0.3">
      <c r="A1042" s="12"/>
      <c r="B1042" s="74" t="str">
        <f>$G$4</f>
        <v>SECTION PROPERTIES</v>
      </c>
      <c r="C1042" s="12"/>
      <c r="D1042" s="12"/>
      <c r="E1042" s="12"/>
      <c r="F1042" s="12"/>
      <c r="G1042" s="12"/>
      <c r="H1042" s="12"/>
      <c r="I1042" s="12"/>
      <c r="J1042" s="12"/>
      <c r="K1042" s="1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c r="FE1042" s="2"/>
      <c r="FF1042" s="2"/>
      <c r="FG1042" s="2"/>
      <c r="FH1042" s="2"/>
      <c r="FI1042" s="2"/>
      <c r="FJ1042" s="2"/>
      <c r="FK1042" s="2"/>
      <c r="FL1042" s="2"/>
      <c r="FM1042" s="2"/>
      <c r="FN1042" s="2"/>
      <c r="FO1042" s="2"/>
      <c r="FP1042" s="2"/>
      <c r="FQ1042" s="2"/>
      <c r="FR1042" s="2"/>
      <c r="FS1042" s="2"/>
      <c r="FT1042" s="2"/>
      <c r="FU1042" s="2"/>
      <c r="FV1042" s="2"/>
      <c r="FW1042" s="2"/>
      <c r="FX1042" s="2"/>
      <c r="FY1042" s="2"/>
      <c r="FZ1042" s="2"/>
      <c r="GA1042" s="2"/>
      <c r="GB1042" s="2"/>
      <c r="GC1042" s="2"/>
    </row>
    <row r="1043" spans="1:185" x14ac:dyDescent="0.3">
      <c r="A1043" s="54"/>
      <c r="B1043" s="85"/>
      <c r="C1043" s="54"/>
      <c r="D1043" s="54"/>
      <c r="E1043" s="54"/>
    </row>
    <row r="1045" spans="1:185" x14ac:dyDescent="0.3">
      <c r="A1045" s="38"/>
      <c r="B1045" s="39" t="s">
        <v>47</v>
      </c>
    </row>
    <row r="1047" spans="1:185" x14ac:dyDescent="0.3">
      <c r="B1047" s="40" t="s">
        <v>32</v>
      </c>
      <c r="C1047" s="52">
        <v>40</v>
      </c>
      <c r="D1047" s="4" t="s">
        <v>4</v>
      </c>
    </row>
    <row r="1048" spans="1:185" x14ac:dyDescent="0.3">
      <c r="B1048" s="40" t="s">
        <v>33</v>
      </c>
      <c r="C1048" s="52">
        <v>25</v>
      </c>
      <c r="D1048" s="4" t="s">
        <v>4</v>
      </c>
    </row>
    <row r="1049" spans="1:185" x14ac:dyDescent="0.3">
      <c r="B1049" s="40" t="s">
        <v>34</v>
      </c>
      <c r="C1049" s="52">
        <v>20</v>
      </c>
      <c r="D1049" s="4" t="s">
        <v>4</v>
      </c>
    </row>
    <row r="1050" spans="1:185" x14ac:dyDescent="0.3">
      <c r="B1050" s="40" t="s">
        <v>28</v>
      </c>
      <c r="C1050" s="52">
        <v>20</v>
      </c>
      <c r="D1050" s="4" t="s">
        <v>45</v>
      </c>
    </row>
    <row r="1052" spans="1:185" x14ac:dyDescent="0.3">
      <c r="B1052" s="39" t="s">
        <v>29</v>
      </c>
    </row>
    <row r="1054" spans="1:185" x14ac:dyDescent="0.3">
      <c r="B1054" s="40" t="s">
        <v>35</v>
      </c>
      <c r="C1054" s="4" t="str">
        <f>[1]!xln(C1055)</f>
        <v>40 × 25 × 20</v>
      </c>
    </row>
    <row r="1055" spans="1:185" x14ac:dyDescent="0.3">
      <c r="B1055" s="40" t="s">
        <v>14</v>
      </c>
      <c r="C1055" s="4">
        <f>C1047*C1048*C1049</f>
        <v>20000</v>
      </c>
      <c r="D1055" s="4" t="s">
        <v>44</v>
      </c>
      <c r="F1055" s="4" t="s">
        <v>38</v>
      </c>
    </row>
    <row r="1056" spans="1:185" x14ac:dyDescent="0.3">
      <c r="B1056" s="40" t="s">
        <v>48</v>
      </c>
      <c r="C1056" s="4">
        <f>C1050/C1055</f>
        <v>1E-3</v>
      </c>
      <c r="D1056" s="4" t="s">
        <v>49</v>
      </c>
      <c r="F1056" s="4" t="s">
        <v>39</v>
      </c>
    </row>
    <row r="1058" spans="2:8" x14ac:dyDescent="0.3">
      <c r="B1058" s="40" t="s">
        <v>25</v>
      </c>
      <c r="C1058" s="4">
        <f>C1047/2</f>
        <v>20</v>
      </c>
      <c r="D1058" s="4" t="s">
        <v>4</v>
      </c>
      <c r="F1058" s="40" t="s">
        <v>40</v>
      </c>
      <c r="G1058" s="52">
        <v>120</v>
      </c>
      <c r="H1058" s="4" t="s">
        <v>4</v>
      </c>
    </row>
    <row r="1059" spans="2:8" x14ac:dyDescent="0.3">
      <c r="B1059" s="40" t="s">
        <v>27</v>
      </c>
      <c r="C1059" s="4">
        <f>C1048/2</f>
        <v>12.5</v>
      </c>
      <c r="D1059" s="4" t="s">
        <v>4</v>
      </c>
      <c r="F1059" s="40" t="s">
        <v>41</v>
      </c>
      <c r="G1059" s="52">
        <v>240</v>
      </c>
      <c r="H1059" s="4" t="s">
        <v>4</v>
      </c>
    </row>
    <row r="1060" spans="2:8" x14ac:dyDescent="0.3">
      <c r="B1060" s="40" t="s">
        <v>36</v>
      </c>
      <c r="C1060" s="4">
        <f>C1049/2</f>
        <v>10</v>
      </c>
      <c r="D1060" s="4" t="s">
        <v>4</v>
      </c>
      <c r="F1060" s="40" t="s">
        <v>42</v>
      </c>
      <c r="G1060" s="52">
        <v>10</v>
      </c>
      <c r="H1060" s="4" t="s">
        <v>4</v>
      </c>
    </row>
    <row r="1062" spans="2:8" x14ac:dyDescent="0.3">
      <c r="B1062" s="39" t="s">
        <v>67</v>
      </c>
      <c r="F1062" s="39" t="s">
        <v>67</v>
      </c>
    </row>
    <row r="1063" spans="2:8" x14ac:dyDescent="0.3">
      <c r="B1063" s="4" t="s">
        <v>37</v>
      </c>
      <c r="F1063" s="4" t="s">
        <v>66</v>
      </c>
    </row>
    <row r="1065" spans="2:8" x14ac:dyDescent="0.3">
      <c r="B1065" s="16" t="s">
        <v>72</v>
      </c>
      <c r="C1065" s="4" t="str">
        <f ca="1">[1]!xlv(C1067)</f>
        <v>W / 12 × (B² + H²)</v>
      </c>
      <c r="F1065" s="16" t="s">
        <v>78</v>
      </c>
      <c r="G1065" s="4" t="str">
        <f ca="1">[1]!xlv(G1067)</f>
        <v>Iₓ + W × (y² + z²)</v>
      </c>
    </row>
    <row r="1066" spans="2:8" x14ac:dyDescent="0.3">
      <c r="B1066" s="16" t="s">
        <v>72</v>
      </c>
      <c r="C1066" s="4" t="str">
        <f>[1]!xln(C1067)</f>
        <v>20 / 12 × (25² + 20²)</v>
      </c>
      <c r="F1066" s="16" t="s">
        <v>78</v>
      </c>
      <c r="G1066" s="4" t="str">
        <f>[1]!xln(G1067)</f>
        <v>1708 + 20 × (240² + 10²)</v>
      </c>
    </row>
    <row r="1067" spans="2:8" x14ac:dyDescent="0.3">
      <c r="B1067" s="16" t="s">
        <v>72</v>
      </c>
      <c r="C1067" s="46">
        <f>C1050/12*(C1048^2+C1049^2)</f>
        <v>1708.3333333333335</v>
      </c>
      <c r="D1067" s="4" t="s">
        <v>46</v>
      </c>
      <c r="F1067" s="16" t="s">
        <v>78</v>
      </c>
      <c r="G1067" s="46">
        <f>C1067+C1050*(G1059^2+G1060^2)</f>
        <v>1155708.3333333333</v>
      </c>
      <c r="H1067" s="46" t="s">
        <v>46</v>
      </c>
    </row>
    <row r="1068" spans="2:8" x14ac:dyDescent="0.3">
      <c r="B1068" s="40" t="s">
        <v>73</v>
      </c>
      <c r="C1068" s="4" t="str">
        <f ca="1">[1]!xlv(C1070)</f>
        <v>W / 12 × (A² + H²)</v>
      </c>
      <c r="F1068" s="40" t="s">
        <v>79</v>
      </c>
      <c r="G1068" s="4" t="str">
        <f ca="1">[1]!xlv(G1070)</f>
        <v>Iᵧ + W × (x² + z²)</v>
      </c>
    </row>
    <row r="1069" spans="2:8" x14ac:dyDescent="0.3">
      <c r="B1069" s="40" t="s">
        <v>73</v>
      </c>
      <c r="C1069" s="4" t="str">
        <f>[1]!xln(C1070)</f>
        <v>20 / 12 × (40² + 20²)</v>
      </c>
      <c r="F1069" s="40" t="s">
        <v>79</v>
      </c>
      <c r="G1069" s="4" t="str">
        <f>[1]!xln(G1070)</f>
        <v>3333 + 20 × (120² + 10²)</v>
      </c>
    </row>
    <row r="1070" spans="2:8" x14ac:dyDescent="0.3">
      <c r="B1070" s="40" t="s">
        <v>73</v>
      </c>
      <c r="C1070" s="46">
        <f>C1050/12*(C1047^2+C1049^2)</f>
        <v>3333.3333333333335</v>
      </c>
      <c r="D1070" s="4" t="s">
        <v>46</v>
      </c>
      <c r="F1070" s="40" t="s">
        <v>79</v>
      </c>
      <c r="G1070" s="46">
        <f>C1070+C1050*(G1058^2+G1060^2)</f>
        <v>293333.33333333331</v>
      </c>
      <c r="H1070" s="46" t="s">
        <v>46</v>
      </c>
    </row>
    <row r="1071" spans="2:8" ht="15" x14ac:dyDescent="0.3">
      <c r="B1071" s="16" t="s">
        <v>90</v>
      </c>
      <c r="C1071" s="4" t="str">
        <f ca="1">[1]!xlv(C1073)</f>
        <v>W / 12 × (A² + B²)</v>
      </c>
      <c r="F1071" s="16" t="s">
        <v>91</v>
      </c>
      <c r="G1071" s="4" t="str">
        <f ca="1">[1]!xlv(G1073)</f>
        <v>Iz + W × (x² + y²)</v>
      </c>
    </row>
    <row r="1072" spans="2:8" ht="15" x14ac:dyDescent="0.3">
      <c r="B1072" s="16" t="s">
        <v>90</v>
      </c>
      <c r="C1072" s="4" t="str">
        <f>[1]!xln(C1073)</f>
        <v>20 / 12 × (40² + 25²)</v>
      </c>
      <c r="F1072" s="16" t="s">
        <v>91</v>
      </c>
      <c r="G1072" s="4" t="str">
        <f>[1]!xln(G1073)</f>
        <v>3708 + 20 × (120² + 240²)</v>
      </c>
    </row>
    <row r="1073" spans="1:11" ht="15" x14ac:dyDescent="0.3">
      <c r="B1073" s="16" t="s">
        <v>90</v>
      </c>
      <c r="C1073" s="46">
        <f>C1050/12*(C1047^2+C1048^2)</f>
        <v>3708.3333333333335</v>
      </c>
      <c r="D1073" s="4" t="s">
        <v>46</v>
      </c>
      <c r="F1073" s="16" t="s">
        <v>91</v>
      </c>
      <c r="G1073" s="46">
        <f>C1073+C1050*(G1058^2+G1059^2)</f>
        <v>1443708.3333333333</v>
      </c>
      <c r="H1073" s="46" t="s">
        <v>46</v>
      </c>
    </row>
    <row r="1075" spans="1:11" x14ac:dyDescent="0.3">
      <c r="B1075" s="39" t="s">
        <v>43</v>
      </c>
      <c r="C1075" s="16"/>
      <c r="D1075" s="18"/>
      <c r="F1075" s="39" t="s">
        <v>43</v>
      </c>
    </row>
    <row r="1076" spans="1:11" x14ac:dyDescent="0.3">
      <c r="B1076" s="4" t="s">
        <v>37</v>
      </c>
      <c r="F1076" s="4" t="s">
        <v>66</v>
      </c>
    </row>
    <row r="1078" spans="1:11" x14ac:dyDescent="0.3">
      <c r="B1078" s="16" t="s">
        <v>74</v>
      </c>
      <c r="C1078" s="4" t="str">
        <f ca="1">[1]!xlv(C1080)</f>
        <v>0.289 × (B² + H²)⁰·⁵</v>
      </c>
      <c r="F1078" s="16" t="s">
        <v>76</v>
      </c>
      <c r="G1078" s="4" t="str">
        <f ca="1">[1]!xlv(G1080)</f>
        <v>((y² + z²) + ρₓ²)⁰·⁵</v>
      </c>
    </row>
    <row r="1079" spans="1:11" x14ac:dyDescent="0.3">
      <c r="B1079" s="16" t="s">
        <v>74</v>
      </c>
      <c r="C1079" s="4" t="str">
        <f>[1]!xln(C1080)</f>
        <v>0.289 × (25² + 20²)⁰·⁵</v>
      </c>
      <c r="F1079" s="16" t="s">
        <v>76</v>
      </c>
      <c r="G1079" s="4" t="str">
        <f>[1]!xln(G1080)</f>
        <v>((240² + 10²) + 9.25²)⁰·⁵</v>
      </c>
    </row>
    <row r="1080" spans="1:11" x14ac:dyDescent="0.3">
      <c r="B1080" s="16" t="s">
        <v>74</v>
      </c>
      <c r="C1080" s="25">
        <f>0.289*(C1048^2+C1049^2)^0.5</f>
        <v>9.2525145230904648</v>
      </c>
      <c r="D1080" s="4" t="s">
        <v>4</v>
      </c>
      <c r="F1080" s="16" t="s">
        <v>76</v>
      </c>
      <c r="G1080" s="46">
        <f>((G1059^2+G1060^2)+C1080^2)^0.5</f>
        <v>240.38637445787145</v>
      </c>
      <c r="H1080" s="4" t="s">
        <v>4</v>
      </c>
    </row>
    <row r="1081" spans="1:11" x14ac:dyDescent="0.3">
      <c r="B1081" s="16" t="s">
        <v>75</v>
      </c>
      <c r="C1081" s="4" t="str">
        <f ca="1">[1]!xlv(C1083)</f>
        <v>0.289 × (A² + H²)⁰·⁵</v>
      </c>
      <c r="F1081" s="16" t="s">
        <v>77</v>
      </c>
      <c r="G1081" s="4" t="str">
        <f ca="1">[1]!xlv(G1083)</f>
        <v>((x² + z²) + ρᵧ²)⁰·⁵</v>
      </c>
    </row>
    <row r="1082" spans="1:11" x14ac:dyDescent="0.3">
      <c r="B1082" s="16" t="s">
        <v>75</v>
      </c>
      <c r="C1082" s="4" t="str">
        <f>[1]!xln(C1083)</f>
        <v>0.289 × (40² + 20²)⁰·⁵</v>
      </c>
      <c r="F1082" s="16" t="s">
        <v>77</v>
      </c>
      <c r="G1082" s="4" t="str">
        <f>[1]!xln(G1083)</f>
        <v>((120² + 10²) + 12.9²)⁰·⁵</v>
      </c>
    </row>
    <row r="1083" spans="1:11" x14ac:dyDescent="0.3">
      <c r="B1083" s="16" t="s">
        <v>75</v>
      </c>
      <c r="C1083" s="25">
        <f>0.289*(C1047^2+C1049^2)^0.5</f>
        <v>12.924472909948785</v>
      </c>
      <c r="D1083" s="4" t="s">
        <v>4</v>
      </c>
      <c r="F1083" s="16" t="s">
        <v>77</v>
      </c>
      <c r="G1083" s="46">
        <f>((G1058^2+G1060^2)+C1083^2)^0.5</f>
        <v>121.10756376048525</v>
      </c>
      <c r="H1083" s="4" t="s">
        <v>4</v>
      </c>
    </row>
    <row r="1084" spans="1:11" ht="15" x14ac:dyDescent="0.35">
      <c r="B1084" s="40" t="s">
        <v>92</v>
      </c>
      <c r="C1084" s="4" t="str">
        <f ca="1">[1]!xlv(C1086)</f>
        <v>0.289 × (A² + B²)⁰·⁵</v>
      </c>
      <c r="F1084" s="53" t="s">
        <v>93</v>
      </c>
      <c r="G1084" s="4" t="str">
        <f ca="1">[1]!xlv(G1086)</f>
        <v>((x² + y²) + ρz²)⁰·⁵</v>
      </c>
    </row>
    <row r="1085" spans="1:11" ht="15" x14ac:dyDescent="0.35">
      <c r="B1085" s="40" t="s">
        <v>92</v>
      </c>
      <c r="C1085" s="4" t="str">
        <f>[1]!xln(C1086)</f>
        <v>0.289 × (40² + 25²)⁰·⁵</v>
      </c>
      <c r="F1085" s="53" t="s">
        <v>93</v>
      </c>
      <c r="G1085" s="4" t="str">
        <f>[1]!xln(G1086)</f>
        <v>((120² + 240²) + 13.6²)⁰·⁵</v>
      </c>
    </row>
    <row r="1086" spans="1:11" ht="15" x14ac:dyDescent="0.35">
      <c r="B1086" s="40" t="s">
        <v>92</v>
      </c>
      <c r="C1086" s="25">
        <f>0.289*(C1047^2+C1048^2)^0.5</f>
        <v>13.632102735821793</v>
      </c>
      <c r="D1086" s="4" t="s">
        <v>4</v>
      </c>
      <c r="F1086" s="53" t="s">
        <v>93</v>
      </c>
      <c r="G1086" s="46">
        <f>((G1058^2+G1059^2)+C1086^2)^0.5</f>
        <v>268.67421578000369</v>
      </c>
      <c r="H1086" s="4" t="s">
        <v>4</v>
      </c>
    </row>
    <row r="1088" spans="1:11" x14ac:dyDescent="0.3">
      <c r="A1088" s="12"/>
      <c r="B1088" s="3"/>
      <c r="C1088" s="86"/>
      <c r="D1088" s="12"/>
      <c r="E1088" s="12"/>
      <c r="F1088" s="12"/>
      <c r="G1088" s="86"/>
      <c r="H1088" s="12"/>
      <c r="I1088" s="12"/>
      <c r="J1088" s="12"/>
      <c r="K1088" s="12"/>
    </row>
    <row r="1089" spans="1:11" x14ac:dyDescent="0.3">
      <c r="A1089" s="12"/>
      <c r="B1089" s="87"/>
      <c r="C1089" s="86"/>
      <c r="D1089" s="88"/>
      <c r="E1089" s="88"/>
      <c r="F1089" s="89" t="s">
        <v>161</v>
      </c>
      <c r="G1089" s="86"/>
      <c r="H1089" s="88"/>
      <c r="I1089" s="88"/>
      <c r="J1089" s="88"/>
      <c r="K1089" s="12"/>
    </row>
    <row r="1090" spans="1:11" x14ac:dyDescent="0.3">
      <c r="A1090" s="12"/>
      <c r="B1090" s="88"/>
      <c r="C1090" s="88"/>
      <c r="D1090" s="88"/>
      <c r="E1090" s="88"/>
      <c r="F1090" s="104" t="s">
        <v>162</v>
      </c>
      <c r="G1090" s="88"/>
      <c r="H1090" s="88"/>
      <c r="I1090" s="88"/>
      <c r="J1090" s="88"/>
      <c r="K1090" s="12"/>
    </row>
  </sheetData>
  <hyperlinks>
    <hyperlink ref="F59" r:id="rId1"/>
    <hyperlink ref="F112" r:id="rId2"/>
    <hyperlink ref="F165" r:id="rId3"/>
    <hyperlink ref="F218" r:id="rId4"/>
    <hyperlink ref="F271" r:id="rId5"/>
    <hyperlink ref="F324" r:id="rId6"/>
    <hyperlink ref="F377" r:id="rId7"/>
    <hyperlink ref="F430" r:id="rId8"/>
    <hyperlink ref="F483" r:id="rId9"/>
    <hyperlink ref="F536" r:id="rId10"/>
    <hyperlink ref="F589" r:id="rId11"/>
    <hyperlink ref="F645" r:id="rId12"/>
    <hyperlink ref="F701" r:id="rId13"/>
    <hyperlink ref="F757" r:id="rId14"/>
    <hyperlink ref="F813" r:id="rId15"/>
    <hyperlink ref="F869" r:id="rId16"/>
    <hyperlink ref="F925" r:id="rId17"/>
    <hyperlink ref="F981" r:id="rId18"/>
    <hyperlink ref="F1037" r:id="rId19"/>
    <hyperlink ref="F1090" r:id="rId20"/>
  </hyperlinks>
  <pageMargins left="0.47244094488188981" right="0.23622047244094491" top="0.31496062992125984" bottom="0.98425196850393704" header="0.43307086614173229" footer="0.59055118110236227"/>
  <pageSetup scale="96" orientation="portrait" r:id="rId21"/>
  <headerFooter alignWithMargins="0"/>
  <rowBreaks count="12" manualBreakCount="12">
    <brk id="59" max="10" man="1"/>
    <brk id="112" max="10" man="1"/>
    <brk id="165" max="10" man="1"/>
    <brk id="218" max="10" man="1"/>
    <brk id="271" max="10" man="1"/>
    <brk id="324" max="10" man="1"/>
    <brk id="377" max="10" man="1"/>
    <brk id="430" max="10" man="1"/>
    <brk id="483" max="10" man="1"/>
    <brk id="536" max="10" man="1"/>
    <brk id="589" max="10" man="1"/>
    <brk id="645" max="10" man="1"/>
  </rowBreaks>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2016-03-02T16:02:08Z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